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chart50.xml" ContentType="application/vnd.openxmlformats-officedocument.drawingml.chart+xml"/>
  <Override PartName="/xl/charts/colors49.xml" ContentType="application/vnd.ms-office.chartcolorstyle+xml"/>
  <Override PartName="/xl/charts/style49.xml" ContentType="application/vnd.ms-office.chartstyle+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worksheets/sheet3.xml" ContentType="application/vnd.openxmlformats-officedocument.spreadsheetml.worksheet+xml"/>
  <Override PartName="/xl/worksheets/sheet2.xml" ContentType="application/vnd.openxmlformats-officedocument.spreadsheetml.workshee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47.xml" ContentType="application/vnd.openxmlformats-officedocument.drawingml.chart+xml"/>
  <Override PartName="/xl/charts/colors46.xml" ContentType="application/vnd.ms-office.chartcolorstyle+xml"/>
  <Override PartName="/xl/charts/style46.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style38.xml" ContentType="application/vnd.ms-office.chartstyle+xml"/>
  <Override PartName="/xl/worksheets/sheet1.xml" ContentType="application/vnd.openxmlformats-officedocument.spreadsheetml.worksheet+xml"/>
  <Override PartName="/xl/charts/colors37.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chart44.xml" ContentType="application/vnd.openxmlformats-officedocument.drawingml.chart+xml"/>
  <Override PartName="/xl/charts/colors43.xml" ContentType="application/vnd.ms-office.chartcolorstyle+xml"/>
  <Override PartName="/xl/charts/style43.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colors35.xml" ContentType="application/vnd.ms-office.chartcolorstyle+xml"/>
  <Override PartName="/xl/charts/chart38.xml" ContentType="application/vnd.openxmlformats-officedocument.drawingml.chart+xml"/>
  <Override PartName="/xl/charts/chart35.xml" ContentType="application/vnd.openxmlformats-officedocument.drawingml.chart+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colors6.xml" ContentType="application/vnd.ms-office.chartcolorstyle+xml"/>
  <Override PartName="/xl/charts/style6.xml" ContentType="application/vnd.ms-office.chartstyle+xml"/>
  <Override PartName="/xl/charts/chart6.xml" ContentType="application/vnd.openxmlformats-officedocument.drawingml.chart+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3.xml" ContentType="application/vnd.openxmlformats-officedocument.drawing+xml"/>
  <Override PartName="/xl/charts/chart13.xml" ContentType="application/vnd.openxmlformats-officedocument.drawingml.chart+xml"/>
  <Override PartName="/xl/charts/colors12.xml" ContentType="application/vnd.ms-office.chartcolorstyle+xml"/>
  <Override PartName="/xl/charts/style12.xml" ContentType="application/vnd.ms-office.chartstyle+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colors3.xml" ContentType="application/vnd.ms-office.chartcolorstyle+xml"/>
  <Override PartName="/xl/charts/style3.xml" ContentType="application/vnd.ms-office.chartstyle+xml"/>
  <Override PartName="/xl/charts/chart3.xml" ContentType="application/vnd.openxmlformats-officedocument.drawingml.char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5.xml" ContentType="application/vnd.openxmlformats-officedocument.drawingml.chart+xml"/>
  <Override PartName="/xl/charts/style35.xml" ContentType="application/vnd.ms-office.chartstyle+xml"/>
  <Override PartName="/xl/charts/colors28.xml" ContentType="application/vnd.ms-office.chartcolor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2.xml" ContentType="application/vnd.ms-office.chartstyle+xml"/>
  <Override PartName="/xl/charts/chart22.xml" ContentType="application/vnd.openxmlformats-officedocument.drawingml.chart+xml"/>
  <Override PartName="/xl/charts/colors21.xml" ContentType="application/vnd.ms-office.chartcolorstyle+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style29.xml" ContentType="application/vnd.ms-office.chartstyle+xml"/>
  <Override PartName="/xl/charts/colors26.xml" ContentType="application/vnd.ms-office.chartcolorstyle+xml"/>
  <Override PartName="/xl/charts/style26.xml" ContentType="application/vnd.ms-office.chartstyle+xml"/>
  <Override PartName="/xl/charts/style25.xml" ContentType="application/vnd.ms-office.chartstyle+xml"/>
  <Override PartName="/xl/charts/colors25.xml" ContentType="application/vnd.ms-office.chartcolorstyle+xml"/>
  <Override PartName="/xl/charts/colors29.xml" ContentType="application/vnd.ms-office.chartcolorstyle+xml"/>
  <Override PartName="/xl/charts/chart26.xml" ContentType="application/vnd.openxmlformats-officedocument.drawingml.chart+xml"/>
  <Override PartName="/xl/charts/chart20.xml" ContentType="application/vnd.openxmlformats-officedocument.drawingml.chart+xml"/>
  <Override PartName="/xl/charts/colors19.xml" ContentType="application/vnd.ms-office.chartcolorstyle+xml"/>
  <Override PartName="/xl/charts/style19.xml" ContentType="application/vnd.ms-office.chartstyle+xml"/>
  <Override PartName="/xl/charts/style15.xml" ContentType="application/vnd.ms-office.chartstyle+xml"/>
  <Override PartName="/xl/charts/style32.xml" ContentType="application/vnd.ms-office.chartstyle+xml"/>
  <Override PartName="/xl/charts/chart32.xml" ContentType="application/vnd.openxmlformats-officedocument.drawingml.chart+xml"/>
  <Override PartName="/xl/charts/colors31.xml" ContentType="application/vnd.ms-office.chartcolorstyle+xml"/>
  <Override PartName="/xl/charts/style31.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4.xml" ContentType="application/vnd.ms-office.chartcolorstyle+xml"/>
  <Override PartName="/xl/charts/style34.xml" ContentType="application/vnd.ms-office.chartstyle+xml"/>
  <Override PartName="/xl/charts/chart34.xml" ContentType="application/vnd.openxmlformats-officedocument.drawingml.chart+xml"/>
  <Override PartName="/xl/charts/colors33.xml" ContentType="application/vnd.ms-office.chartcolorstyle+xml"/>
  <Override PartName="/xl/charts/colors15.xml" ContentType="application/vnd.ms-office.chartcolorstyle+xml"/>
  <Override PartName="/xl/charts/chart31.xml" ContentType="application/vnd.openxmlformats-officedocument.drawingml.chart+xml"/>
  <Override PartName="/xl/charts/chart16.xml" ContentType="application/vnd.openxmlformats-officedocument.drawingml.chart+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chart29.xml" ContentType="application/vnd.openxmlformats-officedocument.drawingml.chart+xml"/>
  <Override PartName="/xl/charts/style17.xml" ContentType="application/vnd.ms-office.chartstyle+xml"/>
  <Override PartName="/xl/charts/colors16.xml" ContentType="application/vnd.ms-office.chartcolorstyle+xml"/>
  <Override PartName="/xl/charts/colors30.xml" ContentType="application/vnd.ms-office.chartcolorstyle+xml"/>
  <Override PartName="/xl/charts/chart17.xml" ContentType="application/vnd.openxmlformats-officedocument.drawingml.chart+xml"/>
  <Override PartName="/xl/charts/style30.xml" ContentType="application/vnd.ms-office.chartstyle+xml"/>
  <Override PartName="/xl/charts/style16.xml" ContentType="application/vnd.ms-office.chartstyle+xml"/>
  <Override PartName="/xl/charts/chart30.xml" ContentType="application/vnd.openxmlformats-officedocument.drawingml.char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xl/comments3.xml" ContentType="application/vnd.openxmlformats-officedocument.spreadsheetml.comments+xml"/>
  <Override PartName="/xl/comments1.xml" ContentType="application/vnd.openxmlformats-officedocument.spreadsheetml.comments+xml"/>
  <Override PartName="/xl/comments2.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mc:AlternateContent xmlns:mc="http://schemas.openxmlformats.org/markup-compatibility/2006">
    <mc:Choice Requires="x15">
      <x15ac:absPath xmlns:x15ac="http://schemas.microsoft.com/office/spreadsheetml/2010/11/ac" url="H:\South Staffs Water\BAU Workstreams\Triangulation Workstream\Phase 2 outputs\"/>
    </mc:Choice>
  </mc:AlternateContent>
  <bookViews>
    <workbookView xWindow="6825" yWindow="0" windowWidth="27825" windowHeight="12510" tabRatio="828" firstSheet="11" activeTab="14"/>
  </bookViews>
  <sheets>
    <sheet name="Front" sheetId="1" r:id="rId1"/>
    <sheet name="Notes" sheetId="48" r:id="rId2"/>
    <sheet name="General Inputs" sheetId="28" r:id="rId3"/>
    <sheet name="WRMP Main" sheetId="23" r:id="rId4"/>
    <sheet name="WTP Main" sheetId="29" r:id="rId5"/>
    <sheet name="WTP Summary" sheetId="49" r:id="rId6"/>
    <sheet name="Sources" sheetId="2" r:id="rId7"/>
    <sheet name="WRMP online" sheetId="47" r:id="rId8"/>
    <sheet name="WRMP workshops" sheetId="14" r:id="rId9"/>
    <sheet name="WTP core_DCE" sheetId="21" r:id="rId10"/>
    <sheet name="WTPCore_DCE2" sheetId="45" r:id="rId11"/>
    <sheet name="WTPCore_DCE2_LowBill" sheetId="46" r:id="rId12"/>
    <sheet name="WTP core_Maxdiff" sheetId="27" r:id="rId13"/>
    <sheet name="Customer priorities" sheetId="35" r:id="rId14"/>
    <sheet name="Contacts" sheetId="37" r:id="rId15"/>
    <sheet name="Satisfaction" sheetId="10" r:id="rId16"/>
    <sheet name="PC Slider" sheetId="44" r:id="rId17"/>
    <sheet name="WTPPR14" sheetId="25" r:id="rId18"/>
    <sheet name="ExternalWTP14" sheetId="42" r:id="rId19"/>
    <sheet name="ExternalWTP14_HH" sheetId="43" r:id="rId20"/>
    <sheet name="ExternalWTP14_NHH" sheetId="40" r:id="rId21"/>
    <sheet name="ExternalWTP19" sheetId="20" r:id="rId22"/>
    <sheet name="ExternalWTP19_HH" sheetId="32" r:id="rId23"/>
    <sheet name="ExternalWTP19_NHH" sheetId="39" r:id="rId24"/>
  </sheets>
  <definedNames>
    <definedName name="AllProps_All">'General Inputs'!$D$8</definedName>
    <definedName name="AllProps_CAM">'General Inputs'!$D$7</definedName>
    <definedName name="AllProps_SSW">'General Inputs'!$D$6</definedName>
    <definedName name="AvgNHHBill_CAM">'General Inputs'!$C$13</definedName>
    <definedName name="AvgNHHBill_SSW">'General Inputs'!$C$12</definedName>
    <definedName name="CAM_bill_impact_leakage">'General Inputs'!$B$31</definedName>
    <definedName name="CAM_bill_impact_metering">'General Inputs'!$C$31</definedName>
    <definedName name="CAM_Contacts_output_WTP">Contacts!$AG$27:$AG$30</definedName>
    <definedName name="CAM_MAXWTP_ALL">'WTP Main'!$EE$74:$EE$89</definedName>
    <definedName name="CAM_MAXWTP_HH">'WTP Main'!$EE$26:$EE$41</definedName>
    <definedName name="CAM_MAXWTP_NHH">'WTP Main'!$EE$50:$EE$65</definedName>
    <definedName name="CAM_MINWTP_ALL">'WTP Main'!$ED$74:$ED$89</definedName>
    <definedName name="CAM_MINWTP_HH">'WTP Main'!$ED$26:$ED$41</definedName>
    <definedName name="CAM_MINWTP_NHH">'WTP Main'!$ED$50:$ED$65</definedName>
    <definedName name="CAM_PC_Slider_output_WTP">'PC Slider'!$AG$347:$AG$349</definedName>
    <definedName name="CAM_Priorities_output_WRMP">'Customer priorities'!$S$36:$S$38</definedName>
    <definedName name="CAM_Priorities_output_WTP">'Customer priorities'!$AE$44:$AE$53</definedName>
    <definedName name="CAM_Satisfaction_output_WTP">Satisfaction!$AH$23:$AH$26</definedName>
    <definedName name="CAM_WRMP_COMBSCALES_FINAL">'WRMP Main'!$Z$30:$Z$38</definedName>
    <definedName name="CAM_WRMP_COMBSCALES_FINAL_HD">'WRMP Main'!$AD$30:$AD$38</definedName>
    <definedName name="CAM_WRMP_COMBSCALES_FINAL_LD">'WRMP Main'!$AC$30:$AC$38</definedName>
    <definedName name="CAM_WRMP_MAIN_RESULTS">'WRMP Main'!$Z$28:$Z$39</definedName>
    <definedName name="CAM_WRMP_online_Combined">'WRMP online'!$AD$5:$AD$12</definedName>
    <definedName name="CAM_WRMP_Online_UnitValues">'WRMP online'!$AI$20:$AI$21</definedName>
    <definedName name="CAM_WRMP_RANK">'WRMP Main'!$AE$30:$AE$38</definedName>
    <definedName name="CAM_WRMP_workshop_Combined">'WRMP workshops'!$AB$26:$AB$34</definedName>
    <definedName name="CAM_WRMP_Workshop_UnitValues">'WRMP workshops'!$AH$46:$AH$48</definedName>
    <definedName name="CAM_WTP_ALL">'WTP Main'!$EC$74:$EC$89</definedName>
    <definedName name="CAM_WTP_DCE_output_WRMP">WTPCore_DCE2!$Z$69:$Z$71</definedName>
    <definedName name="CAM_WTP_HH">'WTP Main'!$EC$26:$EC$41</definedName>
    <definedName name="CAM_WTP_Maxdiff_output_WRMP">'WTP core_Maxdiff'!$T$133:$T$135</definedName>
    <definedName name="CAM_WTP_NHH">'WTP Main'!$EC$50:$EC$65</definedName>
    <definedName name="CAM_WTPCore_Bursts_Levels">'WTP core_DCE'!$U$70:$W$76</definedName>
    <definedName name="CAM_WTPCore_Bursts_LevelValues">'WTP core_DCE'!$Y$70:$AD$76</definedName>
    <definedName name="CAM_WTPCore_Bursts_MaxDiffUIndex">'WTP core_Maxdiff'!$V$70:$X$76</definedName>
    <definedName name="CAM_WTPCore_Bursts_UnitValues">'WTP core_DCE'!$AH$70:$AJ$76</definedName>
    <definedName name="CAM_WTPCore_Discolour_Levels">'WTP core_DCE'!$U$14:$W$20</definedName>
    <definedName name="CAM_WTPCore_Discolour_LevelValues">'WTP core_DCE'!$Y$14:$AD$20</definedName>
    <definedName name="CAM_WTPCore_Discolour_MaxDiffUIndex">'WTP core_Maxdiff'!$V$14:$X$20</definedName>
    <definedName name="CAM_WTPCore_Discolour_UnitValues">'WTP core_DCE'!$AH$14:$AJ$20</definedName>
    <definedName name="CAM_WTPCore_Drought_Levels">'WTP core_DCE'!$U$56:$W$62</definedName>
    <definedName name="CAM_WTPCore_Drought_LevelValues">'WTP core_DCE'!$Y$56:$AD$62</definedName>
    <definedName name="CAM_WTPCore_Drought_MaxDiffUIndex">'WTP core_Maxdiff'!$V$56:$X$62</definedName>
    <definedName name="CAM_WTPCore_Drought_UnitValues">'WTP core_DCE'!$AH$56:$AJ$62</definedName>
    <definedName name="CAM_WTPCore_Hardness_Levels">'WTP core_DCE'!$U$35:$W$41</definedName>
    <definedName name="CAM_WTPCore_Hardness_LevelValues">'WTP core_DCE'!$Y$35:$AD$41</definedName>
    <definedName name="CAM_WTPCore_Hardness_MaxDiffUIndex">'WTP core_Maxdiff'!$V$35:$X$41</definedName>
    <definedName name="CAM_WTPCore_Hardness_UnitValues">'WTP core_DCE'!$AH$35:$AJ$41</definedName>
    <definedName name="CAM_WTPCore_ImpactRivers_Levels">'WTP core_DCE'!$U$112:$W$118</definedName>
    <definedName name="CAM_WTPCore_ImpactRivers_LevelValues">'WTP core_DCE'!$Y$112:$AD$118</definedName>
    <definedName name="CAM_WTPCore_ImpactRivers_MaxDiffUIndex">'WTP core_Maxdiff'!$V$112:$X$118</definedName>
    <definedName name="CAM_WTPCore_ImpactRivers_UnitValues">'WTP core_DCE'!$AH$112:$AJ$118</definedName>
    <definedName name="CAM_WTPCore_Interruptions_Levels">'WTP core_DCE'!$U$42:$W$48</definedName>
    <definedName name="CAM_WTPCore_Interruptions_LevelValues">'WTP core_DCE'!$Y$42:$AD$48</definedName>
    <definedName name="CAM_WTPCore_Interruptions_MaxDiffUIndex">'WTP core_Maxdiff'!$V$42:$X$48</definedName>
    <definedName name="CAM_WTPCore_Interruptions_UnitValues">'WTP core_DCE'!$AH$42:$AJ$48</definedName>
    <definedName name="CAM_WTPCore_Lead_Levels">'WTP core_DCE'!$U$28:$W$34</definedName>
    <definedName name="CAM_WTPCore_Lead_LevelValues">'WTP core_DCE'!$Y$28:$AD$34</definedName>
    <definedName name="CAM_WTPCore_Lead_MaxDiffUIndex">'WTP core_Maxdiff'!$V$28:$X$34</definedName>
    <definedName name="CAM_WTPCore_Lead_UnitValues">'WTP core_DCE'!$AH$28:$AJ$34</definedName>
    <definedName name="CAM_WTPCore_Leakage_Levels">'WTP core_DCE'!$U$77:$W$83</definedName>
    <definedName name="CAM_WTPCore_Leakage_LevelValues">'WTP core_DCE'!$Y$77:$AD$83</definedName>
    <definedName name="CAM_WTPCore_Leakage_MaxDiffUIndex">'WTP core_Maxdiff'!$V$77:$X$83</definedName>
    <definedName name="CAM_WTPCore_Leakage_UnitValues">'WTP core_DCE'!$AH$77:$AJ$83</definedName>
    <definedName name="CAM_WTPCore_LowPressure_Levels">'WTP core_DCE'!$U$63:$W$69</definedName>
    <definedName name="CAM_WTPCore_LowPressure_LevelValues">'WTP core_DCE'!$Y$63:$AD$69</definedName>
    <definedName name="CAM_WTPCore_LowPressure_MaxDiffUIndex">'WTP core_Maxdiff'!$V$63:$X$69</definedName>
    <definedName name="CAM_WTPCore_LowPressure_UnitValues">'WTP core_DCE'!$AH$63:$AJ$69</definedName>
    <definedName name="CAM_WTPCore_Metering_Levels">'WTP core_DCE'!$U$84:$W$90</definedName>
    <definedName name="CAM_WTPCore_Metering_LevelValues">'WTP core_DCE'!$Y$84:$AD$90</definedName>
    <definedName name="CAM_WTPCore_Metering_MaxDiffUIndex">'WTP core_Maxdiff'!$V$84:$X$90</definedName>
    <definedName name="CAM_WTPCore_Metering_UnitValues">'WTP core_DCE'!$AH$84:$AJ$90</definedName>
    <definedName name="CAM_WTPCore_NotSafe_Levels">'WTP core_DCE'!$U$7:$W$13</definedName>
    <definedName name="CAM_WTPCore_NotSafe_LevelValues">'WTP core_DCE'!$Y$7:$AD$13</definedName>
    <definedName name="CAM_WTPCore_NotSafe_MaxDiffUIndex">'WTP core_Maxdiff'!$V$7:$X$13</definedName>
    <definedName name="CAM_WTPCore_NotSafe_UnitValues">'WTP core_DCE'!$AH$7:$AJ$13</definedName>
    <definedName name="CAM_WTPCore_Renewables_Levels">'WTP core_DCE'!$U$98:$W$104</definedName>
    <definedName name="CAM_WTPCore_Renewables_LevelValues">'WTP core_DCE'!$Y$98:$AD$104</definedName>
    <definedName name="CAM_WTPCore_Renewables_MaxDiffUIndex">'WTP core_Maxdiff'!$V$98:$X$104</definedName>
    <definedName name="CAM_WTPCore_Renewables_UnitValues">'WTP core_DCE'!$AH$98:$AJ$104</definedName>
    <definedName name="CAM_WTPCore_SmartMetering_Levels">'WTP core_DCE'!$U$91:$W$97</definedName>
    <definedName name="CAM_WTPCore_SmartMetering_LevelValues">'WTP core_DCE'!$Y$91:$AD$97</definedName>
    <definedName name="CAM_WTPCore_SmartMetering_MaxDiffUIndex">'WTP core_Maxdiff'!$V$91:$X$97</definedName>
    <definedName name="CAM_WTPCore_SmartMetering_UnitValues">'WTP core_DCE'!$AH$91:$AJ$97</definedName>
    <definedName name="CAM_WTPCore_TasteSmell_Levels">'WTP core_DCE'!$U$21:$W$27</definedName>
    <definedName name="CAM_WTPCore_TasteSmell_LevelValues">'WTP core_DCE'!$Y$21:$AD$27</definedName>
    <definedName name="CAM_WTPCore_TasteSmell_MaxDiffUIndex">'WTP core_Maxdiff'!$V$21:$X$27</definedName>
    <definedName name="CAM_WTPCore_TasteSmell_UnitValues">'WTP core_DCE'!$AH$21:$AJ$27</definedName>
    <definedName name="CAM_WTPCore_TempBan_Levels">'WTP core_DCE'!$U$49:$W$55</definedName>
    <definedName name="CAM_WTPCore_TempBan_LevelValues">'WTP core_DCE'!$Y$49:$AD$55</definedName>
    <definedName name="CAM_WTPCore_TempBan_MaxDiffUIndex">'WTP core_Maxdiff'!$V$49:$X$55</definedName>
    <definedName name="CAM_WTPCore_TempBan_UnitValues">'WTP core_DCE'!$AH$49:$AJ$55</definedName>
    <definedName name="CAM_WTPCore_Traffic_Levels">'WTP core_DCE'!$U$119:$W$125</definedName>
    <definedName name="CAM_WTPCore_Traffic_LevelValues">'WTP core_DCE'!$Y$119:$AD$125</definedName>
    <definedName name="CAM_WTPCore_Traffic_MaxDiffUIndex">'WTP core_Maxdiff'!$V$119:$X$125</definedName>
    <definedName name="CAM_WTPCore_Traffic_UnitValues">'WTP core_DCE'!$AH$119:$AJ$125</definedName>
    <definedName name="CAM_WTPCore_Wildlife_Levels">'WTP core_DCE'!$U$105:$W$111</definedName>
    <definedName name="CAM_WTPCore_Wildlife_LevelValues">'WTP core_DCE'!$Y$105:$AD$111</definedName>
    <definedName name="CAM_WTPCore_Wildlife_MaxDiffUIndex">'WTP core_Maxdiff'!$V$105:$X$111</definedName>
    <definedName name="CAM_WTPCore_Wildlife_UnitValues">'WTP core_DCE'!$AH$105:$AJ$111</definedName>
    <definedName name="CAM_WTPCore2_Bursts_Levels">WTPCore_DCE2!$T$23:$V$24</definedName>
    <definedName name="CAM_WTPCore2_Bursts_LevelValues">WTPCore_DCE2!$W$23:$AB$24</definedName>
    <definedName name="CAM_WTPCore2_Bursts_UnitValues">WTPCore_DCE2!$AF$23:$AH$24</definedName>
    <definedName name="CAM_WTPCore2_Community_UnitValues">WTPCore_DCE2!$AF$35:$AH$36</definedName>
    <definedName name="CAM_WTPCore2_Discolour_Levels">WTPCore_DCE2!$T$9:$V$10</definedName>
    <definedName name="CAM_WTPCore2_Discolour_LevelValues">WTPCore_DCE2!$W$9:$AB$10</definedName>
    <definedName name="CAM_WTPCore2_Discolour_UnitValues">WTPCore_DCE2!$AF$9:$AH$10</definedName>
    <definedName name="CAM_WTPCore2_Educating_UnitValues">WTPCore_DCE2!$AF$37:$AH$38</definedName>
    <definedName name="CAM_WTPCore2_Hardness_Levels">WTPCore_DCE2!$T$15:$V$16</definedName>
    <definedName name="CAM_WTPCore2_Hardness_LevelValues">WTPCore_DCE2!$W$15:$AB$16</definedName>
    <definedName name="CAM_WTPCore2_Hardness_UnitValues">WTPCore_DCE2!$AF$15:$AH$16</definedName>
    <definedName name="CAM_WTPCore2_ImpactRivers_Levels">WTPCore_DCE2!$T$33:$V$34</definedName>
    <definedName name="CAM_WTPCore2_ImpactRivers_LevelValues">WTPCore_DCE2!$W$33:$AB$34</definedName>
    <definedName name="CAM_WTPCore2_ImpactRivers_UnitValues">WTPCore_DCE2!$AF$33:$AH$34</definedName>
    <definedName name="CAM_WTPCore2_Interruptions_Levels">WTPCore_DCE2!$T$17:$V$18</definedName>
    <definedName name="CAM_WTPCore2_Interruptions_LevelValues">WTPCore_DCE2!$W$17:$AB$18</definedName>
    <definedName name="CAM_WTPCore2_Interruptions_UnitValues">WTPCore_DCE2!$AF$17:$AH$18</definedName>
    <definedName name="CAM_WTPCore2_Lead_Levels">WTPCore_DCE2!$T$13:$V$14</definedName>
    <definedName name="CAM_WTPCore2_Lead_LevelValues">WTPCore_DCE2!$W$13:$AB$14</definedName>
    <definedName name="CAM_WTPCore2_Lead_UnitValues">WTPCore_DCE2!$AF$13:$AH$14</definedName>
    <definedName name="CAM_WTPCore2_Leakage_Levels">WTPCore_DCE2!$T$25:$V$26</definedName>
    <definedName name="CAM_WTPCore2_Leakage_LevelValues">WTPCore_DCE2!$W$25:$AB$26</definedName>
    <definedName name="CAM_WTPCore2_Leakage_UnitValues">WTPCore_DCE2!$AF$25:$AH$26</definedName>
    <definedName name="CAM_WTPCore2_LowBill_Bursts_UnitValues">WTPCore_DCE2_LowBill!$AF$15:$AH$15</definedName>
    <definedName name="CAM_WTPCore2_LowBill_Discolour_UnitValues">WTPCore_DCE2_LowBill!$AF$8:$AH$8</definedName>
    <definedName name="CAM_WTPCore2_LowBill_Hardness_UnitValues">WTPCore_DCE2_LowBill!$AF$11:$AH$11</definedName>
    <definedName name="CAM_WTPCore2_LowBill_ImpactRivers_UnitValues">WTPCore_DCE2_LowBill!$AF$20:$AH$20</definedName>
    <definedName name="CAM_WTPCore2_LowBill_Interruptions_UnitValues">WTPCore_DCE2_LowBill!$AF$12:$AH$12</definedName>
    <definedName name="CAM_WTPCore2_LowBill_Lead_UnitValues">WTPCore_DCE2_LowBill!$AF$10:$AH$10</definedName>
    <definedName name="CAM_WTPCore2_LowBill_Leakage_UnitValues">WTPCore_DCE2_LowBill!$AF$16:$AH$16</definedName>
    <definedName name="CAM_WTPCore2_LowBill_LowPressure_UnitValues">WTPCore_DCE2_LowBill!$AF$14:$AH$14</definedName>
    <definedName name="CAM_WTPCore2_LowBill_Metering_UnitValues">WTPCore_DCE2_LowBill!$AF$17:$AH$17</definedName>
    <definedName name="CAM_WTPCore2_LowBill_NotSafe_UnitValues">WTPCore_DCE2_LowBill!$AF$7:$AH$7</definedName>
    <definedName name="CAM_WTPCore2_LowBill_Renewables_UnitValues">WTPCore_DCE2_LowBill!$AF$18:$AH$18</definedName>
    <definedName name="CAM_WTPCore2_LowBill_TasteSmell_UnitValues">WTPCore_DCE2_LowBill!$AF$9:$AH$9</definedName>
    <definedName name="CAM_WTPCore2_LowBill_TempBan_UnitValues">WTPCore_DCE2_LowBill!$AF$13:$AH$13</definedName>
    <definedName name="CAM_WTPCore2_LowBill_Wildlife_UnitValues">WTPCore_DCE2_LowBill!$AF$19:$AH$19</definedName>
    <definedName name="CAM_WTPCore2_LowPressure_Levels">WTPCore_DCE2!$T$21:$V$22</definedName>
    <definedName name="CAM_WTPCore2_LowPressure_LevelValues">WTPCore_DCE2!$W$21:$AB$22</definedName>
    <definedName name="CAM_WTPCore2_LowPressure_UnitValues">WTPCore_DCE2!$AF$21:$AH$22</definedName>
    <definedName name="CAM_WTPCore2_Metering_Levels">WTPCore_DCE2!$T$27:$V$28</definedName>
    <definedName name="CAM_WTPCore2_Metering_LevelValues">WTPCore_DCE2!$W$27:$AB$28</definedName>
    <definedName name="CAM_WTPCore2_Metering_UnitValues">WTPCore_DCE2!$AF$27:$AH$28</definedName>
    <definedName name="CAM_WTPCore2_NotSafe_Levels">WTPCore_DCE2!$T$7:$V$8</definedName>
    <definedName name="CAM_WTPCore2_NotSafe_LevelValues">WTPCore_DCE2!$W$7:$AB$8</definedName>
    <definedName name="CAM_WTPCore2_NotSafe_UnitValues">WTPCore_DCE2!$AF$7:$AH$8</definedName>
    <definedName name="CAM_WTPCore2_Renewables_Levels">WTPCore_DCE2!$T$29:$V$30</definedName>
    <definedName name="CAM_WTPCore2_Renewables_LevelValues">WTPCore_DCE2!$W$29:$AB$30</definedName>
    <definedName name="CAM_WTPCore2_Renewables_UnitValues">WTPCore_DCE2!$AF$29:$AH$30</definedName>
    <definedName name="CAM_WTPCore2_Supporting_UnitValues">WTPCore_DCE2!$AF$39:$AH$40</definedName>
    <definedName name="CAM_WTPCore2_TasteSmell_Levels">WTPCore_DCE2!$T$11:$W$12</definedName>
    <definedName name="CAM_WTPCore2_TasteSmell_LevelValues">WTPCore_DCE2!$W$11:$AB$12</definedName>
    <definedName name="CAM_WTPCore2_TasteSmell_UnitValues">WTPCore_DCE2!$AF$11:$AH$12</definedName>
    <definedName name="CAM_WTPCore2_TempBan_Levels">WTPCore_DCE2!$T$19:$V$20</definedName>
    <definedName name="CAM_WTPCore2_TempBan_LevelValues">WTPCore_DCE2!$W$19:$AB$20</definedName>
    <definedName name="CAM_WTPCore2_TempBan_UnitValues">WTPCore_DCE2!$AF$19:$AH$20</definedName>
    <definedName name="CAM_WTPCore2_Wildlife_Levels">WTPCore_DCE2!$T$31:$V$32</definedName>
    <definedName name="CAM_WTPCore2_Wildlife_LevelValues">WTPCore_DCE2!$W$31:$AB$32</definedName>
    <definedName name="CAM_WTPCore2_Wildlife_UnitValues">WTPCore_DCE2!$AF$31:$AH$32</definedName>
    <definedName name="CAM_WTPMaxdiff_WTP_NHH_Unitvalues">'WTP core_Maxdiff'!$AF$217:$AF$233</definedName>
    <definedName name="CAM_WTPMaxdiff_WTP_Unitvalues">'WTP core_Maxdiff'!$AF$143:$AF$159</definedName>
    <definedName name="Contacts_WTP_options">Contacts!$B$27:$B$30</definedName>
    <definedName name="Customer_Contacts">Contacts!$A$1</definedName>
    <definedName name="Customer_priorities">'Customer priorities'!$A$1</definedName>
    <definedName name="Customer_Satisfaction">Satisfaction!$A$1</definedName>
    <definedName name="Ext_WTP_Unitvalue_groups">ExternalWTP19!$D$5:$F$5</definedName>
    <definedName name="External_WTP">ExternalWTP19!$A$1</definedName>
    <definedName name="ExtWTP_Comps_Discolour">ExternalWTP14!$A$7:$A$18</definedName>
    <definedName name="ExtWTP_Comps_Hardness">ExternalWTP14!$A$83:$A$87</definedName>
    <definedName name="ExtWTP_Comps_ImpactRivers">ExternalWTP14!$A$94:$A$108</definedName>
    <definedName name="ExtWTP_Comps_Interruptions1224">ExternalWTP14!$A$51</definedName>
    <definedName name="ExtWTP_Comps_Interruptions3">ExternalWTP14!$A$32:$A$33</definedName>
    <definedName name="ExtWTP_Comps_Interruptions36">ExternalWTP14!$A$35:$A$43</definedName>
    <definedName name="ExtWTP_Comps_Interruptions612">ExternalWTP14!$A$45:$A$49</definedName>
    <definedName name="ExtWTP_Comps_Leakage">ExternalWTP14!$A$89:$A$92</definedName>
    <definedName name="ExtWTP_Comps_LowPressure">ExternalWTP14!$A$72:$A$74</definedName>
    <definedName name="ExtWTP_Comps_NEUseBan">ExternalWTP14!$A$67:$A$70</definedName>
    <definedName name="ExtWTP_Comps_TasteSmell">ExternalWTP14!$A$20:$A$27</definedName>
    <definedName name="ExtWTP_Comps_TempBan">ExternalWTP14!$A$53:$A$65</definedName>
    <definedName name="ExtWTP_Discolour_UnitValues">ExternalWTP14!$D$7:$F$18</definedName>
    <definedName name="ExtWTP_Group">ExternalWTP19!$D$5:$F$5</definedName>
    <definedName name="ExtWTP_Hardness_UnitValues">ExternalWTP14!$D$83:$F$87</definedName>
    <definedName name="ExtWTP_ImpactRivers_UnitValues">ExternalWTP14!$D$94:$F$108</definedName>
    <definedName name="ExtWTP_Interruptions1224_UnitValues">ExternalWTP14!$D$51:$F$51</definedName>
    <definedName name="ExtWTP_Interruptions3_UnitValues">ExternalWTP14!$D$32:$F$33</definedName>
    <definedName name="ExtWTP_Interruptions36_UnitValues">ExternalWTP14!$D$35:$F$43</definedName>
    <definedName name="ExtWTP_Interruptions612_UnitValues">ExternalWTP14!$D$45:$F$49</definedName>
    <definedName name="ExtWTP_Leakage_UnitValues">ExternalWTP14!$D$89:$F$92</definedName>
    <definedName name="ExtWTP_LowPressure_UnitValues">ExternalWTP14!$D$72:$F$74</definedName>
    <definedName name="ExtWTP_NEUseBan_UnitValues">ExternalWTP14!$D$67:$F$70</definedName>
    <definedName name="ExtWTP_TasteSmell_UnitValues">ExternalWTP14!$D$20:$F$27</definedName>
    <definedName name="ExtWTP_TempBan_UnitValues">ExternalWTP14!$D$53:$F$65</definedName>
    <definedName name="ExtWTP19_Comps_Discolour">ExternalWTP19!$A$7:$A$12</definedName>
    <definedName name="ExtWTP19_Comps_Drought">ExternalWTP19!$A$62:$A$65</definedName>
    <definedName name="ExtWTP19_Comps_Interruptions1224">ExternalWTP19!$A$43:$A$45</definedName>
    <definedName name="ExtWTP19_Comps_Interruptions3">ExternalWTP19!$A$24:$A$26</definedName>
    <definedName name="ExtWTP19_Comps_Interruptions36">ExternalWTP19!$A$28:$A$32</definedName>
    <definedName name="ExtWTP19_Comps_Interruptions48">ExternalWTP19!$A$34</definedName>
    <definedName name="ExtWTP19_Comps_Interruptions612">ExternalWTP19!$A$36:$A$41</definedName>
    <definedName name="ExtWTP19_Comps_Leakage">ExternalWTP19!$A$71:$A$80</definedName>
    <definedName name="ExtWTP19_Comps_LowPressure">ExternalWTP19!$A$67:$A$69</definedName>
    <definedName name="ExtWTP19_Comps_Metering">ExternalWTP19!$A$96:$A$98</definedName>
    <definedName name="ExtWTP19_Comps_NEUseBan">ExternalWTP19!$A$58:$A$60</definedName>
    <definedName name="ExtWTP19_Comps_NotSafe">ExternalWTP19!$A$92:$A$94</definedName>
    <definedName name="ExtWTP19_Comps_SmartMetering">ExternalWTP19!$A$99</definedName>
    <definedName name="ExtWTP19_Comps_TasteSmell">ExternalWTP19!$A$14:$A$20</definedName>
    <definedName name="ExtWTP19_Comps_TempBan">ExternalWTP19!$A$47:$A$56</definedName>
    <definedName name="ExtWTP19_Comps_Traffic">ExternalWTP19!$A$88:$A$90</definedName>
    <definedName name="ExtWTP19_Comps_Wildlife">ExternalWTP19!$A$82:$A$86</definedName>
    <definedName name="ExtWTP19_Discolour_UnitValues">ExternalWTP19!$D$7:$F$12</definedName>
    <definedName name="ExtWTP19_Drought_UnitValues">ExternalWTP19!$D$62:$F$65</definedName>
    <definedName name="ExtWTP19_Interruptions1224_UnitValues">ExternalWTP19!$D$43:$F$45</definedName>
    <definedName name="ExtWTP19_Interruptions3_UnitValues">ExternalWTP19!$D$24:$F$26</definedName>
    <definedName name="ExtWTP19_Interruptions36_UnitValues">ExternalWTP19!$D$28:$F$32</definedName>
    <definedName name="ExtWTP19_Interruptions48_UnitValues">ExternalWTP19!$D$34:$F$34</definedName>
    <definedName name="ExtWTP19_Interruptions612_UnitValues">ExternalWTP19!$D$36:$F$41</definedName>
    <definedName name="ExtWTP19_Leakage_UnitValues">ExternalWTP19!$D$71:$F$80</definedName>
    <definedName name="ExtWTP19_LowPressure_UnitValues">ExternalWTP19!$D$67:$F$69</definedName>
    <definedName name="ExtWTP19_Metering_UnitValues">ExternalWTP19!$D$96:$F$98</definedName>
    <definedName name="ExtWTP19_NEUseBan_UnitValues">ExternalWTP19!$D$58:$F$60</definedName>
    <definedName name="ExtWTP19_NotSafe_UnitValues">ExternalWTP19!$D$92:$F$94</definedName>
    <definedName name="ExtWTP19_SmartMetering_UnitValues">ExternalWTP19!$D$99:$F$99</definedName>
    <definedName name="ExtWTP19_TasteSmell_UnitValues">ExternalWTP19!$D$14:$F$20</definedName>
    <definedName name="ExtWTP19_TempBan_UnitValues">ExternalWTP19!$D$47:$F$56</definedName>
    <definedName name="ExtWTP19_Traffic_UnitValues">ExternalWTP19!$D$88:$F$90</definedName>
    <definedName name="ExtWTP19_Wildlife_UnitValues">ExternalWTP19!$D$82:$F$86</definedName>
    <definedName name="HHProps_All">'General Inputs'!$B$8</definedName>
    <definedName name="HHProps_CAM">'General Inputs'!$B$7</definedName>
    <definedName name="HHProps_SSW">'General Inputs'!$B$6</definedName>
    <definedName name="Highest_servicelevel_CAM_interruptions">'PC Slider'!$D$13</definedName>
    <definedName name="Highest_servicelevel_CAM_leakage">'PC Slider'!$D$10</definedName>
    <definedName name="Highest_servicelevel_CAM_protecting_wildlife">'PC Slider'!$D$7</definedName>
    <definedName name="Highest_servicelevel_SSW_interruptions">'PC Slider'!$C$13</definedName>
    <definedName name="Highest_servicelevel_SSW_leakage">'PC Slider'!$C$10</definedName>
    <definedName name="Highest_servicelevel_SSW_protecting_wildlife">'PC Slider'!$C$7</definedName>
    <definedName name="Inflation_factor">'General Inputs'!#REF!</definedName>
    <definedName name="LLowest_servicelevel_CAM_protecting_wildlife">'PC Slider'!$D$8</definedName>
    <definedName name="LMH">'WTP core_Maxdiff'!$H$6:$J$6</definedName>
    <definedName name="Lowest_bill_CAM_interruptions">'PC Slider'!$D$12</definedName>
    <definedName name="Lowest_bill_CAM_leakage">'PC Slider'!$D$9</definedName>
    <definedName name="Lowest_bill_CAM_protecting_wildlife">'PC Slider'!$D$6</definedName>
    <definedName name="Lowest_bill_SSW_interruptions">'PC Slider'!$C$12</definedName>
    <definedName name="Lowest_bill_SSW_leakage">'PC Slider'!$C$9</definedName>
    <definedName name="Lowest_bill_SSW_protecting_wildlife">'PC Slider'!$C$6</definedName>
    <definedName name="Lowest_servicelevel_CAM_interruptions">'PC Slider'!$D$14</definedName>
    <definedName name="Lowest_servicelevel_CAM_leakage">'PC Slider'!$D$11</definedName>
    <definedName name="Lowest_servicelevel_CAM_protecting_wildlife">'PC Slider'!$D$8</definedName>
    <definedName name="Lowest_servicelevel_SSW_interruptions">'PC Slider'!$C$14</definedName>
    <definedName name="Lowest_servicelevel_SSW_leakage">'PC Slider'!$C$11</definedName>
    <definedName name="Lowest_servicelevel_SSW_protecting_wildlife">'PC Slider'!$C$8</definedName>
    <definedName name="M">'WRMP Main'!$Y:$Y</definedName>
    <definedName name="MainWTPResults">'WTP Main'!$EL$71:$EL$89</definedName>
    <definedName name="NHHProps_All">'General Inputs'!$C$8</definedName>
    <definedName name="NHHProps_CAM">'General Inputs'!$C$7</definedName>
    <definedName name="NHHProps_SSW">'General Inputs'!$C$6</definedName>
    <definedName name="PC_Slider_WTP_options">'PC Slider'!$B$347:$B$349</definedName>
    <definedName name="PR14_CompA_NHH_UnitValues">ExternalWTP14_NHH!$R$5:$R$6</definedName>
    <definedName name="PR14_CompA_NHH_UnitValues_CAM">ExternalWTP14_NHH!$AE$5:$AE$6</definedName>
    <definedName name="PR14_CompA_UnitValues">ExternalWTP14_HH!$R$5:$R$6</definedName>
    <definedName name="PR14_CompA_UnitValues_CAM">ExternalWTP14_HH!$AE$5:$AE$6</definedName>
    <definedName name="PR14_CompA_WTPCore_Options">ExternalWTP14_HH!$B$5:$B$6</definedName>
    <definedName name="PR14_CompB_NHH_UnitValues">ExternalWTP14_NHH!$R$10:$R$11</definedName>
    <definedName name="PR14_CompB_NHH_UnitValues_CAM">ExternalWTP14_NHH!$AE$10:$AE$11</definedName>
    <definedName name="PR14_CompB_UnitValues">ExternalWTP14_HH!$R$10:$R$11</definedName>
    <definedName name="PR14_CompB_UnitValues_CAM">ExternalWTP14_HH!$AE$10:$AE$11</definedName>
    <definedName name="PR14_CompB_WTPCore_Options">ExternalWTP14_HH!$B$10:$B$11</definedName>
    <definedName name="PR14_CompC_NHH_UnitValues">ExternalWTP14_NHH!$R$15:$R$17</definedName>
    <definedName name="PR14_CompC_NHH_UnitValues_CAM">ExternalWTP14_NHH!$AE$15:$AE$17</definedName>
    <definedName name="PR14_CompC_UnitValues">ExternalWTP14_HH!$R$15:$R$17</definedName>
    <definedName name="PR14_CompC_UnitValues_CAM">ExternalWTP14_HH!$AE$15:$AE$17</definedName>
    <definedName name="PR14_CompC_WTPCore_Options">ExternalWTP14_HH!$B$15:$B$17</definedName>
    <definedName name="PR14_CompD_NHH_UnitValues">ExternalWTP14_NHH!$R$21:$R$23</definedName>
    <definedName name="PR14_CompD_NHH_UnitValues_CAM">ExternalWTP14_NHH!$AE$21:$AE$23</definedName>
    <definedName name="PR14_CompD_UnitValues">ExternalWTP14_HH!$R$21:$R$23</definedName>
    <definedName name="PR14_CompD_UnitValues_CAM">ExternalWTP14_HH!$AE$21:$AE$23</definedName>
    <definedName name="PR14_CompD_WTPCore_Options">ExternalWTP14_HH!$B$21:$B$23</definedName>
    <definedName name="PR14_CompE_NHH_UnitValues">ExternalWTP14_NHH!$R$27:$R$29</definedName>
    <definedName name="PR14_CompE_NHH_UnitValues_CAM">ExternalWTP14_NHH!$AE$27:$AE$29</definedName>
    <definedName name="PR14_CompE_UnitValues">ExternalWTP14_HH!$R$27:$R$29</definedName>
    <definedName name="PR14_CompE_UnitValues_CAM">ExternalWTP14_HH!$AE$27:$AE$29</definedName>
    <definedName name="PR14_CompE_WTPCore_Options">ExternalWTP14_HH!$B$27:$B$29</definedName>
    <definedName name="PR14_CompF_NHH_UnitValues">ExternalWTP14_NHH!$R$33</definedName>
    <definedName name="PR14_CompF_NHH_UnitValues_CAM">ExternalWTP14_NHH!$AE$33</definedName>
    <definedName name="PR14_CompF_UnitValues">ExternalWTP14_HH!$R$33</definedName>
    <definedName name="PR14_CompF_UnitValues_CAM">ExternalWTP14_HH!$AE$33</definedName>
    <definedName name="PR14_CompF_WTPCore_Options">ExternalWTP14_HH!$B$33</definedName>
    <definedName name="PR14_CompG_NHH_UnitValues">ExternalWTP14_NHH!$R$37:$R$40</definedName>
    <definedName name="PR14_CompG_NHH_UnitValues_CAM">ExternalWTP14_NHH!$AE$37:$AE$40</definedName>
    <definedName name="PR14_CompG_UnitValues">ExternalWTP14_HH!$R$37:$R$40</definedName>
    <definedName name="PR14_CompG_UnitValues_CAM">ExternalWTP14_HH!$AE$37:$AE$40</definedName>
    <definedName name="PR14_CompG_WTPCore_Options">ExternalWTP14_HH!$B$37:$B$40</definedName>
    <definedName name="PR14_CompH_NHH_UnitValues">ExternalWTP14_NHH!$R$44:$R$45</definedName>
    <definedName name="PR14_CompH_NHH_UnitValues_CAM">ExternalWTP14_NHH!$AE$44:$AE$45</definedName>
    <definedName name="PR14_CompH_UnitValues">ExternalWTP14_HH!$R$44:$R$45</definedName>
    <definedName name="PR14_CompH_UnitValues_CAM">ExternalWTP14_HH!$AE$44:$AE$45</definedName>
    <definedName name="PR14_CompH_WTPCore_Options">ExternalWTP14_HH!$B$44:$B$45</definedName>
    <definedName name="PR14_CompI_NHH_UnitValues">ExternalWTP14_NHH!$R$49:$R$50</definedName>
    <definedName name="PR14_CompI_NHH_UnitValues_CAM">ExternalWTP14_NHH!$AE$49:$AE$50</definedName>
    <definedName name="PR14_CompI_NHH_WTPCore_Options">ExternalWTP14_NHH!$B$49:$B$50</definedName>
    <definedName name="PR14_CompI_UnitValues">ExternalWTP14_HH!$R$49:$R$51</definedName>
    <definedName name="PR14_CompI_UnitValues_CAM">ExternalWTP14_HH!$AE$49:$AE$51</definedName>
    <definedName name="PR14_CompI_WTPCore_Options">ExternalWTP14_HH!$B$49:$B$51</definedName>
    <definedName name="PR14_CompJ_NHH_UnitValues">ExternalWTP14_NHH!$R$54:$R$57</definedName>
    <definedName name="PR14_CompJ_NHH_UnitValues_CAM">ExternalWTP14_NHH!$AE$54:$AE$57</definedName>
    <definedName name="PR14_CompJ_UnitValues">ExternalWTP14_HH!$R$55:$R$58</definedName>
    <definedName name="PR14_CompJ_UnitValues_CAM">ExternalWTP14_HH!$AE$55:$AE$58</definedName>
    <definedName name="PR14_CompJ_WTPCore_Options">ExternalWTP14_HH!$B$55:$B$58</definedName>
    <definedName name="PR14_CompK_NHH_UnitValues">ExternalWTP14_NHH!$R$61:$R$64</definedName>
    <definedName name="PR14_CompK_NHH_UnitValues_CAM">ExternalWTP14_NHH!$AE$61:$AE$64</definedName>
    <definedName name="PR14_CompK_UnitValues">ExternalWTP14_HH!$R$62:$R$65</definedName>
    <definedName name="PR14_CompK_UnitValues_CAM">ExternalWTP14_HH!$AE$62:$AE$65</definedName>
    <definedName name="PR14_CompK_WTPCore_Options">ExternalWTP14_HH!$B$62:$B$65</definedName>
    <definedName name="PR14_CompL_NHH_UnitValues">ExternalWTP14_NHH!$R$68:$R$72</definedName>
    <definedName name="PR14_CompL_NHH_UnitValues_CAM">ExternalWTP14_NHH!$AE$68:$AE$72</definedName>
    <definedName name="PR14_CompL_UnitValues">ExternalWTP14_HH!$R$69:$R$73</definedName>
    <definedName name="PR14_CompL_UnitValues_CAM">ExternalWTP14_HH!$AE$69:$AE$73</definedName>
    <definedName name="PR14_CompL_WTPCore_Options">ExternalWTP14_HH!$B$69:$B$73</definedName>
    <definedName name="PR14_CompM_NHH_UnitValues">ExternalWTP14_NHH!$R$76:$R$79</definedName>
    <definedName name="PR14_CompM_NHH_UnitValues_CAM">ExternalWTP14_NHH!$AE$76:$AE$79</definedName>
    <definedName name="PR14_CompM_NHH_WTPCore_Options">ExternalWTP14_NHH!$B$76:$B$79</definedName>
    <definedName name="PR14_CompM_UnitValues">ExternalWTP14_HH!$R$77:$R$81</definedName>
    <definedName name="PR14_CompM_UnitValues_CAM">ExternalWTP14_HH!$AE$77:$AE$81</definedName>
    <definedName name="PR14_CompM_WTPCore_Options">ExternalWTP14_HH!$B$77:$B$81</definedName>
    <definedName name="PR14_CompN_NHH_UnitValues">ExternalWTP14_NHH!$R$83:$R$86</definedName>
    <definedName name="PR14_CompN_NHH_UnitValues_CAM">ExternalWTP14_NHH!$AE$83:$AE$86</definedName>
    <definedName name="PR14_CompN_UnitValues">ExternalWTP14_HH!$R$85:$R$88</definedName>
    <definedName name="PR14_CompN_UnitValues_CAM">ExternalWTP14_HH!$AE$85:$AE$88</definedName>
    <definedName name="PR14_CompN_WTPCore_Options">ExternalWTP14_HH!$B$85:$B$88</definedName>
    <definedName name="PR14_CompO_NHH_UnitValues">ExternalWTP14_NHH!$R$90:$R$95</definedName>
    <definedName name="PR14_CompO_NHH_UnitValues_CAM">ExternalWTP14_NHH!$AE$90:$AE$95</definedName>
    <definedName name="PR14_CompO_UnitValues">ExternalWTP14_HH!$R$92:$R$97</definedName>
    <definedName name="PR14_CompO_UnitValues_CAM">ExternalWTP14_HH!$AE$92:$AE$97</definedName>
    <definedName name="PR14_CompO_WTPCore_Options">ExternalWTP14_HH!$B$92:$B$97</definedName>
    <definedName name="PR19_CompA_UnitValues">ExternalWTP19_HH!$R$5:$R$8</definedName>
    <definedName name="PR19_CompA_UnitValues_CAM">ExternalWTP19_HH!$AE$5:$AE$8</definedName>
    <definedName name="PR19_CompA_UnitValues_NHH">ExternalWTP19_NHH!$R$5:$R$8</definedName>
    <definedName name="PR19_CompA_UnitValues_NHH_CAM">ExternalWTP19_NHH!$AE$5:$AE$8</definedName>
    <definedName name="PR19_CompA_WTPCore_Options">ExternalWTP19_HH!$B$5:$B$8</definedName>
    <definedName name="PR19_CompB_UnitValues">ExternalWTP19_HH!$R$12:$R$14</definedName>
    <definedName name="PR19_CompB_UnitValues_CAM">ExternalWTP19_HH!$AE$12:$AE$14</definedName>
    <definedName name="PR19_CompB_UnitValues_NHH">ExternalWTP19_NHH!$R$12:$R$14</definedName>
    <definedName name="PR19_CompB_UnitValues_NHH_CAM">ExternalWTP19_NHH!$AE$12:$AE$14</definedName>
    <definedName name="PR19_CompB_WTPCore_Options">ExternalWTP19_HH!$B$12:$B$14</definedName>
    <definedName name="PR19_CompC_UnitValues">ExternalWTP19_HH!$R$18:$R$28</definedName>
    <definedName name="PR19_CompC_UnitValues_CAM">ExternalWTP19_HH!$AE$18:$AE$28</definedName>
    <definedName name="PR19_CompC_UnitValues_NHH">ExternalWTP19_NHH!$R$18:$R$27</definedName>
    <definedName name="PR19_CompC_UnitValues_NHH_CAM">ExternalWTP19_NHH!$AE$18:$AE$27</definedName>
    <definedName name="PR19_CompC_WTPCore_Options">ExternalWTP19_HH!$B$18:$B$28</definedName>
    <definedName name="PR19_CompD_UnitValues">ExternalWTP19_HH!$R$32:$R$42</definedName>
    <definedName name="PR19_CompD_UnitValues_CAM">ExternalWTP19_HH!$AE$32:$AE$42</definedName>
    <definedName name="PR19_CompD_UnitValues_NHH">ExternalWTP19_NHH!$R$31:$R$40</definedName>
    <definedName name="PR19_CompD_UnitValues_NHH_CAM">ExternalWTP19_NHH!$AE$31:$AE$40</definedName>
    <definedName name="PR19_CompD_WTPCore_Options">ExternalWTP19_HH!$B$32:$B$42</definedName>
    <definedName name="PR19_CompE_UnitValues">ExternalWTP19_HH!$R$46:$R$50</definedName>
    <definedName name="PR19_CompE_UnitValues_CAM">ExternalWTP19_HH!$AE$46:$AE$50</definedName>
    <definedName name="PR19_CompE_UnitValues_NHH">ExternalWTP19_NHH!$R$44:$R$48</definedName>
    <definedName name="PR19_CompE_UnitValues_NHH_CAM">ExternalWTP19_NHH!$AE$44:$AE$48</definedName>
    <definedName name="PR19_CompE_WTPCore_Options">ExternalWTP19_HH!$B$46:$B$50</definedName>
    <definedName name="PR19_CompF_UnitValues">ExternalWTP19_HH!$R$54:$R$54</definedName>
    <definedName name="PR19_CompF_UnitValues_CAM">ExternalWTP19_HH!$AE$54:$AE$54</definedName>
    <definedName name="PR19_CompF_WTPCore_Options">ExternalWTP19_HH!$B$54:$B$54</definedName>
    <definedName name="PR19_CompG_UnitValues">ExternalWTP19_HH!$R$58:$R$61</definedName>
    <definedName name="PR19_CompG_UnitValues_CAM">ExternalWTP19_HH!$AE$58:$AE$61</definedName>
    <definedName name="PR19_CompG_UnitValues_NHH">ExternalWTP19_NHH!$R$52:$R$55</definedName>
    <definedName name="PR19_CompG_UnitValues_NHH_CAM">ExternalWTP19_NHH!$AE$52:$AE$55</definedName>
    <definedName name="PR19_CompG_WTPCore_Options">ExternalWTP19_HH!$B$58:$B$61</definedName>
    <definedName name="PR19_CompI_UnitValues">ExternalWTP19_HH!$R$65:$R$68</definedName>
    <definedName name="PR19_CompI_UnitValues_CAM">ExternalWTP19_HH!$AE$65:$AE$68</definedName>
    <definedName name="PR19_CompI_UnitValues_NHH">ExternalWTP19_NHH!$R$59:$R$62</definedName>
    <definedName name="PR19_CompI_UnitValues_NHH_CAM">ExternalWTP19_NHH!$AE$59:$AE$62</definedName>
    <definedName name="PR19_CompI_WTPCore_Options">ExternalWTP19_HH!$B$65:$B$68</definedName>
    <definedName name="PR19_CompJ_UnitValues">ExternalWTP19_HH!$R$72:$R$75</definedName>
    <definedName name="PR19_CompJ_UnitValues_CAM">ExternalWTP19_HH!$AE$72:$AE$75</definedName>
    <definedName name="PR19_CompJ_UnitValues_NHH">ExternalWTP19_NHH!$R$66:$R$69</definedName>
    <definedName name="PR19_CompJ_UnitValues_NHH_CAM">ExternalWTP19_NHH!$AE$66:$AE$69</definedName>
    <definedName name="PR19_CompJ_WTPCore_Options">ExternalWTP19_HH!$B$72:$B$75</definedName>
    <definedName name="PR19_CompL_UnitValues">ExternalWTP19_HH!$R$79:$R$86</definedName>
    <definedName name="PR19_CompL_UnitValues_CAM">ExternalWTP19_HH!$AE$79:$AE$86</definedName>
    <definedName name="PR19_CompL_UnitValues_NHH">ExternalWTP19_NHH!$R$73:$R$80</definedName>
    <definedName name="PR19_CompL_UnitValues_NHH_CAM">ExternalWTP19_NHH!$AE$73:$AE$80</definedName>
    <definedName name="PR19_CompL_WTPCore_Options">ExternalWTP19_HH!$B$79:$B$86</definedName>
    <definedName name="PR19_CompM_UnitValues">ExternalWTP19_HH!$R$90:$R$94</definedName>
    <definedName name="PR19_CompM_UnitValues_CAM">ExternalWTP19_HH!$AE$90:$AE$94</definedName>
    <definedName name="PR19_CompM_UnitValues_NHH">ExternalWTP19_NHH!$R$84:$R$88</definedName>
    <definedName name="PR19_CompM_UnitValues_NHH_CAM">ExternalWTP19_NHH!$AE$84:$AE$88</definedName>
    <definedName name="PR19_CompM_WTPCore_Options">ExternalWTP19_HH!$B$90:$B$94</definedName>
    <definedName name="PR19_CompP_UnitValues">ExternalWTP19_HH!$R$98:$R$100</definedName>
    <definedName name="PR19_CompP_UnitValues_CAM">ExternalWTP19_HH!$AE$98:$AE$100</definedName>
    <definedName name="PR19_CompP_UnitValues_NHH">ExternalWTP19_NHH!$R$92:$R$93</definedName>
    <definedName name="PR19_CompP_UnitValues_NHH_CAM">ExternalWTP19_NHH!$AE$92:$AE$93</definedName>
    <definedName name="PR19_CompP_WTPCore_Options">ExternalWTP19_HH!$B$98:$B$100</definedName>
    <definedName name="PR19_CompQ_UnitValues">ExternalWTP19_HH!$R$104:$R$108</definedName>
    <definedName name="PR19_CompQ_UnitValues_CAM">ExternalWTP19_HH!$AE$104:$AE$108</definedName>
    <definedName name="PR19_CompQ_WTPCore_Options">ExternalWTP19_HH!$B$104:$B$108</definedName>
    <definedName name="PR19_CompT_UnitValues">ExternalWTP19_HH!$R$112:$R$113</definedName>
    <definedName name="PR19_CompT_UnitValues_CAM">ExternalWTP19_HH!$AE$112:$AE$113</definedName>
    <definedName name="PR19_CompT_UnitValues_NHH">ExternalWTP19_NHH!$R$97:$R$98</definedName>
    <definedName name="PR19_CompT_UnitValues_NHH_CAM">ExternalWTP19_NHH!$AE$97:$AE$98</definedName>
    <definedName name="PR19_CompT_WTPCore_Options">ExternalWTP19_HH!$B$112:$B$113</definedName>
    <definedName name="PR19_CompU_UnitValues">ExternalWTP19_HH!$R$117:$R$118</definedName>
    <definedName name="PR19_CompU_UnitValues_CAM">ExternalWTP19_HH!$AE$117:$AE$118</definedName>
    <definedName name="PR19_CompU_UnitValues_NHH">ExternalWTP19_NHH!$R$102:$R$103</definedName>
    <definedName name="PR19_CompU_UnitValues_NHH_CAM">ExternalWTP19_NHH!$AE$102:$AE$103</definedName>
    <definedName name="PR19_CompU_WTPCore_Options">ExternalWTP19_HH!$B$117:$B$118</definedName>
    <definedName name="Priorities_WRMP_options">'Customer priorities'!$B$36:$B$38</definedName>
    <definedName name="Priorities_WTP_options">'Customer priorities'!$B$44:$B$53</definedName>
    <definedName name="RAG">'General Inputs'!$A$19:$A$23</definedName>
    <definedName name="RAGWeights">'General Inputs'!$A$19:$B$23</definedName>
    <definedName name="Satisfaction_WTP_options">Satisfaction!$B$23:$B$26</definedName>
    <definedName name="SSC_MAXWTP_ALL">'WTP Main'!$EN$74:$EN$89</definedName>
    <definedName name="SSC_MAXWTP_HH">'WTP Main'!$EN$26:$EN$41</definedName>
    <definedName name="SSC_MAXWTP_NHH">'WTP Main'!$EN$50:$EN$65</definedName>
    <definedName name="SSC_MINWTP_ALL">'WTP Main'!$EM$74:$EM$89</definedName>
    <definedName name="SSC_MINWTP_HH">'WTP Main'!$EM$26:$EM$41</definedName>
    <definedName name="SSC_MINWTP_NHH">'WTP Main'!$EM$50:$EM$65</definedName>
    <definedName name="SSC_WTP_ALL">'WTP Main'!$EL$74:$EL$89</definedName>
    <definedName name="SSC_WTP_HH">'WTP Main'!$EL$26:$EL$41</definedName>
    <definedName name="SSC_WTP_MAIN_RESULTS">'WTP Main'!$EL$71:$ER$89</definedName>
    <definedName name="SSC_WTP_NHH">'WTP Main'!$EL$50:$EL$65</definedName>
    <definedName name="SSC_WTP_OPTIONS">'WTP Main'!$A$26:$A$41</definedName>
    <definedName name="SSW_bill_impact_leakage">'General Inputs'!$B$30</definedName>
    <definedName name="SSW_bill_impact_metering">'General Inputs'!$C$30</definedName>
    <definedName name="SSW_Contacts_output_WTP">Contacts!$R$27:$R$30</definedName>
    <definedName name="SSW_MAXWTP_ALL">'WTP Main'!$BA$74:$BA$89</definedName>
    <definedName name="SSW_MAXWTP_HH">'WTP Main'!$BA$26:$BA$41</definedName>
    <definedName name="SSW_MAXWTP_NHH">'WTP Main'!$BA$50:$BA$65</definedName>
    <definedName name="SSW_MINWTP_ALL">'WTP Main'!$AZ$74:$AZ$89</definedName>
    <definedName name="SSW_MINWTP_HH">'WTP Main'!$AZ$26:$AZ$41</definedName>
    <definedName name="SSW_MINWTP_NHH">'WTP Main'!$AZ$50:$AZ$65</definedName>
    <definedName name="SSW_PC_Slider_output_WTP">'PC Slider'!$R$347:$R$349</definedName>
    <definedName name="SSW_PR14_Groups">WTPPR14!$D$6:$D$8</definedName>
    <definedName name="SSW_PR14_LMH">WTPPR14!$O$3:$Q$3</definedName>
    <definedName name="SSW_PR14_WTP_Discolour_UnitValues">WTPPR14!$O$9:$Q$10</definedName>
    <definedName name="SSW_PR14_WTP_Hardness_UnitValues">WTPPR14!$O$15:$Q$16</definedName>
    <definedName name="SSW_PR14_WTP_Interruptions_UnitValues">WTPPR14!$O$25:$Q$26</definedName>
    <definedName name="SSW_PR14_WTP_TasteSmell_UnitValues">WTPPR14!$O$6:$Q$7</definedName>
    <definedName name="SSW_PR14_WTP_TempBan_UnitValues">WTPPR14!$O$29:$Q$30</definedName>
    <definedName name="SSW_PR14_WTPCore_Group">WTPPR14!$D$6:$D$7</definedName>
    <definedName name="SSW_PR14_WTPCore_NHH_UnitValues">WTPPR14!$S$60:$S$64</definedName>
    <definedName name="SSW_PR14_WTPCore_Options">WTPPR14!$C$51:$C$55</definedName>
    <definedName name="SSW_PR14_WTPCore_UnitValues">WTPPR14!$S$51:$S$55</definedName>
    <definedName name="SSW_Priorities_output_WRMP">'Customer priorities'!$E$36:$E$38</definedName>
    <definedName name="SSW_Priorities_output_WTP">'Customer priorities'!$Q$44:$Q$53</definedName>
    <definedName name="SSW_Satisfaction_output_WTP">Satisfaction!$R$23:$R$26</definedName>
    <definedName name="SSW_WRMP_COMBSCALES_FINAL">'WRMP Main'!$H$30:$H$38</definedName>
    <definedName name="SSW_WRMP_COMBSCALES_FINAL_HD">'WRMP Main'!$L$30:$L$38</definedName>
    <definedName name="SSW_WRMP_COMBSCALES_FINAL_LD">'WRMP Main'!$K$30:$K$38</definedName>
    <definedName name="SSW_WRMP_MAIN_RESULTS">'WRMP Main'!$H$28:$H$39</definedName>
    <definedName name="SSW_WRMP_Online_Combined">'WRMP online'!$M$5:$M$12</definedName>
    <definedName name="SSW_WRMP_Online_UnitValues">'WRMP online'!$R$20:$R$21</definedName>
    <definedName name="SSW_WRMP_RANK">'WRMP Main'!$M$30:$M$38</definedName>
    <definedName name="SSW_WRMP_Workshop_Combined">'WRMP workshops'!$K$26:$K$34</definedName>
    <definedName name="SSW_WRMP_Workshop_UnitValues">'WRMP workshops'!$R$46:$R$48</definedName>
    <definedName name="SSW_WTP_ALL">'WTP Main'!$AY$74:$AY$89</definedName>
    <definedName name="SSW_WTP_DCE_output_WRMP">WTPCore_DCE2!$J$69:$J$71</definedName>
    <definedName name="SSW_WTP_HH">'WTP Main'!$AY$26:$AY$41</definedName>
    <definedName name="SSW_WTP_Maxdiff_output_WRMP">'WTP core_Maxdiff'!$F$133:$F$135</definedName>
    <definedName name="SSW_WTP_NHH">'WTP Main'!$AY$50:$AY$65</definedName>
    <definedName name="SSW_WTP_PR14">WTPPR14!$A$1</definedName>
    <definedName name="SSW_WTPCore_DCE_Bursts_Levels">'WTP core_DCE'!$E$70:$G$76</definedName>
    <definedName name="SSW_WTPCore_DCE_Bursts_LevelValues">'WTP core_DCE'!$I$70:$N$76</definedName>
    <definedName name="SSW_WTPCore_DCE_Bursts_MaxDiffUIndex">'WTP core_Maxdiff'!$H$70:$J$76</definedName>
    <definedName name="SSW_WTPCore_DCE_Bursts_UnitValues">'WTP core_DCE'!$R$70:$T$76</definedName>
    <definedName name="SSW_WTPCore_DCE_Discolour_Levels">'WTP core_DCE'!$E$14:$G$20</definedName>
    <definedName name="SSW_WTPCore_DCE_Discolour_LevelValues">'WTP core_DCE'!$I$14:$N$20</definedName>
    <definedName name="SSW_WTPCore_DCE_Discolour_MaxDiffUIndex">'WTP core_Maxdiff'!$H$14:$J$20</definedName>
    <definedName name="SSW_WTPCore_DCE_Discolour_UnitValues">'WTP core_DCE'!$R$14:$T$20</definedName>
    <definedName name="SSW_WTPCore_DCE_Drought_Levels">'WTP core_DCE'!$E$56:$G$62</definedName>
    <definedName name="SSW_WTPCore_DCE_Drought_LevelValues">'WTP core_DCE'!$I$56:$N$62</definedName>
    <definedName name="SSW_WTPCore_DCE_Drought_MaxDiffUIndex">'WTP core_Maxdiff'!$H$56:$J$62</definedName>
    <definedName name="SSW_WTPCore_DCE_Drought_UnitValues">'WTP core_DCE'!$R$56:$T$62</definedName>
    <definedName name="SSW_WTPCore_DCE_Hardness_Levels">'WTP core_DCE'!$E$35:$G$41</definedName>
    <definedName name="SSW_WTPCore_DCE_Hardness_LevelValues">'WTP core_DCE'!$I$35:$N$41</definedName>
    <definedName name="SSW_WTPCore_DCE_Hardness_MaxDiffUIndex">'WTP core_Maxdiff'!$H$35:$J$41</definedName>
    <definedName name="SSW_WTPCore_DCE_Hardness_UnitValues">'WTP core_DCE'!$R$35:$T$41</definedName>
    <definedName name="SSW_WTPCore_DCE_ImpactRivers_Levels">'WTP core_DCE'!$E$112:$G$118</definedName>
    <definedName name="SSW_WTPCore_DCE_ImpactRivers_LevelValues">'WTP core_DCE'!$I$112:$N$118</definedName>
    <definedName name="SSW_WTPCore_DCE_ImpactRivers_MaxDiffUIndex">'WTP core_Maxdiff'!$H$112:$J$118</definedName>
    <definedName name="SSW_WTPCore_DCE_ImpactRivers_UnitValues">'WTP core_DCE'!$R$112:$T$118</definedName>
    <definedName name="SSW_WTPCore_DCE_Interruptions_Levels">'WTP core_DCE'!$E$42:$G$48</definedName>
    <definedName name="SSW_WTPCore_DCE_Interruptions_LevelValues">'WTP core_DCE'!$I$42:$N$48</definedName>
    <definedName name="SSW_WTPCore_DCE_Interruptions_MaxDiffUIndex">'WTP core_Maxdiff'!$H$42:$J$48</definedName>
    <definedName name="SSW_WTPCore_DCE_Interruptions_UnitValues">'WTP core_DCE'!$R$42:$T$48</definedName>
    <definedName name="SSW_WTPCore_DCE_Lead_Levels">'WTP core_DCE'!$E$28:$G$34</definedName>
    <definedName name="SSW_WTPCore_DCE_Lead_LevelValues">'WTP core_DCE'!$I$28:$N$34</definedName>
    <definedName name="SSW_WTPCore_DCE_Lead_MaxDiffUIndex">'WTP core_Maxdiff'!$H$28:$J$34</definedName>
    <definedName name="SSW_WTPCore_DCE_Lead_UnitValues">'WTP core_DCE'!$R$28:$T$34</definedName>
    <definedName name="SSW_WTPCore_DCE_Leakage_Levels">'WTP core_DCE'!$E$77:$G$83</definedName>
    <definedName name="SSW_WTPCore_DCE_Leakage_LevelValues">'WTP core_DCE'!$I$77:$N$83</definedName>
    <definedName name="SSW_WTPCore_DCE_Leakage_MaxDiffUIndex">'WTP core_Maxdiff'!$H$77:$J$83</definedName>
    <definedName name="SSW_WTPCore_DCE_Leakage_UnitValues">'WTP core_DCE'!$R$77:$T$83</definedName>
    <definedName name="SSW_WTPCore_DCE_LowPressure_Levels">'WTP core_DCE'!$E$63:$G$69</definedName>
    <definedName name="SSW_WTPCore_DCE_LowPressure_LevelValues">'WTP core_DCE'!$I$63:$N$69</definedName>
    <definedName name="SSW_WTPCore_DCE_LowPressure_MaxDiffUIndex">'WTP core_Maxdiff'!$H$63:$J$69</definedName>
    <definedName name="SSW_WTPCore_DCE_LowPressure_UnitValues">'WTP core_DCE'!$R$63:$T$69</definedName>
    <definedName name="SSW_WTPCore_DCE_Metering_Levels">'WTP core_DCE'!$E$84:$G$90</definedName>
    <definedName name="SSW_WTPCore_DCE_Metering_LevelValues">'WTP core_DCE'!$I$84:$N$90</definedName>
    <definedName name="SSW_WTPCore_DCE_Metering_MaxDiffUIndex">'WTP core_Maxdiff'!$H$84:$J$90</definedName>
    <definedName name="SSW_WTPCore_DCE_Metering_UnitValues">'WTP core_DCE'!$R$84:$T$90</definedName>
    <definedName name="SSW_WTPCore_DCE_NotSafe_Levels">'WTP core_DCE'!$E$7:$G$13</definedName>
    <definedName name="SSW_WTPCore_DCE_NotSafe_LevelValues">'WTP core_DCE'!$I$7:$N$13</definedName>
    <definedName name="SSW_WTPCore_DCE_NotSafe_MaxDiffUIndex">'WTP core_Maxdiff'!$H$7:$J$13</definedName>
    <definedName name="SSW_WTPCore_DCE_NotSafe_UnitValues">'WTP core_DCE'!$R$7:$T$13</definedName>
    <definedName name="SSW_WTPCore_DCE_Renewables_Levels">'WTP core_DCE'!$E$98:$G$104</definedName>
    <definedName name="SSW_WTPCore_DCE_Renewables_LevelValues">'WTP core_DCE'!$I$98:$N$104</definedName>
    <definedName name="SSW_WTPCore_DCE_Renewables_MaxDiffUIndex">'WTP core_Maxdiff'!$H$98:$J$104</definedName>
    <definedName name="SSW_WTPCore_DCE_Renewables_UnitValues">'WTP core_DCE'!$R$98:$T$104</definedName>
    <definedName name="SSW_WTPCore_DCE_SmartMetering_Levels">'WTP core_DCE'!$E$91:$G$97</definedName>
    <definedName name="SSW_WTPCore_DCE_SmartMetering_LevelValues">'WTP core_DCE'!$I$91:$N$97</definedName>
    <definedName name="SSW_WTPCore_DCE_SmartMetering_MaxDiffUIndex">'WTP core_Maxdiff'!$H$91:$J$97</definedName>
    <definedName name="SSW_WTPCore_DCE_SmartMetering_UnitValues">'WTP core_DCE'!$R$91:$T$97</definedName>
    <definedName name="SSW_WTPCore_DCE_TasteSmell_Levels">'WTP core_DCE'!$E$21:$G$27</definedName>
    <definedName name="SSW_WTPCore_DCE_TasteSmell_LevelValues">'WTP core_DCE'!$I$21:$N$27</definedName>
    <definedName name="SSW_WTPCore_DCE_TasteSmell_MaxDiffUIndex">'WTP core_Maxdiff'!$H$21:$J$27</definedName>
    <definedName name="SSW_WTPCore_DCE_TasteSmell_UnitValues">'WTP core_DCE'!$R$21:$T$27</definedName>
    <definedName name="SSW_WTPCore_DCE_TempBan_Levels">'WTP core_DCE'!$E$49:$G$55</definedName>
    <definedName name="SSW_WTPCore_DCE_TempBan_LevelValues">'WTP core_DCE'!$I$49:$N$55</definedName>
    <definedName name="SSW_WTPCore_DCE_TempBan_MaxDiffUIndex">'WTP core_Maxdiff'!$H$49:$J$55</definedName>
    <definedName name="SSW_WTPCore_DCE_TempBan_UnitValues">'WTP core_DCE'!$R$49:$T$55</definedName>
    <definedName name="SSW_WTPCore_DCE_Traffic_Levels">'WTP core_DCE'!$E$119:$G$125</definedName>
    <definedName name="SSW_WTPCore_DCE_Traffic_LevelValues">'WTP core_DCE'!$I$119:$N$125</definedName>
    <definedName name="SSW_WTPCore_DCE_Traffic_MaxDiffUIndex">'WTP core_Maxdiff'!$H$119:$J$125</definedName>
    <definedName name="SSW_WTPCore_DCE_Traffic_UnitValues">'WTP core_DCE'!$R$119:$T$125</definedName>
    <definedName name="SSW_WTPCore_DCE_Wildlife_Levels">'WTP core_DCE'!$E$105:$G$111</definedName>
    <definedName name="SSW_WTPCore_DCE_Wildlife_LevelValues">'WTP core_DCE'!$I$105:$N$111</definedName>
    <definedName name="SSW_WTPCore_DCE_Wildlife_MaxDiffUIndex">'WTP core_Maxdiff'!$H$105:$J$111</definedName>
    <definedName name="SSW_WTPCore_DCE_Wildlife_UnitValues">'WTP core_DCE'!$R$105:$T$111</definedName>
    <definedName name="SSW_WTPCore2_Bursts_Levels">WTPCore_DCE2!$E$23:$G$24</definedName>
    <definedName name="SSW_WTPCore2_Bursts_LevelValues">WTPCore_DCE2!$H$23:$M$24</definedName>
    <definedName name="SSW_WTPCore2_Bursts_UnitValues">WTPCore_DCE2!$Q$23:$S$24</definedName>
    <definedName name="SSW_WTPCore2_Community_UnitValues">WTPCore_DCE2!$Q$35:$S$36</definedName>
    <definedName name="SSW_WTPCore2_Discolour_Levels">WTPCore_DCE2!$E$9:$G$10</definedName>
    <definedName name="SSW_WTPCore2_Discolour_LevelValues">WTPCore_DCE2!$H$9:$M$10</definedName>
    <definedName name="SSW_WTPCore2_Discolour_UnitValues">WTPCore_DCE2!$Q$9:$S$10</definedName>
    <definedName name="SSW_WTPCore2_Educating_UnitValues">WTPCore_DCE2!$Q$37:$S$38</definedName>
    <definedName name="SSW_WTPCore2_Hardness_Levels">WTPCore_DCE2!$E$15:$G$16</definedName>
    <definedName name="SSW_WTPCore2_Hardness_LevelValues">WTPCore_DCE2!$H$15:$M$16</definedName>
    <definedName name="SSW_WTPCore2_Hardness_UnitValues">WTPCore_DCE2!$Q$15:$S$16</definedName>
    <definedName name="SSW_WTPCore2_ImpactRivers_Levels">WTPCore_DCE2!$E$33:$G$34</definedName>
    <definedName name="SSW_WTPCore2_ImpactRivers_LevelValues">WTPCore_DCE2!$H$33:$M$34</definedName>
    <definedName name="SSW_WTPCore2_ImpactRivers_UnitValues">WTPCore_DCE2!$Q$33:$S$34</definedName>
    <definedName name="SSW_WTPCore2_Interruptions_Levels">WTPCore_DCE2!$E$17:$G$18</definedName>
    <definedName name="SSW_WTPCore2_Interruptions_LevelValues">WTPCore_DCE2!$H$17:$M$18</definedName>
    <definedName name="SSW_WTPCore2_Interruptions_UnitValues">WTPCore_DCE2!$Q$17:$S$18</definedName>
    <definedName name="SSW_WTPCore2_Lead_Levels">WTPCore_DCE2!$E$13:$G$14</definedName>
    <definedName name="SSW_WTPCore2_Lead_LevelValues">WTPCore_DCE2!$H$13:$M$14</definedName>
    <definedName name="SSW_WTPCore2_Lead_UnitValues">WTPCore_DCE2!$Q$13:$S$14</definedName>
    <definedName name="SSW_WTPCore2_Leakage_Levels">WTPCore_DCE2!$E$25:$G$26</definedName>
    <definedName name="SSW_WTPCore2_Leakage_LevelValues">WTPCore_DCE2!$H$25:$M$26</definedName>
    <definedName name="SSW_WTPCore2_Leakage_UnitValues">WTPCore_DCE2!$Q$25:$S$26</definedName>
    <definedName name="SSW_WTPCore2_LowBill_Bursts_UnitValues">WTPCore_DCE2_LowBill!$Q$15:$S$15</definedName>
    <definedName name="SSW_WTPCore2_LowBill_Discolour_UnitValues">WTPCore_DCE2_LowBill!$Q$8:$S$8</definedName>
    <definedName name="SSW_WTPCore2_LowBill_Hardness_UnitValues">WTPCore_DCE2_LowBill!$Q$11:$S$11</definedName>
    <definedName name="SSW_WTPCore2_LowBill_ImpactRivers_UnitValues">WTPCore_DCE2_LowBill!$Q$20:$S$20</definedName>
    <definedName name="SSW_WTPCore2_LowBill_Interruptions_UnitValues">WTPCore_DCE2_LowBill!$Q$12:$S$12</definedName>
    <definedName name="SSW_WTPCore2_LowBill_Lead_UnitValues">WTPCore_DCE2_LowBill!$Q$10:$S$10</definedName>
    <definedName name="SSW_WTPCore2_LowBill_Leakage_UnitValues">WTPCore_DCE2_LowBill!$Q$16:$S$16</definedName>
    <definedName name="SSW_WTPCore2_LowBill_LowPressure_UnitValues">WTPCore_DCE2_LowBill!$Q$14:$S$14</definedName>
    <definedName name="SSW_WTPCore2_LowBill_Metering_UnitValues">WTPCore_DCE2_LowBill!$Q$17:$S$17</definedName>
    <definedName name="SSW_WTPCore2_LowBill_NotSafe_UnitValues">WTPCore_DCE2_LowBill!$Q$7:$S$7</definedName>
    <definedName name="SSW_WTPCore2_LowBill_Renewables_UnitValues">WTPCore_DCE2_LowBill!$Q$18:$S$18</definedName>
    <definedName name="SSW_WTPCore2_LowBill_TasteSmell_UnitValues">WTPCore_DCE2_LowBill!$Q$9:$S$9</definedName>
    <definedName name="SSW_WTPCore2_LowBill_TempBan_UnitValues">WTPCore_DCE2_LowBill!$Q$13:$S$13</definedName>
    <definedName name="SSW_WTPCore2_LowBill_Wildlife_UnitValues">WTPCore_DCE2_LowBill!$Q$19:$S$19</definedName>
    <definedName name="SSW_WTPCore2_LowPressure_Levels">WTPCore_DCE2!$E$21:$G$22</definedName>
    <definedName name="SSW_WTPCore2_LowPressure_LevelValues">WTPCore_DCE2!$H$21:$M$22</definedName>
    <definedName name="SSW_WTPCore2_LowPressure_UnitValues">WTPCore_DCE2!$Q$21:$S$22</definedName>
    <definedName name="SSW_WTPCore2_Metering_Levels">WTPCore_DCE2!$E$27:$G$28</definedName>
    <definedName name="SSW_WTPCore2_Metering_LevelValues">WTPCore_DCE2!$H$27:$M$28</definedName>
    <definedName name="SSW_WTPCore2_Metering_UnitValues">WTPCore_DCE2!$Q$27:$S$28</definedName>
    <definedName name="SSW_WTPCore2_NotSafe_Levels">WTPCore_DCE2!$E$7:$G$8</definedName>
    <definedName name="SSW_WTPCore2_NotSafe_LevelValues">WTPCore_DCE2!$H$7:$M$8</definedName>
    <definedName name="SSW_WTPCore2_NotSafe_UnitValues">WTPCore_DCE2!$Q$7:$S$8</definedName>
    <definedName name="SSW_WTPCore2_Renewables_Levels">WTPCore_DCE2!$E$29:$G$30</definedName>
    <definedName name="SSW_WTPCore2_Renewables_LevelValues">WTPCore_DCE2!$H$29:$M$30</definedName>
    <definedName name="SSW_WTPCore2_Renewables_UnitValues">WTPCore_DCE2!$Q$29:$S$30</definedName>
    <definedName name="SSW_WTPCore2_Supporting_UnitValues">WTPCore_DCE2!$Q$39:$S$40</definedName>
    <definedName name="SSW_WTPCore2_TasteSmell_Levels">WTPCore_DCE2!$E$11:$G$12</definedName>
    <definedName name="SSW_WTPCore2_TasteSmell_LevelValues">WTPCore_DCE2!$H$11:$M$12</definedName>
    <definedName name="SSW_WTPCore2_TasteSmell_UnitValues">WTPCore_DCE2!$Q$11:$S$12</definedName>
    <definedName name="SSW_WTPCore2_TempBan_Levels">WTPCore_DCE2!$E$19:$G$20</definedName>
    <definedName name="SSW_WTPCore2_TempBan_LevelValues">WTPCore_DCE2!$H$19:$M$20</definedName>
    <definedName name="SSW_WTPCore2_TempBan_UnitValues">WTPCore_DCE2!$Q$19:$S$20</definedName>
    <definedName name="SSW_WTPCore2_Wildlife_Levels">WTPCore_DCE2!$E$31:$G$32</definedName>
    <definedName name="SSW_WTPCore2_Wildlife_LevelValues">WTPCore_DCE2!$H$31:$M$32</definedName>
    <definedName name="SSW_WTPCore2_Wildlife_UnitValues">WTPCore_DCE2!$Q$31:$S$32</definedName>
    <definedName name="SSW_WTPMaxdiff_WTP_NHH_Unitvalues">'WTP core_Maxdiff'!$R$217:$R$233</definedName>
    <definedName name="SSW_WTPMaxdiff_WTP_Unitvalues">'WTP core_Maxdiff'!$R$143:$R$159</definedName>
    <definedName name="VSSW_WTPCore2_Community_UnitValues">WTPCore_DCE2!$Q$35:$S$36</definedName>
    <definedName name="w_contacts_WTP">'WTP Main'!$C$11</definedName>
    <definedName name="w_extWTP_WTP">'WTP Main'!$C$17</definedName>
    <definedName name="w_priorities_WRMP">'WRMP Main'!$C$7</definedName>
    <definedName name="w_priorities_WTP">'WTP Main'!$C$10</definedName>
    <definedName name="w_satisfaction_WTP">'WTP Main'!$C$12</definedName>
    <definedName name="w_WRMPonline_WRMP">'WRMP Main'!$C$5</definedName>
    <definedName name="w_WRMPonline_WTP">'WTP Main'!$C$14</definedName>
    <definedName name="w_WRMPworkshops_WRMP">'WRMP Main'!$C$6</definedName>
    <definedName name="w_WRMPworkshops_WTP">'WTP Main'!$C$15</definedName>
    <definedName name="w_WTPchoicexp_WTP">'WTP Main'!$C$4</definedName>
    <definedName name="w_WTPcore_WRMP">'WRMP Main'!$C$8</definedName>
    <definedName name="w_WTPmaxdiff_WTP">'WTP Main'!$C$5</definedName>
    <definedName name="WRMP_core_online_results">'WRMP online'!$A$1</definedName>
    <definedName name="WRMP_core_workshop_results">'WRMP workshops'!$A$2</definedName>
    <definedName name="WRMP_online_options">'WRMP online'!$A$5:$A$12</definedName>
    <definedName name="WRMP_Online_WTPAtts">'WRMP online'!$B$20:$B$21</definedName>
    <definedName name="WRMP_OPTIONS_FINAL">'WRMP Main'!$A$30:$A$38</definedName>
    <definedName name="WRMP_workshop_options">'WRMP workshops'!$A$26:$A$34</definedName>
    <definedName name="WRMP_Workshop_WTPAtts">'WRMP workshops'!$B$46:$B$48</definedName>
    <definedName name="WTP_core_Maxdiff">'WTP core_Maxdiff'!$A$2</definedName>
    <definedName name="WTP_WRMP_options">WTPCore_DCE2!$B$69:$B$71</definedName>
    <definedName name="WTPCore_AttLevels">'WTP core_DCE'!$E$6:$G$6</definedName>
    <definedName name="WTPCore_Attributes">'WTP Main'!$B$28:$B$40</definedName>
    <definedName name="WTPCore_Group">'WTP core_DCE'!$D$21:$D$27</definedName>
    <definedName name="WTPCore_LevelValues">'WTP core_DCE'!$I$6:$N$6</definedName>
    <definedName name="WTPCore_Maxdiff_Group">'WTP core_Maxdiff'!$D$7:$D$8</definedName>
    <definedName name="WTPCore_MDValues">'WTP core_Maxdiff'!$H$4:$J$4</definedName>
    <definedName name="WTPCore2_AttLevels">WTPCore_DCE2!$E$6:$G$6</definedName>
    <definedName name="WTPCore2_Group">WTPCore_DCE2!$D$7:$D$8</definedName>
    <definedName name="WTPCore2_LevelValues">WTPCore_DCE2!$H$6:$M$6</definedName>
    <definedName name="WTPMaxdiff_WTP_options">'WTP core_Maxdiff'!$C$143:$C$159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P100" i="29" l="1"/>
  <c r="Z17" i="49" l="1"/>
  <c r="Y17" i="49"/>
  <c r="Q17" i="49"/>
  <c r="P17" i="49"/>
  <c r="H17" i="49"/>
  <c r="G17" i="49"/>
  <c r="Z16" i="49"/>
  <c r="Y16" i="49"/>
  <c r="Q16" i="49"/>
  <c r="P16" i="49"/>
  <c r="H16" i="49"/>
  <c r="G16" i="49"/>
  <c r="C9" i="29" l="1"/>
  <c r="G24" i="29" l="1"/>
  <c r="BS29" i="29"/>
  <c r="BS58" i="29"/>
  <c r="BS63" i="29"/>
  <c r="BS39" i="29"/>
  <c r="G54" i="29"/>
  <c r="G58" i="29"/>
  <c r="BS26" i="29"/>
  <c r="G52" i="29"/>
  <c r="BS51" i="29"/>
  <c r="BS37" i="29"/>
  <c r="BS27" i="29"/>
  <c r="BS57" i="29"/>
  <c r="G59" i="29"/>
  <c r="L26" i="29"/>
  <c r="G55" i="29"/>
  <c r="G57" i="29"/>
  <c r="BS55" i="29"/>
  <c r="BS56" i="29"/>
  <c r="BS34" i="29"/>
  <c r="BS59" i="29"/>
  <c r="G63" i="29"/>
  <c r="G26" i="29"/>
  <c r="BS33" i="29"/>
  <c r="G50" i="29"/>
  <c r="BS64" i="29"/>
  <c r="BS36" i="29"/>
  <c r="BS35" i="29"/>
  <c r="BS38" i="29"/>
  <c r="G53" i="29"/>
  <c r="BS50" i="29"/>
  <c r="BS40" i="29"/>
  <c r="BS31" i="29"/>
  <c r="BS54" i="29"/>
  <c r="BS60" i="29"/>
  <c r="BS32" i="29"/>
  <c r="G60" i="29"/>
  <c r="BS28" i="29"/>
  <c r="BS30" i="29"/>
  <c r="G64" i="29"/>
  <c r="G51" i="29"/>
  <c r="G56" i="29"/>
  <c r="BS52" i="29"/>
  <c r="BS53" i="29"/>
  <c r="BV256" i="29" l="1"/>
  <c r="BV255" i="29"/>
  <c r="BV252" i="29"/>
  <c r="BV251" i="29"/>
  <c r="BV220" i="29"/>
  <c r="BV219" i="29"/>
  <c r="BV191" i="29"/>
  <c r="BV187" i="29"/>
  <c r="BV163" i="29"/>
  <c r="BV162" i="29"/>
  <c r="BV157" i="29"/>
  <c r="BV156" i="29"/>
  <c r="BV140" i="29"/>
  <c r="BV141" i="29"/>
  <c r="BV137" i="29"/>
  <c r="BV142" i="29"/>
  <c r="BV139" i="29"/>
  <c r="BV138" i="29"/>
  <c r="BV136" i="29"/>
  <c r="BV135" i="29"/>
  <c r="BV130" i="29"/>
  <c r="BV127" i="29"/>
  <c r="BV126" i="29"/>
  <c r="BV128" i="29"/>
  <c r="BV131" i="29"/>
  <c r="BV129" i="29"/>
  <c r="BV125" i="29"/>
  <c r="BV124" i="29"/>
  <c r="G256" i="29"/>
  <c r="G255" i="29"/>
  <c r="G191" i="29"/>
  <c r="G163" i="29"/>
  <c r="G162" i="29"/>
  <c r="G142" i="29"/>
  <c r="G141" i="29"/>
  <c r="G138" i="29"/>
  <c r="G139" i="29"/>
  <c r="G140" i="29"/>
  <c r="G136" i="29"/>
  <c r="G137" i="29"/>
  <c r="G135" i="29"/>
  <c r="H124" i="29"/>
  <c r="G124" i="29"/>
  <c r="X28" i="21"/>
  <c r="G37" i="29"/>
  <c r="G35" i="29"/>
  <c r="G34" i="29"/>
  <c r="G38" i="29"/>
  <c r="G28" i="29"/>
  <c r="G39" i="29"/>
  <c r="G32" i="29"/>
  <c r="G36" i="29"/>
  <c r="G31" i="29"/>
  <c r="G33" i="29"/>
  <c r="D26" i="29"/>
  <c r="G40" i="29"/>
  <c r="G29" i="29"/>
  <c r="G30" i="29"/>
  <c r="G27" i="29"/>
  <c r="G252" i="29" l="1"/>
  <c r="G251" i="29"/>
  <c r="G220" i="29"/>
  <c r="G219" i="29"/>
  <c r="G187" i="29"/>
  <c r="G157" i="29"/>
  <c r="G156" i="29"/>
  <c r="G128" i="29"/>
  <c r="G126" i="29"/>
  <c r="G129" i="29"/>
  <c r="G125" i="29"/>
  <c r="G131" i="29"/>
  <c r="G127" i="29"/>
  <c r="G130" i="29"/>
  <c r="E124" i="29"/>
  <c r="R25" i="45"/>
  <c r="AA64" i="40"/>
  <c r="A69" i="45" l="1"/>
  <c r="V70" i="45"/>
  <c r="V69" i="45"/>
  <c r="F70" i="45"/>
  <c r="Y55" i="40"/>
  <c r="F69" i="45"/>
  <c r="E69" i="45"/>
  <c r="U69" i="45"/>
  <c r="U70" i="45"/>
  <c r="E70" i="45"/>
  <c r="G70" i="45" l="1"/>
  <c r="W70" i="45"/>
  <c r="W69" i="45"/>
  <c r="G69" i="45"/>
  <c r="CD65" i="29"/>
  <c r="CC65" i="29"/>
  <c r="R65" i="29"/>
  <c r="Q65" i="29"/>
  <c r="P65" i="29"/>
  <c r="I284" i="29" s="1"/>
  <c r="CD64" i="29"/>
  <c r="CC64" i="29"/>
  <c r="R64" i="29"/>
  <c r="Q64" i="29"/>
  <c r="P64" i="29"/>
  <c r="I256" i="29" s="1"/>
  <c r="CD63" i="29"/>
  <c r="CC63" i="29"/>
  <c r="R63" i="29"/>
  <c r="Q63" i="29"/>
  <c r="P63" i="29"/>
  <c r="I255" i="29" s="1"/>
  <c r="P62" i="29"/>
  <c r="P61" i="29"/>
  <c r="P60" i="29"/>
  <c r="I191" i="29" s="1"/>
  <c r="CD59" i="29"/>
  <c r="CC59" i="29"/>
  <c r="P59" i="29"/>
  <c r="I162" i="29" s="1"/>
  <c r="CD58" i="29"/>
  <c r="CC58" i="29"/>
  <c r="CD57" i="29"/>
  <c r="CC57" i="29"/>
  <c r="P57" i="29"/>
  <c r="I136" i="29" s="1"/>
  <c r="CD56" i="29"/>
  <c r="CC56" i="29"/>
  <c r="P56" i="29"/>
  <c r="I141" i="29" s="1"/>
  <c r="CD55" i="29"/>
  <c r="CC55" i="29"/>
  <c r="CD54" i="29"/>
  <c r="CC54" i="29"/>
  <c r="CD53" i="29"/>
  <c r="CC53" i="29"/>
  <c r="P53" i="29"/>
  <c r="I142" i="29" s="1"/>
  <c r="CD52" i="29"/>
  <c r="CC52" i="29"/>
  <c r="CD51" i="29"/>
  <c r="CC51" i="29"/>
  <c r="P50" i="29"/>
  <c r="I135" i="29" s="1"/>
  <c r="CD41" i="29"/>
  <c r="CC41" i="29"/>
  <c r="CA41" i="29"/>
  <c r="BZ41" i="29"/>
  <c r="R41" i="29"/>
  <c r="Q41" i="29"/>
  <c r="P41" i="29"/>
  <c r="I280" i="29" s="1"/>
  <c r="O41" i="29"/>
  <c r="N41" i="29"/>
  <c r="CD40" i="29"/>
  <c r="CC40" i="29"/>
  <c r="CA40" i="29"/>
  <c r="BZ40" i="29"/>
  <c r="BY40" i="29"/>
  <c r="R40" i="29"/>
  <c r="Q40" i="29"/>
  <c r="P40" i="29"/>
  <c r="I252" i="29" s="1"/>
  <c r="O40" i="29"/>
  <c r="N40" i="29"/>
  <c r="M40" i="29"/>
  <c r="CD39" i="29"/>
  <c r="CC39" i="29"/>
  <c r="CA39" i="29"/>
  <c r="BZ39" i="29"/>
  <c r="R39" i="29"/>
  <c r="Q39" i="29"/>
  <c r="P39" i="29"/>
  <c r="I251" i="29" s="1"/>
  <c r="O39" i="29"/>
  <c r="N39" i="29"/>
  <c r="CA38" i="29"/>
  <c r="BZ38" i="29"/>
  <c r="BY38" i="29"/>
  <c r="P38" i="29"/>
  <c r="O38" i="29"/>
  <c r="N38" i="29"/>
  <c r="M38" i="29"/>
  <c r="CC37" i="29"/>
  <c r="CB219" i="29" s="1"/>
  <c r="CA37" i="29"/>
  <c r="BZ37" i="29"/>
  <c r="BY37" i="29"/>
  <c r="Q37" i="29"/>
  <c r="L219" i="29" s="1"/>
  <c r="P37" i="29"/>
  <c r="O37" i="29"/>
  <c r="N37" i="29"/>
  <c r="M37" i="29"/>
  <c r="CA36" i="29"/>
  <c r="BZ36" i="29"/>
  <c r="P36" i="29"/>
  <c r="I187" i="29" s="1"/>
  <c r="O36" i="29"/>
  <c r="N36" i="29"/>
  <c r="CD35" i="29"/>
  <c r="CC35" i="29"/>
  <c r="CA35" i="29"/>
  <c r="CD156" i="29" s="1"/>
  <c r="BZ35" i="29"/>
  <c r="CC156" i="29" s="1"/>
  <c r="BY35" i="29"/>
  <c r="CB156" i="29" s="1"/>
  <c r="R35" i="29"/>
  <c r="Q35" i="29"/>
  <c r="P35" i="29"/>
  <c r="I156" i="29" s="1"/>
  <c r="O35" i="29"/>
  <c r="N35" i="29"/>
  <c r="M35" i="29"/>
  <c r="CD34" i="29"/>
  <c r="CC34" i="29"/>
  <c r="CA34" i="29"/>
  <c r="CD157" i="29" s="1"/>
  <c r="BZ34" i="29"/>
  <c r="CC157" i="29" s="1"/>
  <c r="BY34" i="29"/>
  <c r="CB157" i="29" s="1"/>
  <c r="R34" i="29"/>
  <c r="Q34" i="29"/>
  <c r="O34" i="29"/>
  <c r="N34" i="29"/>
  <c r="M34" i="29"/>
  <c r="CD33" i="29"/>
  <c r="CC33" i="29"/>
  <c r="CA33" i="29"/>
  <c r="CD125" i="29" s="1"/>
  <c r="BZ33" i="29"/>
  <c r="CC125" i="29" s="1"/>
  <c r="BY33" i="29"/>
  <c r="CB125" i="29" s="1"/>
  <c r="R33" i="29"/>
  <c r="Q33" i="29"/>
  <c r="P33" i="29"/>
  <c r="O33" i="29"/>
  <c r="N33" i="29"/>
  <c r="M33" i="29"/>
  <c r="CD32" i="29"/>
  <c r="CC32" i="29"/>
  <c r="BZ32" i="29"/>
  <c r="CC130" i="29" s="1"/>
  <c r="R32" i="29"/>
  <c r="Q32" i="29"/>
  <c r="P32" i="29"/>
  <c r="N32" i="29"/>
  <c r="CD31" i="29"/>
  <c r="CC31" i="29"/>
  <c r="R31" i="29"/>
  <c r="Q31" i="29"/>
  <c r="CD30" i="29"/>
  <c r="CC30" i="29"/>
  <c r="CA30" i="29"/>
  <c r="CD127" i="29" s="1"/>
  <c r="BZ30" i="29"/>
  <c r="CC127" i="29" s="1"/>
  <c r="R30" i="29"/>
  <c r="Q30" i="29"/>
  <c r="O30" i="29"/>
  <c r="N30" i="29"/>
  <c r="CD29" i="29"/>
  <c r="CC29" i="29"/>
  <c r="CA29" i="29"/>
  <c r="CD131" i="29" s="1"/>
  <c r="BZ29" i="29"/>
  <c r="CC131" i="29" s="1"/>
  <c r="R29" i="29"/>
  <c r="Q29" i="29"/>
  <c r="P29" i="29"/>
  <c r="O29" i="29"/>
  <c r="N29" i="29"/>
  <c r="CD28" i="29"/>
  <c r="CC28" i="29"/>
  <c r="R28" i="29"/>
  <c r="Q28" i="29"/>
  <c r="CD27" i="29"/>
  <c r="CC27" i="29"/>
  <c r="R27" i="29"/>
  <c r="Q27" i="29"/>
  <c r="CA26" i="29"/>
  <c r="CD124" i="29" s="1"/>
  <c r="P26" i="29"/>
  <c r="O26" i="29"/>
  <c r="CD284" i="29" l="1"/>
  <c r="CD280" i="29"/>
  <c r="CC252" i="29"/>
  <c r="CC256" i="29"/>
  <c r="CC284" i="29"/>
  <c r="CC280" i="29"/>
  <c r="P252" i="29"/>
  <c r="P256" i="29"/>
  <c r="O252" i="29"/>
  <c r="O256" i="29"/>
  <c r="O251" i="29"/>
  <c r="O255" i="29"/>
  <c r="P251" i="29"/>
  <c r="P255" i="29"/>
  <c r="N252" i="29"/>
  <c r="N256" i="29"/>
  <c r="X54" i="35"/>
  <c r="J54" i="35"/>
  <c r="O29" i="45" l="1"/>
  <c r="R29" i="45" s="1"/>
  <c r="K51" i="25" l="1"/>
  <c r="Z6" i="10"/>
  <c r="D5" i="47" l="1"/>
  <c r="J5" i="47"/>
  <c r="K5" i="47" s="1"/>
  <c r="U5" i="47"/>
  <c r="AA5" i="47"/>
  <c r="AB5" i="47" s="1"/>
  <c r="D6" i="47"/>
  <c r="J6" i="47"/>
  <c r="K6" i="47"/>
  <c r="U6" i="47"/>
  <c r="AA6" i="47"/>
  <c r="AB6" i="47" s="1"/>
  <c r="D7" i="47"/>
  <c r="J7" i="47"/>
  <c r="K7" i="47" s="1"/>
  <c r="U7" i="47"/>
  <c r="AA7" i="47"/>
  <c r="AB7" i="47" s="1"/>
  <c r="D8" i="47"/>
  <c r="J8" i="47"/>
  <c r="K8" i="47" s="1"/>
  <c r="U9" i="47"/>
  <c r="AA9" i="47"/>
  <c r="AB9" i="47"/>
  <c r="D10" i="47"/>
  <c r="J10" i="47"/>
  <c r="K10" i="47" s="1"/>
  <c r="D11" i="47"/>
  <c r="J11" i="47"/>
  <c r="K11" i="47" s="1"/>
  <c r="U11" i="47"/>
  <c r="AA11" i="47"/>
  <c r="AB11" i="47" s="1"/>
  <c r="D12" i="47"/>
  <c r="J12" i="47"/>
  <c r="K12" i="47" s="1"/>
  <c r="U12" i="47"/>
  <c r="AA12" i="47"/>
  <c r="AB12" i="47" s="1"/>
  <c r="D14" i="47"/>
  <c r="E7" i="47" s="1"/>
  <c r="F14" i="47"/>
  <c r="G6" i="47" s="1"/>
  <c r="W14" i="47"/>
  <c r="X11" i="47" s="1"/>
  <c r="A20" i="47"/>
  <c r="E12" i="47" l="1"/>
  <c r="U14" i="47"/>
  <c r="V12" i="47" s="1"/>
  <c r="E11" i="47"/>
  <c r="E8" i="47"/>
  <c r="V7" i="47"/>
  <c r="E6" i="47"/>
  <c r="E5" i="47"/>
  <c r="AB14" i="47"/>
  <c r="AC6" i="47" s="1"/>
  <c r="AC11" i="47"/>
  <c r="K14" i="47"/>
  <c r="L11" i="47" s="1"/>
  <c r="G12" i="47"/>
  <c r="X9" i="47"/>
  <c r="X6" i="47"/>
  <c r="X12" i="47"/>
  <c r="G10" i="47"/>
  <c r="V9" i="47"/>
  <c r="G7" i="47"/>
  <c r="G5" i="47"/>
  <c r="G11" i="47"/>
  <c r="E10" i="47"/>
  <c r="X7" i="47"/>
  <c r="X5" i="47"/>
  <c r="G8" i="47"/>
  <c r="V11" i="47" l="1"/>
  <c r="V5" i="47"/>
  <c r="V14" i="47" s="1"/>
  <c r="AD11" i="47"/>
  <c r="V6" i="47"/>
  <c r="AD6" i="47" s="1"/>
  <c r="L12" i="47"/>
  <c r="M12" i="47" s="1"/>
  <c r="M11" i="47"/>
  <c r="G14" i="47"/>
  <c r="L5" i="47"/>
  <c r="M5" i="47"/>
  <c r="L8" i="47"/>
  <c r="M8" i="47" s="1"/>
  <c r="AC12" i="47"/>
  <c r="AD12" i="47" s="1"/>
  <c r="AC7" i="47"/>
  <c r="AD7" i="47" s="1"/>
  <c r="AC9" i="47"/>
  <c r="AD9" i="47" s="1"/>
  <c r="L6" i="47"/>
  <c r="M6" i="47" s="1"/>
  <c r="AC5" i="47"/>
  <c r="AD5" i="47" s="1"/>
  <c r="X14" i="47"/>
  <c r="E14" i="47"/>
  <c r="L7" i="47"/>
  <c r="M7" i="47" s="1"/>
  <c r="L10" i="47"/>
  <c r="M10" i="47" s="1"/>
  <c r="AH20" i="47"/>
  <c r="A21" i="47"/>
  <c r="AD14" i="47" l="1"/>
  <c r="AA20" i="47"/>
  <c r="AB20" i="47" s="1"/>
  <c r="M14" i="47"/>
  <c r="J20" i="47"/>
  <c r="K20" i="47" s="1"/>
  <c r="L14" i="47"/>
  <c r="AC14" i="47"/>
  <c r="J21" i="47"/>
  <c r="K21" i="47" s="1"/>
  <c r="AA21" i="47" l="1"/>
  <c r="AB21" i="47" s="1"/>
  <c r="AH21" i="47"/>
  <c r="J22" i="47"/>
  <c r="K22" i="47"/>
  <c r="AB22" i="47" l="1"/>
  <c r="AA22" i="47"/>
  <c r="C8" i="29" l="1"/>
  <c r="L24" i="29" l="1"/>
  <c r="BX24" i="29"/>
  <c r="AE20" i="46"/>
  <c r="AH20" i="46" s="1"/>
  <c r="AD20" i="46"/>
  <c r="AG20" i="46" s="1"/>
  <c r="AC20" i="46"/>
  <c r="AF20" i="46" s="1"/>
  <c r="P20" i="46"/>
  <c r="S20" i="46" s="1"/>
  <c r="O20" i="46"/>
  <c r="R20" i="46" s="1"/>
  <c r="N20" i="46"/>
  <c r="Q20" i="46" s="1"/>
  <c r="AE19" i="46"/>
  <c r="AH19" i="46" s="1"/>
  <c r="AD19" i="46"/>
  <c r="AG19" i="46" s="1"/>
  <c r="AC19" i="46"/>
  <c r="AF19" i="46" s="1"/>
  <c r="P19" i="46"/>
  <c r="S19" i="46" s="1"/>
  <c r="O19" i="46"/>
  <c r="R19" i="46" s="1"/>
  <c r="N19" i="46"/>
  <c r="Q19" i="46" s="1"/>
  <c r="AE18" i="46"/>
  <c r="AH18" i="46" s="1"/>
  <c r="AD18" i="46"/>
  <c r="AG18" i="46" s="1"/>
  <c r="AC18" i="46"/>
  <c r="AF18" i="46" s="1"/>
  <c r="P18" i="46"/>
  <c r="S18" i="46" s="1"/>
  <c r="O18" i="46"/>
  <c r="R18" i="46" s="1"/>
  <c r="N18" i="46"/>
  <c r="Q18" i="46" s="1"/>
  <c r="AE17" i="46"/>
  <c r="AH17" i="46" s="1"/>
  <c r="AD17" i="46"/>
  <c r="AG17" i="46" s="1"/>
  <c r="AC17" i="46"/>
  <c r="AF17" i="46" s="1"/>
  <c r="P17" i="46"/>
  <c r="S17" i="46" s="1"/>
  <c r="O17" i="46"/>
  <c r="R17" i="46" s="1"/>
  <c r="N17" i="46"/>
  <c r="Q17" i="46" s="1"/>
  <c r="AE16" i="46"/>
  <c r="AH16" i="46" s="1"/>
  <c r="AD16" i="46"/>
  <c r="AG16" i="46" s="1"/>
  <c r="AC16" i="46"/>
  <c r="AF16" i="46" s="1"/>
  <c r="P16" i="46"/>
  <c r="S16" i="46" s="1"/>
  <c r="O16" i="46"/>
  <c r="R16" i="46" s="1"/>
  <c r="N16" i="46"/>
  <c r="Q16" i="46" s="1"/>
  <c r="AE15" i="46"/>
  <c r="AD15" i="46"/>
  <c r="AC15" i="46"/>
  <c r="V15" i="46"/>
  <c r="U15" i="46"/>
  <c r="T15" i="46"/>
  <c r="P15" i="46"/>
  <c r="O15" i="46"/>
  <c r="N15" i="46"/>
  <c r="G15" i="46"/>
  <c r="F15" i="46"/>
  <c r="E15" i="46"/>
  <c r="AE14" i="46"/>
  <c r="AD14" i="46"/>
  <c r="AC14" i="46"/>
  <c r="V14" i="46"/>
  <c r="U14" i="46"/>
  <c r="T14" i="46"/>
  <c r="P14" i="46"/>
  <c r="O14" i="46"/>
  <c r="N14" i="46"/>
  <c r="G14" i="46"/>
  <c r="F14" i="46"/>
  <c r="E14" i="46"/>
  <c r="AE13" i="46"/>
  <c r="AD13" i="46"/>
  <c r="AC13" i="46"/>
  <c r="V13" i="46"/>
  <c r="U13" i="46"/>
  <c r="T13" i="46"/>
  <c r="P13" i="46"/>
  <c r="O13" i="46"/>
  <c r="N13" i="46"/>
  <c r="G13" i="46"/>
  <c r="F13" i="46"/>
  <c r="E13" i="46"/>
  <c r="AE12" i="46"/>
  <c r="AD12" i="46"/>
  <c r="AC12" i="46"/>
  <c r="V12" i="46"/>
  <c r="U12" i="46"/>
  <c r="T12" i="46"/>
  <c r="P12" i="46"/>
  <c r="O12" i="46"/>
  <c r="N12" i="46"/>
  <c r="G12" i="46"/>
  <c r="F12" i="46"/>
  <c r="E12" i="46"/>
  <c r="AE11" i="46"/>
  <c r="AH11" i="46" s="1"/>
  <c r="AD11" i="46"/>
  <c r="AG11" i="46" s="1"/>
  <c r="AC11" i="46"/>
  <c r="AF11" i="46" s="1"/>
  <c r="P11" i="46"/>
  <c r="S11" i="46" s="1"/>
  <c r="O11" i="46"/>
  <c r="R11" i="46" s="1"/>
  <c r="N11" i="46"/>
  <c r="Q11" i="46" s="1"/>
  <c r="AE10" i="46"/>
  <c r="AD10" i="46"/>
  <c r="AC10" i="46"/>
  <c r="V10" i="46"/>
  <c r="U10" i="46"/>
  <c r="T10" i="46"/>
  <c r="P10" i="46"/>
  <c r="O10" i="46"/>
  <c r="N10" i="46"/>
  <c r="G10" i="46"/>
  <c r="F10" i="46"/>
  <c r="E10" i="46"/>
  <c r="AE9" i="46"/>
  <c r="AD9" i="46"/>
  <c r="AC9" i="46"/>
  <c r="V9" i="46"/>
  <c r="U9" i="46"/>
  <c r="T9" i="46"/>
  <c r="P9" i="46"/>
  <c r="O9" i="46"/>
  <c r="N9" i="46"/>
  <c r="G9" i="46"/>
  <c r="F9" i="46"/>
  <c r="E9" i="46"/>
  <c r="AE8" i="46"/>
  <c r="AD8" i="46"/>
  <c r="AC8" i="46"/>
  <c r="V8" i="46"/>
  <c r="U8" i="46"/>
  <c r="T8" i="46"/>
  <c r="P8" i="46"/>
  <c r="O8" i="46"/>
  <c r="N8" i="46"/>
  <c r="G8" i="46"/>
  <c r="F8" i="46"/>
  <c r="E8" i="46"/>
  <c r="AE7" i="46"/>
  <c r="AD7" i="46"/>
  <c r="AC7" i="46"/>
  <c r="V7" i="46"/>
  <c r="U7" i="46"/>
  <c r="T7" i="46"/>
  <c r="P7" i="46"/>
  <c r="O7" i="46"/>
  <c r="N7" i="46"/>
  <c r="G7" i="46"/>
  <c r="F7" i="46"/>
  <c r="E7" i="46"/>
  <c r="Q10" i="46" l="1"/>
  <c r="Q8" i="46"/>
  <c r="S10" i="46"/>
  <c r="S8" i="46"/>
  <c r="Q15" i="46"/>
  <c r="AG8" i="46"/>
  <c r="AF7" i="46"/>
  <c r="AG13" i="46"/>
  <c r="AG15" i="46"/>
  <c r="AF15" i="46"/>
  <c r="Q13" i="46"/>
  <c r="S13" i="46"/>
  <c r="AH7" i="46"/>
  <c r="S7" i="46"/>
  <c r="R8" i="46"/>
  <c r="AH8" i="46"/>
  <c r="AH12" i="46"/>
  <c r="R13" i="46"/>
  <c r="AH13" i="46"/>
  <c r="R14" i="46"/>
  <c r="AF10" i="46"/>
  <c r="S12" i="46"/>
  <c r="R9" i="46"/>
  <c r="AH9" i="46"/>
  <c r="AG10" i="46"/>
  <c r="AF12" i="46"/>
  <c r="AH14" i="46"/>
  <c r="R15" i="46"/>
  <c r="AH15" i="46"/>
  <c r="R7" i="46"/>
  <c r="R10" i="46"/>
  <c r="AH10" i="46"/>
  <c r="S15" i="46"/>
  <c r="S9" i="46"/>
  <c r="S14" i="46"/>
  <c r="AF8" i="46"/>
  <c r="AF9" i="46"/>
  <c r="R12" i="46"/>
  <c r="AF13" i="46"/>
  <c r="AF14" i="46"/>
  <c r="Q9" i="46"/>
  <c r="Q14" i="46"/>
  <c r="Q7" i="46"/>
  <c r="Q12" i="46"/>
  <c r="AG7" i="46"/>
  <c r="AG9" i="46"/>
  <c r="AG12" i="46"/>
  <c r="AG14" i="46"/>
  <c r="C7" i="29"/>
  <c r="BU48" i="29" s="1"/>
  <c r="C6" i="29"/>
  <c r="I24" i="29" s="1"/>
  <c r="BU24" i="29" l="1"/>
  <c r="O7" i="21"/>
  <c r="AG122" i="21"/>
  <c r="AF122" i="21"/>
  <c r="AE122" i="21"/>
  <c r="AG121" i="21"/>
  <c r="AF121" i="21"/>
  <c r="AE121" i="21"/>
  <c r="AG120" i="21"/>
  <c r="AF120" i="21"/>
  <c r="AF123" i="21" s="1"/>
  <c r="AE120" i="21"/>
  <c r="AG119" i="21"/>
  <c r="AF119" i="21"/>
  <c r="AE119" i="21"/>
  <c r="AG115" i="21"/>
  <c r="AJ115" i="21" s="1"/>
  <c r="AJ117" i="21" s="1"/>
  <c r="AF115" i="21"/>
  <c r="AI115" i="21" s="1"/>
  <c r="AI117" i="21" s="1"/>
  <c r="AE115" i="21"/>
  <c r="AH115" i="21" s="1"/>
  <c r="AH117" i="21" s="1"/>
  <c r="AG114" i="21"/>
  <c r="AJ114" i="21" s="1"/>
  <c r="AF114" i="21"/>
  <c r="AI114" i="21" s="1"/>
  <c r="AE114" i="21"/>
  <c r="AH114" i="21" s="1"/>
  <c r="AG113" i="21"/>
  <c r="AJ113" i="21" s="1"/>
  <c r="AJ116" i="21" s="1"/>
  <c r="AJ118" i="21" s="1"/>
  <c r="AF113" i="21"/>
  <c r="AF116" i="21" s="1"/>
  <c r="AE113" i="21"/>
  <c r="AH113" i="21" s="1"/>
  <c r="AH116" i="21" s="1"/>
  <c r="AG112" i="21"/>
  <c r="AJ112" i="21" s="1"/>
  <c r="AF112" i="21"/>
  <c r="AI112" i="21" s="1"/>
  <c r="AE112" i="21"/>
  <c r="AH112" i="21" s="1"/>
  <c r="AG108" i="21"/>
  <c r="AJ108" i="21" s="1"/>
  <c r="AJ110" i="21" s="1"/>
  <c r="AF108" i="21"/>
  <c r="AI108" i="21" s="1"/>
  <c r="AI110" i="21" s="1"/>
  <c r="AE108" i="21"/>
  <c r="AH108" i="21" s="1"/>
  <c r="AH110" i="21" s="1"/>
  <c r="AG107" i="21"/>
  <c r="AJ107" i="21" s="1"/>
  <c r="AF107" i="21"/>
  <c r="AI107" i="21" s="1"/>
  <c r="AE107" i="21"/>
  <c r="AH107" i="21" s="1"/>
  <c r="AG106" i="21"/>
  <c r="AJ106" i="21" s="1"/>
  <c r="AJ109" i="21" s="1"/>
  <c r="AF106" i="21"/>
  <c r="AF109" i="21" s="1"/>
  <c r="AE106" i="21"/>
  <c r="AH106" i="21" s="1"/>
  <c r="AH109" i="21" s="1"/>
  <c r="AG105" i="21"/>
  <c r="AJ105" i="21" s="1"/>
  <c r="AF105" i="21"/>
  <c r="AI105" i="21" s="1"/>
  <c r="AE105" i="21"/>
  <c r="AH105" i="21" s="1"/>
  <c r="AG101" i="21"/>
  <c r="AJ101" i="21" s="1"/>
  <c r="AJ103" i="21" s="1"/>
  <c r="AF101" i="21"/>
  <c r="AI101" i="21" s="1"/>
  <c r="AI103" i="21" s="1"/>
  <c r="AE101" i="21"/>
  <c r="AH101" i="21" s="1"/>
  <c r="AH103" i="21" s="1"/>
  <c r="AG100" i="21"/>
  <c r="AJ100" i="21" s="1"/>
  <c r="AF100" i="21"/>
  <c r="AI100" i="21" s="1"/>
  <c r="AE100" i="21"/>
  <c r="AH100" i="21" s="1"/>
  <c r="AG99" i="21"/>
  <c r="AJ99" i="21" s="1"/>
  <c r="AJ102" i="21" s="1"/>
  <c r="AF99" i="21"/>
  <c r="AI99" i="21" s="1"/>
  <c r="AI102" i="21" s="1"/>
  <c r="AE99" i="21"/>
  <c r="AH99" i="21" s="1"/>
  <c r="AH102" i="21" s="1"/>
  <c r="AG98" i="21"/>
  <c r="AJ98" i="21" s="1"/>
  <c r="AF98" i="21"/>
  <c r="AI98" i="21" s="1"/>
  <c r="AE98" i="21"/>
  <c r="AH98" i="21" s="1"/>
  <c r="AG92" i="21"/>
  <c r="AF92" i="21"/>
  <c r="AE92" i="21"/>
  <c r="AG91" i="21"/>
  <c r="AF91" i="21"/>
  <c r="AE91" i="21"/>
  <c r="AG85" i="21"/>
  <c r="AJ85" i="21" s="1"/>
  <c r="AJ88" i="21" s="1"/>
  <c r="AJ90" i="21" s="1"/>
  <c r="AF85" i="21"/>
  <c r="AF88" i="21" s="1"/>
  <c r="AF90" i="21" s="1"/>
  <c r="AE85" i="21"/>
  <c r="AH85" i="21" s="1"/>
  <c r="AH88" i="21" s="1"/>
  <c r="AH90" i="21" s="1"/>
  <c r="AG84" i="21"/>
  <c r="AJ84" i="21" s="1"/>
  <c r="AF84" i="21"/>
  <c r="AI84" i="21" s="1"/>
  <c r="AE84" i="21"/>
  <c r="AH84" i="21" s="1"/>
  <c r="AG80" i="21"/>
  <c r="AF80" i="21"/>
  <c r="AE80" i="21"/>
  <c r="AG79" i="21"/>
  <c r="AF79" i="21"/>
  <c r="AE79" i="21"/>
  <c r="AG78" i="21"/>
  <c r="AF78" i="21"/>
  <c r="AE78" i="21"/>
  <c r="AG77" i="21"/>
  <c r="AF77" i="21"/>
  <c r="AE77" i="21"/>
  <c r="AG73" i="21"/>
  <c r="AF73" i="21"/>
  <c r="AE73" i="21"/>
  <c r="AG72" i="21"/>
  <c r="AF72" i="21"/>
  <c r="AE72" i="21"/>
  <c r="AG71" i="21"/>
  <c r="AF71" i="21"/>
  <c r="AF74" i="21" s="1"/>
  <c r="AE71" i="21"/>
  <c r="AG70" i="21"/>
  <c r="AF70" i="21"/>
  <c r="AE70" i="21"/>
  <c r="AG66" i="21"/>
  <c r="AF66" i="21"/>
  <c r="AE66" i="21"/>
  <c r="AG65" i="21"/>
  <c r="AF65" i="21"/>
  <c r="AE65" i="21"/>
  <c r="AG64" i="21"/>
  <c r="AF64" i="21"/>
  <c r="AF67" i="21" s="1"/>
  <c r="AE64" i="21"/>
  <c r="AG63" i="21"/>
  <c r="AF63" i="21"/>
  <c r="AE63" i="21"/>
  <c r="AG59" i="21"/>
  <c r="AF59" i="21"/>
  <c r="AE59" i="21"/>
  <c r="AG58" i="21"/>
  <c r="AF58" i="21"/>
  <c r="AE58" i="21"/>
  <c r="AG57" i="21"/>
  <c r="AF57" i="21"/>
  <c r="AF60" i="21" s="1"/>
  <c r="AE57" i="21"/>
  <c r="AG56" i="21"/>
  <c r="AF56" i="21"/>
  <c r="AE56" i="21"/>
  <c r="AG52" i="21"/>
  <c r="AF52" i="21"/>
  <c r="AE52" i="21"/>
  <c r="AG51" i="21"/>
  <c r="AF51" i="21"/>
  <c r="AE51" i="21"/>
  <c r="AG50" i="21"/>
  <c r="AF50" i="21"/>
  <c r="AE50" i="21"/>
  <c r="AG49" i="21"/>
  <c r="AF49" i="21"/>
  <c r="AE49" i="21"/>
  <c r="AG45" i="21"/>
  <c r="AF45" i="21"/>
  <c r="AE45" i="21"/>
  <c r="AG44" i="21"/>
  <c r="AF44" i="21"/>
  <c r="AE44" i="21"/>
  <c r="AG43" i="21"/>
  <c r="AF43" i="21"/>
  <c r="AF46" i="21" s="1"/>
  <c r="AE43" i="21"/>
  <c r="AG42" i="21"/>
  <c r="AF42" i="21"/>
  <c r="AE42" i="21"/>
  <c r="AG38" i="21"/>
  <c r="AJ38" i="21" s="1"/>
  <c r="AJ40" i="21" s="1"/>
  <c r="AF38" i="21"/>
  <c r="AI38" i="21" s="1"/>
  <c r="AI40" i="21" s="1"/>
  <c r="AE38" i="21"/>
  <c r="AH38" i="21" s="1"/>
  <c r="AH40" i="21" s="1"/>
  <c r="AG37" i="21"/>
  <c r="AJ37" i="21" s="1"/>
  <c r="AF37" i="21"/>
  <c r="AI37" i="21" s="1"/>
  <c r="AE37" i="21"/>
  <c r="AH37" i="21" s="1"/>
  <c r="AG36" i="21"/>
  <c r="AJ36" i="21" s="1"/>
  <c r="AJ39" i="21" s="1"/>
  <c r="AJ41" i="21" s="1"/>
  <c r="AF36" i="21"/>
  <c r="AF39" i="21" s="1"/>
  <c r="AE36" i="21"/>
  <c r="AH36" i="21" s="1"/>
  <c r="AH39" i="21" s="1"/>
  <c r="AG35" i="21"/>
  <c r="AJ35" i="21" s="1"/>
  <c r="AF35" i="21"/>
  <c r="AI35" i="21" s="1"/>
  <c r="AE35" i="21"/>
  <c r="AH35" i="21" s="1"/>
  <c r="AG31" i="21"/>
  <c r="AF31" i="21"/>
  <c r="AE31" i="21"/>
  <c r="AG30" i="21"/>
  <c r="AF30" i="21"/>
  <c r="AE30" i="21"/>
  <c r="AG29" i="21"/>
  <c r="AF29" i="21"/>
  <c r="AF32" i="21" s="1"/>
  <c r="AE29" i="21"/>
  <c r="AG28" i="21"/>
  <c r="AF28" i="21"/>
  <c r="AE28" i="21"/>
  <c r="AG24" i="21"/>
  <c r="AF24" i="21"/>
  <c r="AE24" i="21"/>
  <c r="AG23" i="21"/>
  <c r="AF23" i="21"/>
  <c r="AE23" i="21"/>
  <c r="AG22" i="21"/>
  <c r="AF22" i="21"/>
  <c r="AE22" i="21"/>
  <c r="AG21" i="21"/>
  <c r="AF21" i="21"/>
  <c r="AE21" i="21"/>
  <c r="AG17" i="21"/>
  <c r="AF17" i="21"/>
  <c r="AE17" i="21"/>
  <c r="AG16" i="21"/>
  <c r="AF16" i="21"/>
  <c r="AE16" i="21"/>
  <c r="AG15" i="21"/>
  <c r="AF15" i="21"/>
  <c r="AF18" i="21" s="1"/>
  <c r="AE15" i="21"/>
  <c r="AG14" i="21"/>
  <c r="AF14" i="21"/>
  <c r="AE14" i="21"/>
  <c r="AG10" i="21"/>
  <c r="AF10" i="21"/>
  <c r="AE10" i="21"/>
  <c r="AG9" i="21"/>
  <c r="AF9" i="21"/>
  <c r="AE9" i="21"/>
  <c r="AG8" i="21"/>
  <c r="AF8" i="21"/>
  <c r="AF11" i="21" s="1"/>
  <c r="AE8" i="21"/>
  <c r="AG7" i="21"/>
  <c r="AF7" i="21"/>
  <c r="AE7" i="21"/>
  <c r="AG124" i="21"/>
  <c r="AF124" i="21"/>
  <c r="AE124" i="21"/>
  <c r="AG123" i="21"/>
  <c r="AG125" i="21" s="1"/>
  <c r="AE123" i="21"/>
  <c r="AG116" i="21"/>
  <c r="AG117" i="21"/>
  <c r="AF117" i="21"/>
  <c r="AE117" i="21"/>
  <c r="AE116" i="21"/>
  <c r="AF110" i="21"/>
  <c r="AE110" i="21"/>
  <c r="AG110" i="21"/>
  <c r="AG109" i="21"/>
  <c r="AG111" i="21" s="1"/>
  <c r="AE109" i="21"/>
  <c r="AG103" i="21"/>
  <c r="AF103" i="21"/>
  <c r="AE102" i="21"/>
  <c r="AE103" i="21"/>
  <c r="AG102" i="21"/>
  <c r="AF102" i="21"/>
  <c r="AG95" i="21"/>
  <c r="AG97" i="21" s="1"/>
  <c r="AF95" i="21"/>
  <c r="AF97" i="21" s="1"/>
  <c r="AE95" i="21"/>
  <c r="AE97" i="21" s="1"/>
  <c r="AG88" i="21"/>
  <c r="AG90" i="21" s="1"/>
  <c r="AE88" i="21"/>
  <c r="AE90" i="21" s="1"/>
  <c r="AG82" i="21"/>
  <c r="AF81" i="21"/>
  <c r="AF83" i="21" s="1"/>
  <c r="AF82" i="21"/>
  <c r="AE82" i="21"/>
  <c r="AG81" i="21"/>
  <c r="AG83" i="21" s="1"/>
  <c r="AE81" i="21"/>
  <c r="AG74" i="21"/>
  <c r="AG75" i="21"/>
  <c r="AF75" i="21"/>
  <c r="AE75" i="21"/>
  <c r="AE74" i="21"/>
  <c r="AE68" i="21"/>
  <c r="AG67" i="21"/>
  <c r="AG68" i="21"/>
  <c r="AF68" i="21"/>
  <c r="AE67" i="21"/>
  <c r="AF61" i="21"/>
  <c r="AE61" i="21"/>
  <c r="AG61" i="21"/>
  <c r="AG60" i="21"/>
  <c r="AG62" i="21" s="1"/>
  <c r="AE60" i="21"/>
  <c r="AG54" i="21"/>
  <c r="AF54" i="21"/>
  <c r="AE53" i="21"/>
  <c r="AE54" i="21"/>
  <c r="AG53" i="21"/>
  <c r="AG55" i="21" s="1"/>
  <c r="AF53" i="21"/>
  <c r="AG47" i="21"/>
  <c r="AF47" i="21"/>
  <c r="AE47" i="21"/>
  <c r="AG46" i="21"/>
  <c r="AE46" i="21"/>
  <c r="AE40" i="21"/>
  <c r="AG39" i="21"/>
  <c r="AG41" i="21" s="1"/>
  <c r="AG40" i="21"/>
  <c r="AF40" i="21"/>
  <c r="AE39" i="21"/>
  <c r="AE41" i="21" s="1"/>
  <c r="AF33" i="21"/>
  <c r="AE33" i="21"/>
  <c r="AG33" i="21"/>
  <c r="AG32" i="21"/>
  <c r="AE32" i="21"/>
  <c r="AE34" i="21" s="1"/>
  <c r="AG26" i="21"/>
  <c r="AF26" i="21"/>
  <c r="AE25" i="21"/>
  <c r="AE26" i="21"/>
  <c r="AG25" i="21"/>
  <c r="AG27" i="21" s="1"/>
  <c r="AF25" i="21"/>
  <c r="AG19" i="21"/>
  <c r="AF19" i="21"/>
  <c r="AE19" i="21"/>
  <c r="AG18" i="21"/>
  <c r="AG20" i="21" s="1"/>
  <c r="AE18" i="21"/>
  <c r="AE12" i="21"/>
  <c r="AG11" i="21"/>
  <c r="AG12" i="21"/>
  <c r="AF12" i="21"/>
  <c r="AE11" i="21"/>
  <c r="AE13" i="21" s="1"/>
  <c r="O119" i="21"/>
  <c r="P119" i="21"/>
  <c r="Q119" i="21"/>
  <c r="Q122" i="21"/>
  <c r="P122" i="21"/>
  <c r="O122" i="21"/>
  <c r="Q121" i="21"/>
  <c r="P121" i="21"/>
  <c r="O121" i="21"/>
  <c r="Q120" i="21"/>
  <c r="P120" i="21"/>
  <c r="O120" i="21"/>
  <c r="Q115" i="21"/>
  <c r="T115" i="21" s="1"/>
  <c r="P115" i="21"/>
  <c r="S115" i="21" s="1"/>
  <c r="O115" i="21"/>
  <c r="R115" i="21" s="1"/>
  <c r="Q114" i="21"/>
  <c r="T114" i="21" s="1"/>
  <c r="P114" i="21"/>
  <c r="S114" i="21" s="1"/>
  <c r="O114" i="21"/>
  <c r="R114" i="21" s="1"/>
  <c r="Q113" i="21"/>
  <c r="T113" i="21" s="1"/>
  <c r="P113" i="21"/>
  <c r="S113" i="21" s="1"/>
  <c r="O113" i="21"/>
  <c r="R113" i="21" s="1"/>
  <c r="Q112" i="21"/>
  <c r="T112" i="21" s="1"/>
  <c r="P112" i="21"/>
  <c r="S112" i="21" s="1"/>
  <c r="O112" i="21"/>
  <c r="R112" i="21" s="1"/>
  <c r="Q108" i="21"/>
  <c r="T108" i="21" s="1"/>
  <c r="P108" i="21"/>
  <c r="S108" i="21" s="1"/>
  <c r="O108" i="21"/>
  <c r="R108" i="21" s="1"/>
  <c r="Q107" i="21"/>
  <c r="T107" i="21" s="1"/>
  <c r="P107" i="21"/>
  <c r="S107" i="21" s="1"/>
  <c r="O107" i="21"/>
  <c r="R107" i="21" s="1"/>
  <c r="Q106" i="21"/>
  <c r="T106" i="21" s="1"/>
  <c r="P106" i="21"/>
  <c r="S106" i="21" s="1"/>
  <c r="O106" i="21"/>
  <c r="R106" i="21" s="1"/>
  <c r="Q105" i="21"/>
  <c r="T105" i="21" s="1"/>
  <c r="P105" i="21"/>
  <c r="S105" i="21" s="1"/>
  <c r="O105" i="21"/>
  <c r="R105" i="21" s="1"/>
  <c r="Q101" i="21"/>
  <c r="T101" i="21" s="1"/>
  <c r="P101" i="21"/>
  <c r="S101" i="21" s="1"/>
  <c r="O101" i="21"/>
  <c r="R101" i="21" s="1"/>
  <c r="Q100" i="21"/>
  <c r="T100" i="21" s="1"/>
  <c r="P100" i="21"/>
  <c r="S100" i="21" s="1"/>
  <c r="O100" i="21"/>
  <c r="R100" i="21" s="1"/>
  <c r="Q99" i="21"/>
  <c r="T99" i="21" s="1"/>
  <c r="P99" i="21"/>
  <c r="S99" i="21" s="1"/>
  <c r="O99" i="21"/>
  <c r="R99" i="21" s="1"/>
  <c r="Q98" i="21"/>
  <c r="T98" i="21" s="1"/>
  <c r="P98" i="21"/>
  <c r="S98" i="21" s="1"/>
  <c r="O98" i="21"/>
  <c r="R98" i="21" s="1"/>
  <c r="Q92" i="21"/>
  <c r="T92" i="21" s="1"/>
  <c r="P92" i="21"/>
  <c r="S92" i="21" s="1"/>
  <c r="O92" i="21"/>
  <c r="R92" i="21" s="1"/>
  <c r="Q91" i="21"/>
  <c r="T91" i="21" s="1"/>
  <c r="P91" i="21"/>
  <c r="S91" i="21" s="1"/>
  <c r="O91" i="21"/>
  <c r="R91" i="21" s="1"/>
  <c r="Q85" i="21"/>
  <c r="T85" i="21" s="1"/>
  <c r="P85" i="21"/>
  <c r="S85" i="21" s="1"/>
  <c r="O85" i="21"/>
  <c r="R85" i="21" s="1"/>
  <c r="Q84" i="21"/>
  <c r="T84" i="21" s="1"/>
  <c r="P84" i="21"/>
  <c r="S84" i="21" s="1"/>
  <c r="O84" i="21"/>
  <c r="R84" i="21" s="1"/>
  <c r="Q80" i="21"/>
  <c r="P80" i="21"/>
  <c r="O80" i="21"/>
  <c r="Q79" i="21"/>
  <c r="P79" i="21"/>
  <c r="O79" i="21"/>
  <c r="Q78" i="21"/>
  <c r="P78" i="21"/>
  <c r="O78" i="21"/>
  <c r="Q77" i="21"/>
  <c r="P77" i="21"/>
  <c r="O77" i="21"/>
  <c r="Q73" i="21"/>
  <c r="P73" i="21"/>
  <c r="O73" i="21"/>
  <c r="Q72" i="21"/>
  <c r="P72" i="21"/>
  <c r="O72" i="21"/>
  <c r="Q71" i="21"/>
  <c r="P71" i="21"/>
  <c r="O71" i="21"/>
  <c r="Q70" i="21"/>
  <c r="P70" i="21"/>
  <c r="O70" i="21"/>
  <c r="Q66" i="21"/>
  <c r="P66" i="21"/>
  <c r="O66" i="21"/>
  <c r="Q65" i="21"/>
  <c r="P65" i="21"/>
  <c r="O65" i="21"/>
  <c r="Q64" i="21"/>
  <c r="P64" i="21"/>
  <c r="O64" i="21"/>
  <c r="Q63" i="21"/>
  <c r="P63" i="21"/>
  <c r="O63" i="21"/>
  <c r="Q59" i="21"/>
  <c r="P59" i="21"/>
  <c r="O59" i="21"/>
  <c r="Q58" i="21"/>
  <c r="P58" i="21"/>
  <c r="O58" i="21"/>
  <c r="Q57" i="21"/>
  <c r="P57" i="21"/>
  <c r="O57" i="21"/>
  <c r="Q56" i="21"/>
  <c r="P56" i="21"/>
  <c r="O56" i="21"/>
  <c r="Q52" i="21"/>
  <c r="P52" i="21"/>
  <c r="O52" i="21"/>
  <c r="Q51" i="21"/>
  <c r="P51" i="21"/>
  <c r="O51" i="21"/>
  <c r="Q50" i="21"/>
  <c r="P50" i="21"/>
  <c r="O50" i="21"/>
  <c r="Q49" i="21"/>
  <c r="P49" i="21"/>
  <c r="O49" i="21"/>
  <c r="Q45" i="21"/>
  <c r="P45" i="21"/>
  <c r="O45" i="21"/>
  <c r="Q44" i="21"/>
  <c r="P44" i="21"/>
  <c r="O44" i="21"/>
  <c r="Q43" i="21"/>
  <c r="P43" i="21"/>
  <c r="O43" i="21"/>
  <c r="Q42" i="21"/>
  <c r="P42" i="21"/>
  <c r="O42" i="21"/>
  <c r="Q38" i="21"/>
  <c r="T38" i="21" s="1"/>
  <c r="P38" i="21"/>
  <c r="S38" i="21" s="1"/>
  <c r="O38" i="21"/>
  <c r="R38" i="21" s="1"/>
  <c r="Q37" i="21"/>
  <c r="T37" i="21" s="1"/>
  <c r="P37" i="21"/>
  <c r="S37" i="21" s="1"/>
  <c r="O37" i="21"/>
  <c r="R37" i="21" s="1"/>
  <c r="Q36" i="21"/>
  <c r="T36" i="21" s="1"/>
  <c r="P36" i="21"/>
  <c r="S36" i="21" s="1"/>
  <c r="O36" i="21"/>
  <c r="R36" i="21" s="1"/>
  <c r="Q35" i="21"/>
  <c r="T35" i="21" s="1"/>
  <c r="P35" i="21"/>
  <c r="S35" i="21" s="1"/>
  <c r="O35" i="21"/>
  <c r="R35" i="21" s="1"/>
  <c r="Q31" i="21"/>
  <c r="P31" i="21"/>
  <c r="O31" i="21"/>
  <c r="Q30" i="21"/>
  <c r="P30" i="21"/>
  <c r="O30" i="21"/>
  <c r="Q29" i="21"/>
  <c r="P29" i="21"/>
  <c r="O29" i="21"/>
  <c r="Q28" i="21"/>
  <c r="P28" i="21"/>
  <c r="O28" i="21"/>
  <c r="Q24" i="21"/>
  <c r="P24" i="21"/>
  <c r="O24" i="21"/>
  <c r="Q23" i="21"/>
  <c r="P23" i="21"/>
  <c r="O23" i="21"/>
  <c r="Q22" i="21"/>
  <c r="P22" i="21"/>
  <c r="O22" i="21"/>
  <c r="Q21" i="21"/>
  <c r="P21" i="21"/>
  <c r="O21" i="21"/>
  <c r="Q17" i="21"/>
  <c r="P17" i="21"/>
  <c r="O17" i="21"/>
  <c r="Q16" i="21"/>
  <c r="P16" i="21"/>
  <c r="O16" i="21"/>
  <c r="Q15" i="21"/>
  <c r="P15" i="21"/>
  <c r="O15" i="21"/>
  <c r="Q14" i="21"/>
  <c r="P14" i="21"/>
  <c r="O14" i="21"/>
  <c r="P9" i="21"/>
  <c r="Q9" i="21"/>
  <c r="P10" i="21"/>
  <c r="Q10" i="21"/>
  <c r="O10" i="21"/>
  <c r="O9" i="21"/>
  <c r="O8" i="21"/>
  <c r="P7" i="21"/>
  <c r="Q7" i="21"/>
  <c r="P8" i="21"/>
  <c r="Q8" i="21"/>
  <c r="X122" i="21"/>
  <c r="X121" i="21"/>
  <c r="X120" i="21"/>
  <c r="X119" i="21"/>
  <c r="X115" i="21"/>
  <c r="X114" i="21"/>
  <c r="X113" i="21"/>
  <c r="X112" i="21"/>
  <c r="X108" i="21"/>
  <c r="X107" i="21"/>
  <c r="X106" i="21"/>
  <c r="X105" i="21"/>
  <c r="X101" i="21"/>
  <c r="X100" i="21"/>
  <c r="X99" i="21"/>
  <c r="X98" i="21"/>
  <c r="X92" i="21"/>
  <c r="X91" i="21"/>
  <c r="X85" i="21"/>
  <c r="X84" i="21"/>
  <c r="X80" i="21"/>
  <c r="X79" i="21"/>
  <c r="X78" i="21"/>
  <c r="X77" i="21"/>
  <c r="X73" i="21"/>
  <c r="X72" i="21"/>
  <c r="X71" i="21"/>
  <c r="X70" i="21"/>
  <c r="X66" i="21"/>
  <c r="X65" i="21"/>
  <c r="X64" i="21"/>
  <c r="X63" i="21"/>
  <c r="X59" i="21"/>
  <c r="X58" i="21"/>
  <c r="X57" i="21"/>
  <c r="X56" i="21"/>
  <c r="X52" i="21"/>
  <c r="X51" i="21"/>
  <c r="X50" i="21"/>
  <c r="X49" i="21"/>
  <c r="X45" i="21"/>
  <c r="X44" i="21"/>
  <c r="X43" i="21"/>
  <c r="X42" i="21"/>
  <c r="X38" i="21"/>
  <c r="X37" i="21"/>
  <c r="X36" i="21"/>
  <c r="X35" i="21"/>
  <c r="X31" i="21"/>
  <c r="X30" i="21"/>
  <c r="X29" i="21"/>
  <c r="X24" i="21"/>
  <c r="X23" i="21"/>
  <c r="X22" i="21"/>
  <c r="X21" i="21"/>
  <c r="X17" i="21"/>
  <c r="X16" i="21"/>
  <c r="X15" i="21"/>
  <c r="X14" i="21"/>
  <c r="X8" i="21"/>
  <c r="X9" i="21"/>
  <c r="X10" i="21"/>
  <c r="X7" i="21"/>
  <c r="AG40" i="45"/>
  <c r="AE40" i="45"/>
  <c r="AH40" i="45" s="1"/>
  <c r="AD40" i="45"/>
  <c r="AC40" i="45"/>
  <c r="AF40" i="45" s="1"/>
  <c r="AE39" i="45"/>
  <c r="AH39" i="45" s="1"/>
  <c r="AD39" i="45"/>
  <c r="AG39" i="45" s="1"/>
  <c r="AC39" i="45"/>
  <c r="AF39" i="45" s="1"/>
  <c r="AE38" i="45"/>
  <c r="AH38" i="45" s="1"/>
  <c r="AD38" i="45"/>
  <c r="AG38" i="45" s="1"/>
  <c r="AC38" i="45"/>
  <c r="AF38" i="45" s="1"/>
  <c r="AE37" i="45"/>
  <c r="AH37" i="45" s="1"/>
  <c r="AD37" i="45"/>
  <c r="AG37" i="45" s="1"/>
  <c r="AC37" i="45"/>
  <c r="AF37" i="45" s="1"/>
  <c r="AE36" i="45"/>
  <c r="AH36" i="45" s="1"/>
  <c r="AD36" i="45"/>
  <c r="AG36" i="45" s="1"/>
  <c r="AC36" i="45"/>
  <c r="AF36" i="45" s="1"/>
  <c r="AE35" i="45"/>
  <c r="AH35" i="45" s="1"/>
  <c r="AD35" i="45"/>
  <c r="AG35" i="45" s="1"/>
  <c r="AC35" i="45"/>
  <c r="AF35" i="45" s="1"/>
  <c r="AE34" i="45"/>
  <c r="AH34" i="45" s="1"/>
  <c r="AD34" i="45"/>
  <c r="AG34" i="45" s="1"/>
  <c r="AC34" i="45"/>
  <c r="AF34" i="45" s="1"/>
  <c r="AE33" i="45"/>
  <c r="AH33" i="45" s="1"/>
  <c r="AD33" i="45"/>
  <c r="AG33" i="45" s="1"/>
  <c r="AC33" i="45"/>
  <c r="AF33" i="45" s="1"/>
  <c r="AE32" i="45"/>
  <c r="AH32" i="45" s="1"/>
  <c r="AD32" i="45"/>
  <c r="AG32" i="45" s="1"/>
  <c r="AC32" i="45"/>
  <c r="AF32" i="45" s="1"/>
  <c r="AE31" i="45"/>
  <c r="AH31" i="45" s="1"/>
  <c r="AD31" i="45"/>
  <c r="AG31" i="45" s="1"/>
  <c r="AC31" i="45"/>
  <c r="AF31" i="45" s="1"/>
  <c r="AE30" i="45"/>
  <c r="AH30" i="45" s="1"/>
  <c r="AD30" i="45"/>
  <c r="AG30" i="45" s="1"/>
  <c r="AC30" i="45"/>
  <c r="AF30" i="45" s="1"/>
  <c r="AE29" i="45"/>
  <c r="AH29" i="45" s="1"/>
  <c r="AD29" i="45"/>
  <c r="AG29" i="45" s="1"/>
  <c r="AC29" i="45"/>
  <c r="AF29" i="45" s="1"/>
  <c r="AE27" i="45"/>
  <c r="AH27" i="45" s="1"/>
  <c r="AD27" i="45"/>
  <c r="AG27" i="45" s="1"/>
  <c r="AC27" i="45"/>
  <c r="AF27" i="45" s="1"/>
  <c r="AE26" i="45"/>
  <c r="AH26" i="45" s="1"/>
  <c r="AD26" i="45"/>
  <c r="AG26" i="45" s="1"/>
  <c r="AC26" i="45"/>
  <c r="AF26" i="45" s="1"/>
  <c r="AE25" i="45"/>
  <c r="AH25" i="45" s="1"/>
  <c r="AD25" i="45"/>
  <c r="AG25" i="45" s="1"/>
  <c r="AC25" i="45"/>
  <c r="AF25" i="45" s="1"/>
  <c r="AE24" i="45"/>
  <c r="AD24" i="45"/>
  <c r="AC24" i="45"/>
  <c r="AE23" i="45"/>
  <c r="AD23" i="45"/>
  <c r="AC23" i="45"/>
  <c r="AE22" i="45"/>
  <c r="AD22" i="45"/>
  <c r="AC22" i="45"/>
  <c r="AE21" i="45"/>
  <c r="AD21" i="45"/>
  <c r="AC21" i="45"/>
  <c r="AE20" i="45"/>
  <c r="AD20" i="45"/>
  <c r="AC20" i="45"/>
  <c r="AE19" i="45"/>
  <c r="AD19" i="45"/>
  <c r="AC19" i="45"/>
  <c r="AE18" i="45"/>
  <c r="AD18" i="45"/>
  <c r="AC18" i="45"/>
  <c r="AE17" i="45"/>
  <c r="AD17" i="45"/>
  <c r="AC17" i="45"/>
  <c r="AE16" i="45"/>
  <c r="AH16" i="45" s="1"/>
  <c r="AD16" i="45"/>
  <c r="AG16" i="45" s="1"/>
  <c r="AC16" i="45"/>
  <c r="AF16" i="45" s="1"/>
  <c r="AE15" i="45"/>
  <c r="AH15" i="45" s="1"/>
  <c r="AD15" i="45"/>
  <c r="AG15" i="45" s="1"/>
  <c r="AC15" i="45"/>
  <c r="AF15" i="45" s="1"/>
  <c r="AE14" i="45"/>
  <c r="AD14" i="45"/>
  <c r="AC14" i="45"/>
  <c r="AE13" i="45"/>
  <c r="AD13" i="45"/>
  <c r="AC13" i="45"/>
  <c r="AE12" i="45"/>
  <c r="AD12" i="45"/>
  <c r="AC12" i="45"/>
  <c r="AE11" i="45"/>
  <c r="AD11" i="45"/>
  <c r="AC11" i="45"/>
  <c r="AE10" i="45"/>
  <c r="AD10" i="45"/>
  <c r="AC10" i="45"/>
  <c r="AE9" i="45"/>
  <c r="AD9" i="45"/>
  <c r="AC9" i="45"/>
  <c r="AE8" i="45"/>
  <c r="AD8" i="45"/>
  <c r="AC8" i="45"/>
  <c r="AE7" i="45"/>
  <c r="AD7" i="45"/>
  <c r="AC7" i="45"/>
  <c r="E38" i="45"/>
  <c r="F38" i="45"/>
  <c r="G38" i="45"/>
  <c r="E37" i="45"/>
  <c r="F37" i="45"/>
  <c r="G37" i="45"/>
  <c r="P40" i="45"/>
  <c r="S40" i="45" s="1"/>
  <c r="O40" i="45"/>
  <c r="R40" i="45" s="1"/>
  <c r="N40" i="45"/>
  <c r="Q40" i="45" s="1"/>
  <c r="P39" i="45"/>
  <c r="S39" i="45" s="1"/>
  <c r="O39" i="45"/>
  <c r="R39" i="45" s="1"/>
  <c r="N39" i="45"/>
  <c r="Q39" i="45" s="1"/>
  <c r="P38" i="45"/>
  <c r="S38" i="45" s="1"/>
  <c r="O38" i="45"/>
  <c r="N38" i="45"/>
  <c r="Q38" i="45" s="1"/>
  <c r="P37" i="45"/>
  <c r="O37" i="45"/>
  <c r="N37" i="45"/>
  <c r="P36" i="45"/>
  <c r="S36" i="45" s="1"/>
  <c r="O36" i="45"/>
  <c r="R36" i="45" s="1"/>
  <c r="N36" i="45"/>
  <c r="Q36" i="45" s="1"/>
  <c r="P35" i="45"/>
  <c r="S35" i="45" s="1"/>
  <c r="O35" i="45"/>
  <c r="R35" i="45" s="1"/>
  <c r="N35" i="45"/>
  <c r="Q35" i="45" s="1"/>
  <c r="P34" i="45"/>
  <c r="S34" i="45" s="1"/>
  <c r="O34" i="45"/>
  <c r="R34" i="45" s="1"/>
  <c r="N34" i="45"/>
  <c r="Q34" i="45" s="1"/>
  <c r="P33" i="45"/>
  <c r="S33" i="45" s="1"/>
  <c r="O33" i="45"/>
  <c r="R33" i="45" s="1"/>
  <c r="N33" i="45"/>
  <c r="Q33" i="45" s="1"/>
  <c r="P32" i="45"/>
  <c r="S32" i="45" s="1"/>
  <c r="O32" i="45"/>
  <c r="R32" i="45" s="1"/>
  <c r="N32" i="45"/>
  <c r="Q32" i="45" s="1"/>
  <c r="P31" i="45"/>
  <c r="S31" i="45" s="1"/>
  <c r="O31" i="45"/>
  <c r="R31" i="45" s="1"/>
  <c r="N31" i="45"/>
  <c r="Q31" i="45" s="1"/>
  <c r="P30" i="45"/>
  <c r="S30" i="45" s="1"/>
  <c r="O30" i="45"/>
  <c r="R30" i="45" s="1"/>
  <c r="N30" i="45"/>
  <c r="Q30" i="45" s="1"/>
  <c r="P29" i="45"/>
  <c r="S29" i="45" s="1"/>
  <c r="N29" i="45"/>
  <c r="Q29" i="45" s="1"/>
  <c r="P27" i="45"/>
  <c r="S27" i="45" s="1"/>
  <c r="O27" i="45"/>
  <c r="R27" i="45" s="1"/>
  <c r="N27" i="45"/>
  <c r="Q27" i="45" s="1"/>
  <c r="P26" i="45"/>
  <c r="S26" i="45" s="1"/>
  <c r="O26" i="45"/>
  <c r="R26" i="45" s="1"/>
  <c r="N26" i="45"/>
  <c r="Q26" i="45" s="1"/>
  <c r="P25" i="45"/>
  <c r="S25" i="45" s="1"/>
  <c r="O25" i="45"/>
  <c r="N25" i="45"/>
  <c r="Q25" i="45" s="1"/>
  <c r="P24" i="45"/>
  <c r="O24" i="45"/>
  <c r="N24" i="45"/>
  <c r="P23" i="45"/>
  <c r="O23" i="45"/>
  <c r="N23" i="45"/>
  <c r="P22" i="45"/>
  <c r="O22" i="45"/>
  <c r="N22" i="45"/>
  <c r="P21" i="45"/>
  <c r="O21" i="45"/>
  <c r="N21" i="45"/>
  <c r="P20" i="45"/>
  <c r="O20" i="45"/>
  <c r="N20" i="45"/>
  <c r="P19" i="45"/>
  <c r="O19" i="45"/>
  <c r="N19" i="45"/>
  <c r="P18" i="45"/>
  <c r="O18" i="45"/>
  <c r="N18" i="45"/>
  <c r="P17" i="45"/>
  <c r="O17" i="45"/>
  <c r="N17" i="45"/>
  <c r="P16" i="45"/>
  <c r="S16" i="45" s="1"/>
  <c r="O16" i="45"/>
  <c r="R16" i="45" s="1"/>
  <c r="N16" i="45"/>
  <c r="Q16" i="45" s="1"/>
  <c r="P15" i="45"/>
  <c r="S15" i="45" s="1"/>
  <c r="O15" i="45"/>
  <c r="R15" i="45" s="1"/>
  <c r="N15" i="45"/>
  <c r="Q15" i="45" s="1"/>
  <c r="P14" i="45"/>
  <c r="O14" i="45"/>
  <c r="N14" i="45"/>
  <c r="P13" i="45"/>
  <c r="O13" i="45"/>
  <c r="N13" i="45"/>
  <c r="P12" i="45"/>
  <c r="O12" i="45"/>
  <c r="N12" i="45"/>
  <c r="P11" i="45"/>
  <c r="O11" i="45"/>
  <c r="N11" i="45"/>
  <c r="P10" i="45"/>
  <c r="O10" i="45"/>
  <c r="N10" i="45"/>
  <c r="P9" i="45"/>
  <c r="O9" i="45"/>
  <c r="N9" i="45"/>
  <c r="O8" i="45"/>
  <c r="P8" i="45"/>
  <c r="N8" i="45"/>
  <c r="O7" i="45"/>
  <c r="P7" i="45"/>
  <c r="N7" i="45"/>
  <c r="AJ111" i="21" l="1"/>
  <c r="AH104" i="21"/>
  <c r="AE62" i="21"/>
  <c r="AE111" i="21"/>
  <c r="R38" i="45"/>
  <c r="AF55" i="21"/>
  <c r="AF104" i="21"/>
  <c r="AG104" i="21"/>
  <c r="AF41" i="21"/>
  <c r="AF69" i="21"/>
  <c r="AF118" i="21"/>
  <c r="AI85" i="21"/>
  <c r="AI88" i="21" s="1"/>
  <c r="AI106" i="21"/>
  <c r="AI109" i="21" s="1"/>
  <c r="AF27" i="21"/>
  <c r="AE69" i="21"/>
  <c r="AE118" i="21"/>
  <c r="AG48" i="21"/>
  <c r="AF20" i="21"/>
  <c r="AF34" i="21"/>
  <c r="AF62" i="21"/>
  <c r="AF111" i="21"/>
  <c r="AI36" i="21"/>
  <c r="AI39" i="21" s="1"/>
  <c r="AI113" i="21"/>
  <c r="AI116" i="21" s="1"/>
  <c r="I48" i="29"/>
  <c r="S37" i="45"/>
  <c r="AI118" i="21"/>
  <c r="AJ104" i="21"/>
  <c r="AH118" i="21"/>
  <c r="AI104" i="21"/>
  <c r="AH41" i="21"/>
  <c r="AH111" i="21"/>
  <c r="AI41" i="21"/>
  <c r="AI111" i="21"/>
  <c r="AE20" i="21"/>
  <c r="AE48" i="21"/>
  <c r="AE125" i="21"/>
  <c r="AE55" i="21"/>
  <c r="AE104" i="21"/>
  <c r="AG69" i="21"/>
  <c r="AG118" i="21"/>
  <c r="AF48" i="21"/>
  <c r="AE76" i="21"/>
  <c r="AF125" i="21"/>
  <c r="AF13" i="21"/>
  <c r="AG13" i="21"/>
  <c r="AE27" i="21"/>
  <c r="AG34" i="21"/>
  <c r="AF76" i="21"/>
  <c r="AG76" i="21"/>
  <c r="AE83" i="21"/>
  <c r="Q37" i="45"/>
  <c r="R37" i="45"/>
  <c r="AD124" i="21"/>
  <c r="AC124" i="21"/>
  <c r="AB124" i="21"/>
  <c r="AA124" i="21"/>
  <c r="Z124" i="21"/>
  <c r="Y124" i="21"/>
  <c r="N124" i="21"/>
  <c r="M124" i="21"/>
  <c r="L124" i="21"/>
  <c r="K124" i="21"/>
  <c r="J124" i="21"/>
  <c r="I124" i="21"/>
  <c r="AD123" i="21"/>
  <c r="AC123" i="21"/>
  <c r="AB123" i="21"/>
  <c r="AA123" i="21"/>
  <c r="Z123" i="21"/>
  <c r="Y123" i="21"/>
  <c r="N123" i="21"/>
  <c r="M123" i="21"/>
  <c r="L123" i="21"/>
  <c r="K123" i="21"/>
  <c r="J123" i="21"/>
  <c r="I123" i="21"/>
  <c r="AD117" i="21"/>
  <c r="AC117" i="21"/>
  <c r="AB117" i="21"/>
  <c r="AA117" i="21"/>
  <c r="Z117" i="21"/>
  <c r="Y117" i="21"/>
  <c r="W117" i="21"/>
  <c r="V117" i="21"/>
  <c r="U117" i="21"/>
  <c r="N117" i="21"/>
  <c r="M117" i="21"/>
  <c r="L117" i="21"/>
  <c r="K117" i="21"/>
  <c r="J117" i="21"/>
  <c r="I117" i="21"/>
  <c r="G117" i="21"/>
  <c r="F117" i="21"/>
  <c r="E117" i="21"/>
  <c r="AD116" i="21"/>
  <c r="AC116" i="21"/>
  <c r="AB116" i="21"/>
  <c r="AA116" i="21"/>
  <c r="Z116" i="21"/>
  <c r="Y116" i="21"/>
  <c r="W116" i="21"/>
  <c r="V116" i="21"/>
  <c r="U116" i="21"/>
  <c r="N116" i="21"/>
  <c r="M116" i="21"/>
  <c r="L116" i="21"/>
  <c r="K116" i="21"/>
  <c r="J116" i="21"/>
  <c r="I116" i="21"/>
  <c r="G116" i="21"/>
  <c r="F116" i="21"/>
  <c r="E116" i="21"/>
  <c r="AD110" i="21"/>
  <c r="AC110" i="21"/>
  <c r="AB110" i="21"/>
  <c r="AA110" i="21"/>
  <c r="Z110" i="21"/>
  <c r="Y110" i="21"/>
  <c r="W110" i="21"/>
  <c r="V110" i="21"/>
  <c r="U110" i="21"/>
  <c r="N110" i="21"/>
  <c r="M110" i="21"/>
  <c r="L110" i="21"/>
  <c r="K110" i="21"/>
  <c r="J110" i="21"/>
  <c r="I110" i="21"/>
  <c r="G110" i="21"/>
  <c r="F110" i="21"/>
  <c r="E110" i="21"/>
  <c r="AD109" i="21"/>
  <c r="AC109" i="21"/>
  <c r="AB109" i="21"/>
  <c r="AA109" i="21"/>
  <c r="Z109" i="21"/>
  <c r="Y109" i="21"/>
  <c r="W109" i="21"/>
  <c r="V109" i="21"/>
  <c r="U109" i="21"/>
  <c r="N109" i="21"/>
  <c r="M109" i="21"/>
  <c r="L109" i="21"/>
  <c r="K109" i="21"/>
  <c r="J109" i="21"/>
  <c r="I109" i="21"/>
  <c r="G109" i="21"/>
  <c r="F109" i="21"/>
  <c r="E109" i="21"/>
  <c r="AD103" i="21"/>
  <c r="AC103" i="21"/>
  <c r="AB103" i="21"/>
  <c r="AA103" i="21"/>
  <c r="Z103" i="21"/>
  <c r="Y103" i="21"/>
  <c r="W103" i="21"/>
  <c r="V103" i="21"/>
  <c r="U103" i="21"/>
  <c r="N103" i="21"/>
  <c r="M103" i="21"/>
  <c r="L103" i="21"/>
  <c r="K103" i="21"/>
  <c r="J103" i="21"/>
  <c r="I103" i="21"/>
  <c r="G103" i="21"/>
  <c r="F103" i="21"/>
  <c r="E103" i="21"/>
  <c r="AD102" i="21"/>
  <c r="AC102" i="21"/>
  <c r="AB102" i="21"/>
  <c r="AA102" i="21"/>
  <c r="Z102" i="21"/>
  <c r="Y102" i="21"/>
  <c r="W102" i="21"/>
  <c r="V102" i="21"/>
  <c r="U102" i="21"/>
  <c r="N102" i="21"/>
  <c r="M102" i="21"/>
  <c r="L102" i="21"/>
  <c r="K102" i="21"/>
  <c r="J102" i="21"/>
  <c r="I102" i="21"/>
  <c r="G102" i="21"/>
  <c r="F102" i="21"/>
  <c r="E102" i="21"/>
  <c r="AD95" i="21"/>
  <c r="AC95" i="21"/>
  <c r="AB95" i="21"/>
  <c r="AA95" i="21"/>
  <c r="Z95" i="21"/>
  <c r="Y95" i="21"/>
  <c r="N95" i="21"/>
  <c r="M95" i="21"/>
  <c r="L95" i="21"/>
  <c r="K95" i="21"/>
  <c r="J95" i="21"/>
  <c r="I95" i="21"/>
  <c r="G95" i="21"/>
  <c r="E95" i="21"/>
  <c r="AD88" i="21"/>
  <c r="AC88" i="21"/>
  <c r="AB88" i="21"/>
  <c r="AA88" i="21"/>
  <c r="Z88" i="21"/>
  <c r="Y88" i="21"/>
  <c r="W88" i="21"/>
  <c r="V88" i="21"/>
  <c r="U88" i="21"/>
  <c r="N88" i="21"/>
  <c r="M88" i="21"/>
  <c r="L88" i="21"/>
  <c r="K88" i="21"/>
  <c r="J88" i="21"/>
  <c r="I88" i="21"/>
  <c r="G88" i="21"/>
  <c r="F88" i="21"/>
  <c r="E88" i="21"/>
  <c r="AD82" i="21"/>
  <c r="AC82" i="21"/>
  <c r="AB82" i="21"/>
  <c r="AA82" i="21"/>
  <c r="Z82" i="21"/>
  <c r="Y82" i="21"/>
  <c r="U82" i="21"/>
  <c r="N82" i="21"/>
  <c r="M82" i="21"/>
  <c r="L82" i="21"/>
  <c r="K82" i="21"/>
  <c r="J82" i="21"/>
  <c r="I82" i="21"/>
  <c r="E82" i="21"/>
  <c r="AD81" i="21"/>
  <c r="AC81" i="21"/>
  <c r="AB81" i="21"/>
  <c r="AA81" i="21"/>
  <c r="Z81" i="21"/>
  <c r="Y81" i="21"/>
  <c r="U81" i="21"/>
  <c r="N81" i="21"/>
  <c r="M81" i="21"/>
  <c r="L81" i="21"/>
  <c r="K81" i="21"/>
  <c r="J81" i="21"/>
  <c r="I81" i="21"/>
  <c r="E81" i="21"/>
  <c r="AD75" i="21"/>
  <c r="AC75" i="21"/>
  <c r="AB75" i="21"/>
  <c r="AA75" i="21"/>
  <c r="Z75" i="21"/>
  <c r="Y75" i="21"/>
  <c r="W75" i="21"/>
  <c r="N75" i="21"/>
  <c r="M75" i="21"/>
  <c r="L75" i="21"/>
  <c r="K75" i="21"/>
  <c r="J75" i="21"/>
  <c r="I75" i="21"/>
  <c r="G75" i="21"/>
  <c r="AD74" i="21"/>
  <c r="AC74" i="21"/>
  <c r="AB74" i="21"/>
  <c r="AA74" i="21"/>
  <c r="Z74" i="21"/>
  <c r="Y74" i="21"/>
  <c r="W74" i="21"/>
  <c r="N74" i="21"/>
  <c r="M74" i="21"/>
  <c r="L74" i="21"/>
  <c r="K74" i="21"/>
  <c r="J74" i="21"/>
  <c r="I74" i="21"/>
  <c r="G74" i="21"/>
  <c r="AD68" i="21"/>
  <c r="AC68" i="21"/>
  <c r="AB68" i="21"/>
  <c r="AA68" i="21"/>
  <c r="Z68" i="21"/>
  <c r="Y68" i="21"/>
  <c r="N68" i="21"/>
  <c r="M68" i="21"/>
  <c r="L68" i="21"/>
  <c r="K68" i="21"/>
  <c r="J68" i="21"/>
  <c r="I68" i="21"/>
  <c r="AD67" i="21"/>
  <c r="AC67" i="21"/>
  <c r="AB67" i="21"/>
  <c r="AA67" i="21"/>
  <c r="Z67" i="21"/>
  <c r="Y67" i="21"/>
  <c r="N67" i="21"/>
  <c r="M67" i="21"/>
  <c r="L67" i="21"/>
  <c r="K67" i="21"/>
  <c r="J67" i="21"/>
  <c r="I67" i="21"/>
  <c r="AD61" i="21"/>
  <c r="AC61" i="21"/>
  <c r="AB61" i="21"/>
  <c r="AA61" i="21"/>
  <c r="Z61" i="21"/>
  <c r="Y61" i="21"/>
  <c r="N61" i="21"/>
  <c r="M61" i="21"/>
  <c r="L61" i="21"/>
  <c r="K61" i="21"/>
  <c r="J61" i="21"/>
  <c r="I61" i="21"/>
  <c r="G61" i="21"/>
  <c r="AD60" i="21"/>
  <c r="AC60" i="21"/>
  <c r="AB60" i="21"/>
  <c r="AA60" i="21"/>
  <c r="Z60" i="21"/>
  <c r="Y60" i="21"/>
  <c r="N60" i="21"/>
  <c r="M60" i="21"/>
  <c r="L60" i="21"/>
  <c r="K60" i="21"/>
  <c r="J60" i="21"/>
  <c r="I60" i="21"/>
  <c r="G60" i="21"/>
  <c r="AD54" i="21"/>
  <c r="AC54" i="21"/>
  <c r="AB54" i="21"/>
  <c r="AA54" i="21"/>
  <c r="Z54" i="21"/>
  <c r="Y54" i="21"/>
  <c r="W54" i="21"/>
  <c r="N54" i="21"/>
  <c r="M54" i="21"/>
  <c r="L54" i="21"/>
  <c r="K54" i="21"/>
  <c r="J54" i="21"/>
  <c r="I54" i="21"/>
  <c r="G54" i="21"/>
  <c r="AD53" i="21"/>
  <c r="AC53" i="21"/>
  <c r="AB53" i="21"/>
  <c r="AA53" i="21"/>
  <c r="Z53" i="21"/>
  <c r="Y53" i="21"/>
  <c r="W53" i="21"/>
  <c r="N53" i="21"/>
  <c r="M53" i="21"/>
  <c r="L53" i="21"/>
  <c r="K53" i="21"/>
  <c r="J53" i="21"/>
  <c r="I53" i="21"/>
  <c r="G53" i="21"/>
  <c r="AD47" i="21"/>
  <c r="AC47" i="21"/>
  <c r="AB47" i="21"/>
  <c r="AA47" i="21"/>
  <c r="Z47" i="21"/>
  <c r="Y47" i="21"/>
  <c r="W47" i="21"/>
  <c r="N47" i="21"/>
  <c r="M47" i="21"/>
  <c r="L47" i="21"/>
  <c r="K47" i="21"/>
  <c r="J47" i="21"/>
  <c r="I47" i="21"/>
  <c r="G47" i="21"/>
  <c r="AD46" i="21"/>
  <c r="AC46" i="21"/>
  <c r="AB46" i="21"/>
  <c r="AA46" i="21"/>
  <c r="Z46" i="21"/>
  <c r="Y46" i="21"/>
  <c r="W46" i="21"/>
  <c r="N46" i="21"/>
  <c r="M46" i="21"/>
  <c r="L46" i="21"/>
  <c r="K46" i="21"/>
  <c r="J46" i="21"/>
  <c r="I46" i="21"/>
  <c r="G46" i="21"/>
  <c r="AD40" i="21"/>
  <c r="AC40" i="21"/>
  <c r="AB40" i="21"/>
  <c r="AA40" i="21"/>
  <c r="Z40" i="21"/>
  <c r="Y40" i="21"/>
  <c r="W40" i="21"/>
  <c r="U40" i="21"/>
  <c r="N40" i="21"/>
  <c r="M40" i="21"/>
  <c r="L40" i="21"/>
  <c r="K40" i="21"/>
  <c r="J40" i="21"/>
  <c r="I40" i="21"/>
  <c r="G40" i="21"/>
  <c r="E40" i="21"/>
  <c r="AD39" i="21"/>
  <c r="AC39" i="21"/>
  <c r="AB39" i="21"/>
  <c r="AA39" i="21"/>
  <c r="Z39" i="21"/>
  <c r="Y39" i="21"/>
  <c r="W39" i="21"/>
  <c r="U39" i="21"/>
  <c r="N39" i="21"/>
  <c r="M39" i="21"/>
  <c r="L39" i="21"/>
  <c r="K39" i="21"/>
  <c r="J39" i="21"/>
  <c r="I39" i="21"/>
  <c r="G39" i="21"/>
  <c r="E39" i="21"/>
  <c r="AD33" i="21"/>
  <c r="AC33" i="21"/>
  <c r="AB33" i="21"/>
  <c r="AA33" i="21"/>
  <c r="Z33" i="21"/>
  <c r="Y33" i="21"/>
  <c r="W33" i="21"/>
  <c r="N33" i="21"/>
  <c r="M33" i="21"/>
  <c r="L33" i="21"/>
  <c r="K33" i="21"/>
  <c r="J33" i="21"/>
  <c r="I33" i="21"/>
  <c r="G33" i="21"/>
  <c r="AD32" i="21"/>
  <c r="AC32" i="21"/>
  <c r="AB32" i="21"/>
  <c r="AA32" i="21"/>
  <c r="Z32" i="21"/>
  <c r="Y32" i="21"/>
  <c r="W32" i="21"/>
  <c r="N32" i="21"/>
  <c r="M32" i="21"/>
  <c r="L32" i="21"/>
  <c r="K32" i="21"/>
  <c r="J32" i="21"/>
  <c r="I32" i="21"/>
  <c r="G32" i="21"/>
  <c r="AD26" i="21"/>
  <c r="AC26" i="21"/>
  <c r="AB26" i="21"/>
  <c r="AA26" i="21"/>
  <c r="Z26" i="21"/>
  <c r="Y26" i="21"/>
  <c r="W26" i="21"/>
  <c r="N26" i="21"/>
  <c r="M26" i="21"/>
  <c r="L26" i="21"/>
  <c r="K26" i="21"/>
  <c r="J26" i="21"/>
  <c r="I26" i="21"/>
  <c r="G26" i="21"/>
  <c r="AD25" i="21"/>
  <c r="AC25" i="21"/>
  <c r="AB25" i="21"/>
  <c r="AA25" i="21"/>
  <c r="Z25" i="21"/>
  <c r="Y25" i="21"/>
  <c r="W25" i="21"/>
  <c r="N25" i="21"/>
  <c r="M25" i="21"/>
  <c r="L25" i="21"/>
  <c r="K25" i="21"/>
  <c r="J25" i="21"/>
  <c r="I25" i="21"/>
  <c r="G25" i="21"/>
  <c r="AD19" i="21"/>
  <c r="AC19" i="21"/>
  <c r="AB19" i="21"/>
  <c r="AA19" i="21"/>
  <c r="Z19" i="21"/>
  <c r="Y19" i="21"/>
  <c r="W19" i="21"/>
  <c r="N19" i="21"/>
  <c r="M19" i="21"/>
  <c r="L19" i="21"/>
  <c r="K19" i="21"/>
  <c r="J19" i="21"/>
  <c r="I19" i="21"/>
  <c r="G19" i="21"/>
  <c r="AD18" i="21"/>
  <c r="AC18" i="21"/>
  <c r="AB18" i="21"/>
  <c r="AA18" i="21"/>
  <c r="Z18" i="21"/>
  <c r="Y18" i="21"/>
  <c r="W18" i="21"/>
  <c r="N18" i="21"/>
  <c r="M18" i="21"/>
  <c r="L18" i="21"/>
  <c r="K18" i="21"/>
  <c r="J18" i="21"/>
  <c r="I18" i="21"/>
  <c r="G18" i="21"/>
  <c r="AD11" i="21"/>
  <c r="AC11" i="21"/>
  <c r="AB11" i="21"/>
  <c r="AA11" i="21"/>
  <c r="Z11" i="21"/>
  <c r="Y11" i="21"/>
  <c r="J11" i="21"/>
  <c r="K11" i="21"/>
  <c r="L11" i="21"/>
  <c r="M11" i="21"/>
  <c r="N11" i="21"/>
  <c r="I11" i="21"/>
  <c r="Y12" i="21"/>
  <c r="Z12" i="21"/>
  <c r="AA12" i="21"/>
  <c r="AB12" i="21"/>
  <c r="AC12" i="21"/>
  <c r="AD12" i="21"/>
  <c r="I12" i="21"/>
  <c r="J12" i="21"/>
  <c r="K12" i="21"/>
  <c r="L12" i="21"/>
  <c r="M12" i="21"/>
  <c r="N12" i="21"/>
  <c r="G12" i="21"/>
  <c r="G11" i="21"/>
  <c r="AI90" i="21" l="1"/>
  <c r="C18" i="29"/>
  <c r="Y18" i="44"/>
  <c r="Y19" i="44"/>
  <c r="Y20" i="44"/>
  <c r="Y21" i="44"/>
  <c r="Y22" i="44"/>
  <c r="Y23" i="44"/>
  <c r="Y24" i="44"/>
  <c r="Y25" i="44"/>
  <c r="Y26" i="44"/>
  <c r="Y27" i="44"/>
  <c r="Y28" i="44"/>
  <c r="Y29" i="44"/>
  <c r="Y30" i="44"/>
  <c r="Y31" i="44"/>
  <c r="Y32" i="44"/>
  <c r="Y33" i="44"/>
  <c r="Y34" i="44"/>
  <c r="Y35" i="44"/>
  <c r="Y36" i="44"/>
  <c r="Y37" i="44"/>
  <c r="Y38" i="44"/>
  <c r="Y39" i="44"/>
  <c r="Y40" i="44"/>
  <c r="Y41" i="44"/>
  <c r="Y42" i="44"/>
  <c r="Y43" i="44"/>
  <c r="Y44" i="44"/>
  <c r="Y45" i="44"/>
  <c r="Y46" i="44"/>
  <c r="Y47" i="44"/>
  <c r="Y48" i="44"/>
  <c r="Y49" i="44"/>
  <c r="Y50" i="44"/>
  <c r="Y51" i="44"/>
  <c r="Y52" i="44"/>
  <c r="Y53" i="44"/>
  <c r="Y54" i="44"/>
  <c r="Y55" i="44"/>
  <c r="Y56" i="44"/>
  <c r="Y57" i="44"/>
  <c r="Y58" i="44"/>
  <c r="Y59" i="44"/>
  <c r="Y60" i="44"/>
  <c r="Y61" i="44"/>
  <c r="Y62" i="44"/>
  <c r="Y63" i="44"/>
  <c r="Y64" i="44"/>
  <c r="Y65" i="44"/>
  <c r="Y66" i="44"/>
  <c r="Y67" i="44"/>
  <c r="Y68" i="44"/>
  <c r="Y69" i="44"/>
  <c r="Y70" i="44"/>
  <c r="Y71" i="44"/>
  <c r="Y72" i="44"/>
  <c r="Y73" i="44"/>
  <c r="Y74" i="44"/>
  <c r="Y75" i="44"/>
  <c r="Y76" i="44"/>
  <c r="Y77" i="44"/>
  <c r="Y78" i="44"/>
  <c r="Y79" i="44"/>
  <c r="Y80" i="44"/>
  <c r="Y81" i="44"/>
  <c r="Y82" i="44"/>
  <c r="Y83" i="44"/>
  <c r="Y84" i="44"/>
  <c r="Y85" i="44"/>
  <c r="Y86" i="44"/>
  <c r="Y87" i="44"/>
  <c r="Y88" i="44"/>
  <c r="Y89" i="44"/>
  <c r="Y90" i="44"/>
  <c r="Y91" i="44"/>
  <c r="Y92" i="44"/>
  <c r="Y93" i="44"/>
  <c r="Y94" i="44"/>
  <c r="Y95" i="44"/>
  <c r="Y96" i="44"/>
  <c r="Y97" i="44"/>
  <c r="Y98" i="44"/>
  <c r="Y99" i="44"/>
  <c r="Y100" i="44"/>
  <c r="Y101" i="44"/>
  <c r="Y102" i="44"/>
  <c r="Y103" i="44"/>
  <c r="Y104" i="44"/>
  <c r="Y105" i="44"/>
  <c r="Y106" i="44"/>
  <c r="Y107" i="44"/>
  <c r="Y108" i="44"/>
  <c r="Y109" i="44"/>
  <c r="Y110" i="44"/>
  <c r="Y111" i="44"/>
  <c r="Y112" i="44"/>
  <c r="Y113" i="44"/>
  <c r="Y114" i="44"/>
  <c r="Y115" i="44"/>
  <c r="Y116" i="44"/>
  <c r="Y117" i="44"/>
  <c r="Y118" i="44"/>
  <c r="Y119" i="44"/>
  <c r="Y120" i="44"/>
  <c r="Y121" i="44"/>
  <c r="Y122" i="44"/>
  <c r="Y123" i="44"/>
  <c r="Y124" i="44"/>
  <c r="Y125" i="44"/>
  <c r="Y126" i="44"/>
  <c r="Y127" i="44"/>
  <c r="Y128" i="44"/>
  <c r="Y129" i="44"/>
  <c r="Y130" i="44"/>
  <c r="Y131" i="44"/>
  <c r="Y132" i="44"/>
  <c r="Y133" i="44"/>
  <c r="Y134" i="44"/>
  <c r="Y135" i="44"/>
  <c r="Y136" i="44"/>
  <c r="Y137" i="44"/>
  <c r="Y138" i="44"/>
  <c r="Y139" i="44"/>
  <c r="Y140" i="44"/>
  <c r="Y141" i="44"/>
  <c r="Y142" i="44"/>
  <c r="Y143" i="44"/>
  <c r="Y144" i="44"/>
  <c r="Y145" i="44"/>
  <c r="Y146" i="44"/>
  <c r="Y147" i="44"/>
  <c r="Y148" i="44"/>
  <c r="Y149" i="44"/>
  <c r="Y150" i="44"/>
  <c r="Y151" i="44"/>
  <c r="Y152" i="44"/>
  <c r="Y153" i="44"/>
  <c r="Y154" i="44"/>
  <c r="Y155" i="44"/>
  <c r="Y17" i="44"/>
  <c r="J17" i="44"/>
  <c r="J18" i="44"/>
  <c r="J19" i="44"/>
  <c r="J20" i="44"/>
  <c r="J21" i="44"/>
  <c r="J22" i="44"/>
  <c r="J23" i="44"/>
  <c r="J24" i="44"/>
  <c r="J25" i="44"/>
  <c r="J26" i="44"/>
  <c r="J27" i="44"/>
  <c r="J28" i="44"/>
  <c r="J29" i="44"/>
  <c r="J30" i="44"/>
  <c r="J31" i="44"/>
  <c r="J32" i="44"/>
  <c r="J33" i="44"/>
  <c r="J34" i="44"/>
  <c r="J35" i="44"/>
  <c r="J36" i="44"/>
  <c r="J37" i="44"/>
  <c r="J38" i="44"/>
  <c r="J39" i="44"/>
  <c r="J40" i="44"/>
  <c r="J41" i="44"/>
  <c r="J42" i="44"/>
  <c r="J43" i="44"/>
  <c r="J44" i="44"/>
  <c r="J45" i="44"/>
  <c r="J46" i="44"/>
  <c r="J47" i="44"/>
  <c r="J48" i="44"/>
  <c r="J49" i="44"/>
  <c r="J50" i="44"/>
  <c r="J51" i="44"/>
  <c r="J52" i="44"/>
  <c r="J53" i="44"/>
  <c r="J54" i="44"/>
  <c r="J55" i="44"/>
  <c r="J56" i="44"/>
  <c r="J57" i="44"/>
  <c r="J58" i="44"/>
  <c r="J59" i="44"/>
  <c r="J60" i="44"/>
  <c r="J61" i="44"/>
  <c r="J62" i="44"/>
  <c r="J63" i="44"/>
  <c r="J64" i="44"/>
  <c r="J65" i="44"/>
  <c r="J66" i="44"/>
  <c r="J67" i="44"/>
  <c r="J68" i="44"/>
  <c r="J69" i="44"/>
  <c r="J70" i="44"/>
  <c r="J71" i="44"/>
  <c r="J72" i="44"/>
  <c r="J73" i="44"/>
  <c r="J74" i="44"/>
  <c r="J75" i="44"/>
  <c r="J76" i="44"/>
  <c r="J77" i="44"/>
  <c r="J78" i="44"/>
  <c r="J79" i="44"/>
  <c r="J80" i="44"/>
  <c r="J81" i="44"/>
  <c r="J82" i="44"/>
  <c r="J83" i="44"/>
  <c r="J84" i="44"/>
  <c r="J85" i="44"/>
  <c r="J86" i="44"/>
  <c r="J87" i="44"/>
  <c r="J88" i="44"/>
  <c r="J89" i="44"/>
  <c r="J90" i="44"/>
  <c r="J91" i="44"/>
  <c r="J92" i="44"/>
  <c r="J93" i="44"/>
  <c r="J94" i="44"/>
  <c r="J95" i="44"/>
  <c r="J96" i="44"/>
  <c r="J97" i="44"/>
  <c r="J98" i="44"/>
  <c r="J99" i="44"/>
  <c r="J100" i="44"/>
  <c r="J101" i="44"/>
  <c r="J102" i="44"/>
  <c r="J103" i="44"/>
  <c r="J104" i="44"/>
  <c r="J105" i="44"/>
  <c r="J106" i="44"/>
  <c r="J107" i="44"/>
  <c r="J108" i="44"/>
  <c r="J109" i="44"/>
  <c r="J110" i="44"/>
  <c r="J111" i="44"/>
  <c r="J112" i="44"/>
  <c r="J113" i="44"/>
  <c r="J114" i="44"/>
  <c r="J115" i="44"/>
  <c r="J116" i="44"/>
  <c r="J117" i="44"/>
  <c r="J118" i="44"/>
  <c r="J119" i="44"/>
  <c r="J120" i="44"/>
  <c r="J121" i="44"/>
  <c r="J122" i="44"/>
  <c r="J123" i="44"/>
  <c r="J124" i="44"/>
  <c r="J125" i="44"/>
  <c r="J126" i="44"/>
  <c r="J127" i="44"/>
  <c r="J128" i="44"/>
  <c r="J129" i="44"/>
  <c r="J130" i="44"/>
  <c r="J131" i="44"/>
  <c r="J132" i="44"/>
  <c r="J133" i="44"/>
  <c r="J134" i="44"/>
  <c r="J135" i="44"/>
  <c r="J136" i="44"/>
  <c r="J137" i="44"/>
  <c r="J138" i="44"/>
  <c r="J139" i="44"/>
  <c r="J140" i="44"/>
  <c r="J141" i="44"/>
  <c r="J142" i="44"/>
  <c r="J143" i="44"/>
  <c r="J144" i="44"/>
  <c r="J145" i="44"/>
  <c r="J146" i="44"/>
  <c r="J147" i="44"/>
  <c r="J148" i="44"/>
  <c r="J149" i="44"/>
  <c r="J150" i="44"/>
  <c r="J151" i="44"/>
  <c r="J152" i="44"/>
  <c r="J153" i="44"/>
  <c r="J154" i="44"/>
  <c r="J155" i="44"/>
  <c r="J156" i="44"/>
  <c r="J157" i="44"/>
  <c r="J158" i="44"/>
  <c r="J159" i="44"/>
  <c r="J160" i="44"/>
  <c r="J161" i="44"/>
  <c r="J162" i="44"/>
  <c r="J163" i="44"/>
  <c r="J164" i="44"/>
  <c r="J165" i="44"/>
  <c r="J166" i="44"/>
  <c r="J167" i="44"/>
  <c r="J168" i="44"/>
  <c r="J169" i="44"/>
  <c r="J170" i="44"/>
  <c r="J171" i="44"/>
  <c r="J172" i="44"/>
  <c r="J173" i="44"/>
  <c r="J174" i="44"/>
  <c r="J175" i="44"/>
  <c r="J176" i="44"/>
  <c r="J177" i="44"/>
  <c r="J178" i="44"/>
  <c r="J179" i="44"/>
  <c r="J180" i="44"/>
  <c r="J181" i="44"/>
  <c r="J182" i="44"/>
  <c r="J183" i="44"/>
  <c r="J184" i="44"/>
  <c r="J185" i="44"/>
  <c r="J186" i="44"/>
  <c r="J187" i="44"/>
  <c r="J188" i="44"/>
  <c r="J189" i="44"/>
  <c r="J190" i="44"/>
  <c r="J191" i="44"/>
  <c r="J192" i="44"/>
  <c r="J193" i="44"/>
  <c r="J194" i="44"/>
  <c r="J195" i="44"/>
  <c r="J196" i="44"/>
  <c r="J197" i="44"/>
  <c r="J198" i="44"/>
  <c r="J199" i="44"/>
  <c r="J200" i="44"/>
  <c r="J201" i="44"/>
  <c r="J202" i="44"/>
  <c r="J203" i="44"/>
  <c r="J204" i="44"/>
  <c r="J205" i="44"/>
  <c r="J206" i="44"/>
  <c r="J207" i="44"/>
  <c r="J208" i="44"/>
  <c r="J209" i="44"/>
  <c r="J210" i="44"/>
  <c r="J211" i="44"/>
  <c r="J212" i="44"/>
  <c r="J213" i="44"/>
  <c r="J214" i="44"/>
  <c r="J215" i="44"/>
  <c r="J216" i="44"/>
  <c r="J217" i="44"/>
  <c r="J218" i="44"/>
  <c r="J219" i="44"/>
  <c r="J220" i="44"/>
  <c r="J221" i="44"/>
  <c r="J222" i="44"/>
  <c r="J223" i="44"/>
  <c r="J224" i="44"/>
  <c r="J225" i="44"/>
  <c r="J226" i="44"/>
  <c r="J227" i="44"/>
  <c r="J228" i="44"/>
  <c r="J229" i="44"/>
  <c r="J230" i="44"/>
  <c r="J231" i="44"/>
  <c r="J232" i="44"/>
  <c r="J233" i="44"/>
  <c r="J234" i="44"/>
  <c r="J235" i="44"/>
  <c r="J236" i="44"/>
  <c r="J237" i="44"/>
  <c r="J238" i="44"/>
  <c r="J239" i="44"/>
  <c r="J240" i="44"/>
  <c r="J241" i="44"/>
  <c r="J242" i="44"/>
  <c r="J243" i="44"/>
  <c r="J244" i="44"/>
  <c r="J245" i="44"/>
  <c r="J246" i="44"/>
  <c r="J247" i="44"/>
  <c r="J248" i="44"/>
  <c r="J249" i="44"/>
  <c r="J250" i="44"/>
  <c r="J251" i="44"/>
  <c r="J252" i="44"/>
  <c r="J253" i="44"/>
  <c r="J254" i="44"/>
  <c r="J255" i="44"/>
  <c r="J256" i="44"/>
  <c r="J257" i="44"/>
  <c r="J258" i="44"/>
  <c r="J259" i="44"/>
  <c r="J260" i="44"/>
  <c r="J261" i="44"/>
  <c r="J262" i="44"/>
  <c r="J263" i="44"/>
  <c r="J264" i="44"/>
  <c r="J265" i="44"/>
  <c r="J266" i="44"/>
  <c r="J267" i="44"/>
  <c r="J268" i="44"/>
  <c r="J269" i="44"/>
  <c r="J270" i="44"/>
  <c r="J271" i="44"/>
  <c r="J272" i="44"/>
  <c r="J273" i="44"/>
  <c r="J274" i="44"/>
  <c r="J275" i="44"/>
  <c r="J276" i="44"/>
  <c r="J277" i="44"/>
  <c r="J278" i="44"/>
  <c r="J279" i="44"/>
  <c r="J280" i="44"/>
  <c r="J281" i="44"/>
  <c r="J282" i="44"/>
  <c r="J283" i="44"/>
  <c r="J284" i="44"/>
  <c r="J285" i="44"/>
  <c r="J286" i="44"/>
  <c r="J287" i="44"/>
  <c r="J288" i="44"/>
  <c r="J289" i="44"/>
  <c r="J290" i="44"/>
  <c r="J291" i="44"/>
  <c r="J292" i="44"/>
  <c r="J293" i="44"/>
  <c r="J294" i="44"/>
  <c r="J295" i="44"/>
  <c r="J296" i="44"/>
  <c r="J297" i="44"/>
  <c r="J298" i="44"/>
  <c r="J299" i="44"/>
  <c r="J300" i="44"/>
  <c r="J301" i="44"/>
  <c r="J302" i="44"/>
  <c r="J303" i="44"/>
  <c r="J304" i="44"/>
  <c r="J305" i="44"/>
  <c r="J306" i="44"/>
  <c r="J307" i="44"/>
  <c r="J308" i="44"/>
  <c r="J309" i="44"/>
  <c r="J310" i="44"/>
  <c r="J311" i="44"/>
  <c r="J312" i="44"/>
  <c r="J313" i="44"/>
  <c r="J314" i="44"/>
  <c r="J315" i="44"/>
  <c r="J316" i="44"/>
  <c r="J317" i="44"/>
  <c r="J318" i="44"/>
  <c r="J319" i="44"/>
  <c r="J320" i="44"/>
  <c r="J321" i="44"/>
  <c r="J322" i="44"/>
  <c r="J323" i="44"/>
  <c r="J324" i="44"/>
  <c r="J325" i="44"/>
  <c r="J326" i="44"/>
  <c r="J327" i="44"/>
  <c r="J328" i="44"/>
  <c r="J329" i="44"/>
  <c r="J330" i="44"/>
  <c r="J331" i="44"/>
  <c r="J332" i="44"/>
  <c r="J333" i="44"/>
  <c r="J334" i="44"/>
  <c r="J335" i="44"/>
  <c r="G18" i="44"/>
  <c r="G19" i="44"/>
  <c r="G20" i="44"/>
  <c r="G21" i="44"/>
  <c r="G22" i="44"/>
  <c r="G23" i="44"/>
  <c r="G24" i="44"/>
  <c r="G25" i="44"/>
  <c r="G26" i="44"/>
  <c r="G27" i="44"/>
  <c r="G28" i="44"/>
  <c r="G29" i="44"/>
  <c r="G30" i="44"/>
  <c r="G31" i="44"/>
  <c r="G32" i="44"/>
  <c r="G33" i="44"/>
  <c r="G34" i="44"/>
  <c r="G35" i="44"/>
  <c r="G36" i="44"/>
  <c r="G37" i="44"/>
  <c r="G38" i="44"/>
  <c r="G39" i="44"/>
  <c r="G40" i="44"/>
  <c r="G41" i="44"/>
  <c r="G42" i="44"/>
  <c r="G43" i="44"/>
  <c r="G44" i="44"/>
  <c r="G45" i="44"/>
  <c r="G46" i="44"/>
  <c r="G47" i="44"/>
  <c r="G48" i="44"/>
  <c r="G49" i="44"/>
  <c r="G50" i="44"/>
  <c r="G51" i="44"/>
  <c r="G52" i="44"/>
  <c r="G53" i="44"/>
  <c r="G54" i="44"/>
  <c r="G55" i="44"/>
  <c r="G56" i="44"/>
  <c r="G57" i="44"/>
  <c r="G58" i="44"/>
  <c r="G59" i="44"/>
  <c r="G60" i="44"/>
  <c r="G61" i="44"/>
  <c r="G62" i="44"/>
  <c r="G63" i="44"/>
  <c r="G64" i="44"/>
  <c r="G65" i="44"/>
  <c r="G66" i="44"/>
  <c r="G67" i="44"/>
  <c r="G68" i="44"/>
  <c r="G69" i="44"/>
  <c r="G70" i="44"/>
  <c r="G71" i="44"/>
  <c r="G72" i="44"/>
  <c r="G73" i="44"/>
  <c r="G74" i="44"/>
  <c r="G75" i="44"/>
  <c r="G76" i="44"/>
  <c r="G77" i="44"/>
  <c r="G78" i="44"/>
  <c r="G79" i="44"/>
  <c r="G80" i="44"/>
  <c r="G81" i="44"/>
  <c r="G82" i="44"/>
  <c r="G83" i="44"/>
  <c r="G84" i="44"/>
  <c r="G85" i="44"/>
  <c r="G86" i="44"/>
  <c r="G87" i="44"/>
  <c r="G88" i="44"/>
  <c r="G89" i="44"/>
  <c r="G90" i="44"/>
  <c r="G91" i="44"/>
  <c r="G92" i="44"/>
  <c r="G93" i="44"/>
  <c r="G94" i="44"/>
  <c r="G95" i="44"/>
  <c r="G96" i="44"/>
  <c r="G97" i="44"/>
  <c r="G98" i="44"/>
  <c r="G99" i="44"/>
  <c r="G100" i="44"/>
  <c r="G101" i="44"/>
  <c r="G102" i="44"/>
  <c r="G103" i="44"/>
  <c r="G104" i="44"/>
  <c r="G105" i="44"/>
  <c r="G106" i="44"/>
  <c r="G107" i="44"/>
  <c r="G108" i="44"/>
  <c r="G109" i="44"/>
  <c r="G110" i="44"/>
  <c r="G111" i="44"/>
  <c r="G112" i="44"/>
  <c r="G113" i="44"/>
  <c r="G114" i="44"/>
  <c r="G115" i="44"/>
  <c r="G116" i="44"/>
  <c r="G117" i="44"/>
  <c r="G118" i="44"/>
  <c r="G119" i="44"/>
  <c r="G120" i="44"/>
  <c r="G121" i="44"/>
  <c r="G122" i="44"/>
  <c r="G123" i="44"/>
  <c r="G124" i="44"/>
  <c r="G125" i="44"/>
  <c r="G126" i="44"/>
  <c r="G127" i="44"/>
  <c r="G128" i="44"/>
  <c r="G129" i="44"/>
  <c r="G130" i="44"/>
  <c r="G131" i="44"/>
  <c r="G132" i="44"/>
  <c r="G133" i="44"/>
  <c r="G134" i="44"/>
  <c r="G135" i="44"/>
  <c r="G136" i="44"/>
  <c r="G137" i="44"/>
  <c r="G138" i="44"/>
  <c r="G139" i="44"/>
  <c r="G140" i="44"/>
  <c r="G141" i="44"/>
  <c r="G142" i="44"/>
  <c r="G143" i="44"/>
  <c r="G144" i="44"/>
  <c r="G145" i="44"/>
  <c r="G146" i="44"/>
  <c r="G147" i="44"/>
  <c r="G148" i="44"/>
  <c r="G149" i="44"/>
  <c r="G150" i="44"/>
  <c r="G151" i="44"/>
  <c r="G152" i="44"/>
  <c r="G153" i="44"/>
  <c r="G154" i="44"/>
  <c r="G155" i="44"/>
  <c r="G156" i="44"/>
  <c r="G157" i="44"/>
  <c r="G158" i="44"/>
  <c r="G159" i="44"/>
  <c r="G160" i="44"/>
  <c r="G161" i="44"/>
  <c r="G162" i="44"/>
  <c r="G163" i="44"/>
  <c r="G164" i="44"/>
  <c r="G165" i="44"/>
  <c r="G166" i="44"/>
  <c r="G167" i="44"/>
  <c r="G168" i="44"/>
  <c r="G169" i="44"/>
  <c r="G170" i="44"/>
  <c r="G171" i="44"/>
  <c r="G172" i="44"/>
  <c r="G173" i="44"/>
  <c r="G174" i="44"/>
  <c r="G175" i="44"/>
  <c r="G176" i="44"/>
  <c r="G177" i="44"/>
  <c r="G178" i="44"/>
  <c r="G179" i="44"/>
  <c r="G180" i="44"/>
  <c r="G181" i="44"/>
  <c r="G182" i="44"/>
  <c r="G183" i="44"/>
  <c r="G184" i="44"/>
  <c r="G185" i="44"/>
  <c r="G186" i="44"/>
  <c r="G187" i="44"/>
  <c r="G188" i="44"/>
  <c r="G189" i="44"/>
  <c r="G190" i="44"/>
  <c r="G191" i="44"/>
  <c r="G192" i="44"/>
  <c r="G193" i="44"/>
  <c r="G194" i="44"/>
  <c r="G195" i="44"/>
  <c r="G196" i="44"/>
  <c r="G197" i="44"/>
  <c r="G198" i="44"/>
  <c r="G199" i="44"/>
  <c r="G200" i="44"/>
  <c r="G201" i="44"/>
  <c r="G202" i="44"/>
  <c r="G203" i="44"/>
  <c r="G204" i="44"/>
  <c r="G205" i="44"/>
  <c r="G206" i="44"/>
  <c r="G207" i="44"/>
  <c r="G208" i="44"/>
  <c r="G209" i="44"/>
  <c r="G210" i="44"/>
  <c r="G211" i="44"/>
  <c r="G212" i="44"/>
  <c r="G213" i="44"/>
  <c r="G214" i="44"/>
  <c r="G215" i="44"/>
  <c r="G216" i="44"/>
  <c r="G217" i="44"/>
  <c r="G218" i="44"/>
  <c r="G219" i="44"/>
  <c r="G220" i="44"/>
  <c r="G221" i="44"/>
  <c r="G222" i="44"/>
  <c r="G223" i="44"/>
  <c r="G224" i="44"/>
  <c r="G225" i="44"/>
  <c r="G226" i="44"/>
  <c r="G227" i="44"/>
  <c r="G228" i="44"/>
  <c r="G229" i="44"/>
  <c r="G230" i="44"/>
  <c r="G231" i="44"/>
  <c r="G232" i="44"/>
  <c r="G233" i="44"/>
  <c r="G234" i="44"/>
  <c r="G235" i="44"/>
  <c r="G236" i="44"/>
  <c r="G237" i="44"/>
  <c r="G238" i="44"/>
  <c r="G239" i="44"/>
  <c r="G240" i="44"/>
  <c r="G241" i="44"/>
  <c r="G242" i="44"/>
  <c r="G243" i="44"/>
  <c r="G244" i="44"/>
  <c r="G245" i="44"/>
  <c r="G246" i="44"/>
  <c r="G247" i="44"/>
  <c r="G248" i="44"/>
  <c r="G249" i="44"/>
  <c r="G250" i="44"/>
  <c r="G251" i="44"/>
  <c r="G252" i="44"/>
  <c r="G253" i="44"/>
  <c r="G254" i="44"/>
  <c r="G255" i="44"/>
  <c r="G256" i="44"/>
  <c r="G257" i="44"/>
  <c r="G258" i="44"/>
  <c r="G259" i="44"/>
  <c r="G260" i="44"/>
  <c r="G261" i="44"/>
  <c r="G262" i="44"/>
  <c r="G263" i="44"/>
  <c r="G264" i="44"/>
  <c r="G265" i="44"/>
  <c r="G266" i="44"/>
  <c r="G267" i="44"/>
  <c r="G268" i="44"/>
  <c r="G269" i="44"/>
  <c r="G270" i="44"/>
  <c r="G271" i="44"/>
  <c r="G272" i="44"/>
  <c r="G273" i="44"/>
  <c r="G274" i="44"/>
  <c r="G275" i="44"/>
  <c r="G276" i="44"/>
  <c r="G277" i="44"/>
  <c r="G278" i="44"/>
  <c r="G279" i="44"/>
  <c r="G280" i="44"/>
  <c r="G281" i="44"/>
  <c r="G282" i="44"/>
  <c r="G283" i="44"/>
  <c r="G284" i="44"/>
  <c r="G285" i="44"/>
  <c r="G286" i="44"/>
  <c r="G287" i="44"/>
  <c r="G288" i="44"/>
  <c r="G289" i="44"/>
  <c r="G290" i="44"/>
  <c r="G291" i="44"/>
  <c r="G292" i="44"/>
  <c r="G293" i="44"/>
  <c r="G294" i="44"/>
  <c r="G295" i="44"/>
  <c r="G296" i="44"/>
  <c r="G297" i="44"/>
  <c r="G298" i="44"/>
  <c r="G299" i="44"/>
  <c r="G300" i="44"/>
  <c r="G301" i="44"/>
  <c r="G302" i="44"/>
  <c r="G303" i="44"/>
  <c r="G304" i="44"/>
  <c r="G305" i="44"/>
  <c r="G306" i="44"/>
  <c r="G307" i="44"/>
  <c r="G308" i="44"/>
  <c r="G309" i="44"/>
  <c r="G310" i="44"/>
  <c r="G311" i="44"/>
  <c r="G312" i="44"/>
  <c r="G313" i="44"/>
  <c r="G314" i="44"/>
  <c r="G315" i="44"/>
  <c r="G316" i="44"/>
  <c r="G317" i="44"/>
  <c r="G318" i="44"/>
  <c r="G319" i="44"/>
  <c r="G320" i="44"/>
  <c r="G321" i="44"/>
  <c r="G322" i="44"/>
  <c r="G323" i="44"/>
  <c r="G324" i="44"/>
  <c r="G325" i="44"/>
  <c r="G326" i="44"/>
  <c r="G327" i="44"/>
  <c r="G328" i="44"/>
  <c r="G329" i="44"/>
  <c r="G330" i="44"/>
  <c r="G331" i="44"/>
  <c r="G332" i="44"/>
  <c r="G333" i="44"/>
  <c r="G334" i="44"/>
  <c r="G335" i="44"/>
  <c r="G17" i="44"/>
  <c r="V18" i="44"/>
  <c r="V19" i="44"/>
  <c r="V20" i="44"/>
  <c r="V21" i="44"/>
  <c r="V22" i="44"/>
  <c r="V23" i="44"/>
  <c r="V24" i="44"/>
  <c r="V25" i="44"/>
  <c r="V26" i="44"/>
  <c r="V27" i="44"/>
  <c r="V28" i="44"/>
  <c r="V29" i="44"/>
  <c r="V30" i="44"/>
  <c r="V31" i="44"/>
  <c r="V32" i="44"/>
  <c r="V33" i="44"/>
  <c r="V34" i="44"/>
  <c r="V35" i="44"/>
  <c r="V36" i="44"/>
  <c r="V37" i="44"/>
  <c r="V38" i="44"/>
  <c r="V39" i="44"/>
  <c r="V40" i="44"/>
  <c r="V41" i="44"/>
  <c r="V42" i="44"/>
  <c r="V43" i="44"/>
  <c r="V44" i="44"/>
  <c r="V45" i="44"/>
  <c r="V46" i="44"/>
  <c r="V47" i="44"/>
  <c r="V48" i="44"/>
  <c r="V49" i="44"/>
  <c r="V50" i="44"/>
  <c r="V51" i="44"/>
  <c r="V52" i="44"/>
  <c r="V53" i="44"/>
  <c r="V54" i="44"/>
  <c r="V55" i="44"/>
  <c r="V56" i="44"/>
  <c r="V57" i="44"/>
  <c r="V58" i="44"/>
  <c r="V59" i="44"/>
  <c r="V60" i="44"/>
  <c r="V61" i="44"/>
  <c r="V62" i="44"/>
  <c r="V63" i="44"/>
  <c r="V64" i="44"/>
  <c r="V65" i="44"/>
  <c r="V66" i="44"/>
  <c r="V67" i="44"/>
  <c r="V68" i="44"/>
  <c r="V69" i="44"/>
  <c r="V70" i="44"/>
  <c r="V71" i="44"/>
  <c r="V72" i="44"/>
  <c r="V73" i="44"/>
  <c r="V74" i="44"/>
  <c r="V75" i="44"/>
  <c r="V76" i="44"/>
  <c r="V77" i="44"/>
  <c r="V78" i="44"/>
  <c r="V79" i="44"/>
  <c r="V80" i="44"/>
  <c r="V81" i="44"/>
  <c r="V82" i="44"/>
  <c r="V83" i="44"/>
  <c r="V84" i="44"/>
  <c r="V85" i="44"/>
  <c r="V86" i="44"/>
  <c r="V87" i="44"/>
  <c r="V88" i="44"/>
  <c r="V89" i="44"/>
  <c r="V90" i="44"/>
  <c r="V91" i="44"/>
  <c r="V92" i="44"/>
  <c r="V93" i="44"/>
  <c r="V94" i="44"/>
  <c r="V95" i="44"/>
  <c r="V96" i="44"/>
  <c r="V97" i="44"/>
  <c r="V98" i="44"/>
  <c r="V99" i="44"/>
  <c r="V100" i="44"/>
  <c r="V101" i="44"/>
  <c r="V102" i="44"/>
  <c r="V103" i="44"/>
  <c r="V104" i="44"/>
  <c r="V105" i="44"/>
  <c r="V106" i="44"/>
  <c r="V107" i="44"/>
  <c r="V108" i="44"/>
  <c r="V109" i="44"/>
  <c r="V110" i="44"/>
  <c r="V111" i="44"/>
  <c r="V112" i="44"/>
  <c r="V113" i="44"/>
  <c r="V114" i="44"/>
  <c r="V115" i="44"/>
  <c r="V116" i="44"/>
  <c r="V117" i="44"/>
  <c r="V118" i="44"/>
  <c r="V119" i="44"/>
  <c r="V120" i="44"/>
  <c r="V121" i="44"/>
  <c r="V122" i="44"/>
  <c r="V123" i="44"/>
  <c r="V124" i="44"/>
  <c r="V125" i="44"/>
  <c r="V126" i="44"/>
  <c r="V127" i="44"/>
  <c r="V128" i="44"/>
  <c r="V129" i="44"/>
  <c r="V130" i="44"/>
  <c r="V131" i="44"/>
  <c r="V132" i="44"/>
  <c r="V133" i="44"/>
  <c r="V134" i="44"/>
  <c r="V135" i="44"/>
  <c r="V136" i="44"/>
  <c r="V137" i="44"/>
  <c r="V138" i="44"/>
  <c r="V139" i="44"/>
  <c r="V140" i="44"/>
  <c r="V141" i="44"/>
  <c r="V142" i="44"/>
  <c r="V143" i="44"/>
  <c r="V144" i="44"/>
  <c r="V145" i="44"/>
  <c r="V146" i="44"/>
  <c r="V147" i="44"/>
  <c r="V148" i="44"/>
  <c r="V149" i="44"/>
  <c r="V150" i="44"/>
  <c r="V151" i="44"/>
  <c r="V152" i="44"/>
  <c r="V153" i="44"/>
  <c r="V154" i="44"/>
  <c r="V155" i="44"/>
  <c r="V17" i="44"/>
  <c r="S18" i="44"/>
  <c r="S19" i="44"/>
  <c r="S20" i="44"/>
  <c r="S21" i="44"/>
  <c r="S22" i="44"/>
  <c r="S23" i="44"/>
  <c r="S24" i="44"/>
  <c r="S25" i="44"/>
  <c r="S26" i="44"/>
  <c r="S27" i="44"/>
  <c r="S28" i="44"/>
  <c r="S29" i="44"/>
  <c r="S30" i="44"/>
  <c r="S31" i="44"/>
  <c r="S32" i="44"/>
  <c r="S33" i="44"/>
  <c r="S34" i="44"/>
  <c r="S35" i="44"/>
  <c r="S36" i="44"/>
  <c r="S37" i="44"/>
  <c r="S38" i="44"/>
  <c r="S39" i="44"/>
  <c r="S40" i="44"/>
  <c r="S41" i="44"/>
  <c r="S42" i="44"/>
  <c r="S43" i="44"/>
  <c r="S44" i="44"/>
  <c r="S45" i="44"/>
  <c r="S46" i="44"/>
  <c r="S47" i="44"/>
  <c r="S48" i="44"/>
  <c r="S49" i="44"/>
  <c r="S50" i="44"/>
  <c r="S51" i="44"/>
  <c r="S52" i="44"/>
  <c r="S53" i="44"/>
  <c r="S54" i="44"/>
  <c r="S55" i="44"/>
  <c r="S56" i="44"/>
  <c r="S57" i="44"/>
  <c r="S58" i="44"/>
  <c r="S59" i="44"/>
  <c r="S60" i="44"/>
  <c r="S61" i="44"/>
  <c r="S62" i="44"/>
  <c r="S63" i="44"/>
  <c r="S64" i="44"/>
  <c r="S65" i="44"/>
  <c r="S66" i="44"/>
  <c r="S67" i="44"/>
  <c r="S68" i="44"/>
  <c r="S69" i="44"/>
  <c r="S70" i="44"/>
  <c r="S71" i="44"/>
  <c r="S72" i="44"/>
  <c r="S73" i="44"/>
  <c r="S74" i="44"/>
  <c r="S75" i="44"/>
  <c r="S76" i="44"/>
  <c r="S77" i="44"/>
  <c r="S78" i="44"/>
  <c r="S79" i="44"/>
  <c r="S80" i="44"/>
  <c r="S81" i="44"/>
  <c r="S82" i="44"/>
  <c r="S83" i="44"/>
  <c r="S84" i="44"/>
  <c r="S85" i="44"/>
  <c r="S86" i="44"/>
  <c r="S87" i="44"/>
  <c r="S88" i="44"/>
  <c r="S89" i="44"/>
  <c r="S90" i="44"/>
  <c r="S91" i="44"/>
  <c r="S92" i="44"/>
  <c r="S93" i="44"/>
  <c r="S94" i="44"/>
  <c r="S95" i="44"/>
  <c r="S96" i="44"/>
  <c r="S97" i="44"/>
  <c r="S98" i="44"/>
  <c r="S99" i="44"/>
  <c r="S100" i="44"/>
  <c r="S101" i="44"/>
  <c r="S102" i="44"/>
  <c r="S103" i="44"/>
  <c r="S104" i="44"/>
  <c r="S105" i="44"/>
  <c r="S106" i="44"/>
  <c r="S107" i="44"/>
  <c r="S108" i="44"/>
  <c r="S109" i="44"/>
  <c r="S110" i="44"/>
  <c r="S111" i="44"/>
  <c r="S112" i="44"/>
  <c r="S113" i="44"/>
  <c r="S114" i="44"/>
  <c r="S115" i="44"/>
  <c r="S116" i="44"/>
  <c r="S117" i="44"/>
  <c r="S118" i="44"/>
  <c r="S119" i="44"/>
  <c r="S120" i="44"/>
  <c r="S121" i="44"/>
  <c r="S122" i="44"/>
  <c r="S123" i="44"/>
  <c r="S124" i="44"/>
  <c r="S125" i="44"/>
  <c r="S126" i="44"/>
  <c r="S127" i="44"/>
  <c r="S128" i="44"/>
  <c r="S129" i="44"/>
  <c r="S130" i="44"/>
  <c r="S131" i="44"/>
  <c r="S132" i="44"/>
  <c r="S133" i="44"/>
  <c r="S134" i="44"/>
  <c r="S135" i="44"/>
  <c r="S136" i="44"/>
  <c r="S137" i="44"/>
  <c r="S138" i="44"/>
  <c r="S139" i="44"/>
  <c r="S140" i="44"/>
  <c r="S141" i="44"/>
  <c r="S142" i="44"/>
  <c r="S143" i="44"/>
  <c r="S144" i="44"/>
  <c r="S145" i="44"/>
  <c r="S146" i="44"/>
  <c r="S147" i="44"/>
  <c r="S148" i="44"/>
  <c r="S149" i="44"/>
  <c r="S150" i="44"/>
  <c r="S151" i="44"/>
  <c r="S152" i="44"/>
  <c r="S153" i="44"/>
  <c r="S154" i="44"/>
  <c r="S155" i="44"/>
  <c r="S17" i="44"/>
  <c r="D17" i="44"/>
  <c r="D18" i="44"/>
  <c r="CG24" i="29" l="1"/>
  <c r="U24" i="29"/>
  <c r="S336" i="44"/>
  <c r="Y347" i="44" s="1"/>
  <c r="Y336" i="44"/>
  <c r="V336" i="44"/>
  <c r="Y348" i="44" s="1"/>
  <c r="T22" i="45" l="1"/>
  <c r="U22" i="45"/>
  <c r="V22" i="45"/>
  <c r="V21" i="45"/>
  <c r="U21" i="45"/>
  <c r="AF22" i="45" l="1"/>
  <c r="AG22" i="45"/>
  <c r="AH22" i="45"/>
  <c r="T17" i="45"/>
  <c r="U18" i="45"/>
  <c r="V18" i="45"/>
  <c r="T18" i="45"/>
  <c r="V17" i="45"/>
  <c r="U17" i="45"/>
  <c r="T24" i="45"/>
  <c r="U24" i="45"/>
  <c r="V24" i="45"/>
  <c r="V23" i="45"/>
  <c r="U23" i="45"/>
  <c r="T23" i="45"/>
  <c r="T21" i="45"/>
  <c r="V20" i="45"/>
  <c r="U20" i="45"/>
  <c r="T20" i="45"/>
  <c r="V19" i="45"/>
  <c r="U19" i="45"/>
  <c r="T19" i="45"/>
  <c r="T14" i="45"/>
  <c r="U14" i="45"/>
  <c r="V14" i="45"/>
  <c r="V13" i="45"/>
  <c r="U13" i="45"/>
  <c r="T13" i="45"/>
  <c r="T12" i="45"/>
  <c r="U12" i="45"/>
  <c r="V12" i="45"/>
  <c r="V11" i="45"/>
  <c r="U11" i="45"/>
  <c r="T11" i="45"/>
  <c r="T10" i="45"/>
  <c r="U10" i="45"/>
  <c r="V10" i="45"/>
  <c r="V9" i="45"/>
  <c r="U9" i="45"/>
  <c r="T9" i="45"/>
  <c r="T8" i="45"/>
  <c r="U8" i="45"/>
  <c r="V8" i="45"/>
  <c r="AA61" i="39"/>
  <c r="AW41" i="29"/>
  <c r="AJ35" i="29"/>
  <c r="AC28" i="29"/>
  <c r="CL36" i="29"/>
  <c r="AM38" i="29"/>
  <c r="DJ63" i="29"/>
  <c r="AV29" i="29"/>
  <c r="CW38" i="29"/>
  <c r="DJ35" i="29"/>
  <c r="Y20" i="47"/>
  <c r="CO32" i="29"/>
  <c r="DD59" i="29"/>
  <c r="Y56" i="29"/>
  <c r="CW32" i="29"/>
  <c r="W65" i="29"/>
  <c r="X57" i="29"/>
  <c r="AX61" i="29"/>
  <c r="AL32" i="29"/>
  <c r="AW53" i="29"/>
  <c r="DI58" i="29"/>
  <c r="CJ40" i="29"/>
  <c r="CK34" i="29"/>
  <c r="CU41" i="29"/>
  <c r="W28" i="29"/>
  <c r="DD54" i="29"/>
  <c r="AB37" i="29"/>
  <c r="AA93" i="39"/>
  <c r="AR62" i="29"/>
  <c r="AF52" i="29"/>
  <c r="Z52" i="29"/>
  <c r="AG29" i="29"/>
  <c r="CW40" i="29"/>
  <c r="Y32" i="29"/>
  <c r="CO35" i="29"/>
  <c r="AA24" i="39"/>
  <c r="CU28" i="29"/>
  <c r="CU50" i="29"/>
  <c r="DJ29" i="29"/>
  <c r="CI51" i="29"/>
  <c r="CT37" i="29"/>
  <c r="AE35" i="29"/>
  <c r="AW60" i="29"/>
  <c r="CO64" i="29"/>
  <c r="AK29" i="29"/>
  <c r="DF35" i="29"/>
  <c r="DG29" i="29"/>
  <c r="AH56" i="29"/>
  <c r="DF64" i="29"/>
  <c r="CS40" i="29"/>
  <c r="DF60" i="29"/>
  <c r="AS38" i="29"/>
  <c r="AN40" i="29"/>
  <c r="CY38" i="29"/>
  <c r="V56" i="29"/>
  <c r="AA61" i="29"/>
  <c r="CL50" i="29"/>
  <c r="V58" i="29"/>
  <c r="AV31" i="29"/>
  <c r="N47" i="39"/>
  <c r="DB33" i="29"/>
  <c r="X39" i="29"/>
  <c r="X61" i="29"/>
  <c r="AD26" i="29"/>
  <c r="AG53" i="29"/>
  <c r="AG35" i="29"/>
  <c r="CU63" i="29"/>
  <c r="AS39" i="29"/>
  <c r="AU54" i="29"/>
  <c r="AF50" i="29"/>
  <c r="CX59" i="29"/>
  <c r="AO65" i="29"/>
  <c r="CM52" i="29"/>
  <c r="AO52" i="29"/>
  <c r="AX63" i="29"/>
  <c r="N48" i="39"/>
  <c r="DE39" i="29"/>
  <c r="CK26" i="29"/>
  <c r="AS62" i="29"/>
  <c r="CY40" i="29"/>
  <c r="AK65" i="29"/>
  <c r="DG38" i="29"/>
  <c r="AC65" i="29"/>
  <c r="AU41" i="29"/>
  <c r="CX65" i="29"/>
  <c r="AP40" i="29"/>
  <c r="AC56" i="29"/>
  <c r="AT38" i="29"/>
  <c r="AO34" i="29"/>
  <c r="N38" i="39"/>
  <c r="CQ37" i="29"/>
  <c r="CI50" i="29"/>
  <c r="N47" i="14"/>
  <c r="CK32" i="29"/>
  <c r="CP40" i="29"/>
  <c r="AV28" i="29"/>
  <c r="CZ53" i="29"/>
  <c r="AO33" i="29"/>
  <c r="N20" i="47"/>
  <c r="AP38" i="29"/>
  <c r="AE61" i="29"/>
  <c r="CS33" i="29"/>
  <c r="DH35" i="29"/>
  <c r="DI36" i="29"/>
  <c r="Z41" i="29"/>
  <c r="CH26" i="29"/>
  <c r="AM62" i="29"/>
  <c r="AE53" i="29"/>
  <c r="CO27" i="29"/>
  <c r="N93" i="39"/>
  <c r="DE57" i="29"/>
  <c r="CQ59" i="29"/>
  <c r="AI59" i="29"/>
  <c r="Y38" i="29"/>
  <c r="DH51" i="29"/>
  <c r="AL57" i="29"/>
  <c r="CU56" i="29"/>
  <c r="CK58" i="29"/>
  <c r="AH40" i="29"/>
  <c r="DB41" i="29"/>
  <c r="AI35" i="29"/>
  <c r="CL53" i="29"/>
  <c r="CL65" i="29"/>
  <c r="N24" i="39"/>
  <c r="DI51" i="29"/>
  <c r="AL29" i="29"/>
  <c r="AK52" i="29"/>
  <c r="AF56" i="29"/>
  <c r="CK41" i="29"/>
  <c r="AN38" i="29"/>
  <c r="DG33" i="29"/>
  <c r="AH62" i="29"/>
  <c r="AU64" i="29"/>
  <c r="AH41" i="29"/>
  <c r="CU27" i="29"/>
  <c r="CW61" i="29"/>
  <c r="Z64" i="29"/>
  <c r="AN64" i="29"/>
  <c r="DE41" i="29"/>
  <c r="AF40" i="29"/>
  <c r="CL40" i="29"/>
  <c r="AR27" i="29"/>
  <c r="AH29" i="29"/>
  <c r="AS57" i="29"/>
  <c r="AJ63" i="29"/>
  <c r="N103" i="39"/>
  <c r="DB32" i="29"/>
  <c r="CN60" i="29"/>
  <c r="CM26" i="29"/>
  <c r="AV39" i="29"/>
  <c r="AR56" i="29"/>
  <c r="AF38" i="29"/>
  <c r="AF57" i="29"/>
  <c r="CS57" i="29"/>
  <c r="AP34" i="29"/>
  <c r="DA50" i="29"/>
  <c r="AD57" i="29"/>
  <c r="DF40" i="29"/>
  <c r="CW39" i="29"/>
  <c r="AO58" i="29"/>
  <c r="DC54" i="29"/>
  <c r="CS35" i="29"/>
  <c r="CZ30" i="29"/>
  <c r="DI62" i="29"/>
  <c r="CP26" i="29"/>
  <c r="CZ40" i="29"/>
  <c r="AH57" i="29"/>
  <c r="AW59" i="29"/>
  <c r="AO29" i="29"/>
  <c r="DI59" i="29"/>
  <c r="W64" i="29"/>
  <c r="CY33" i="29"/>
  <c r="CK65" i="29"/>
  <c r="CR26" i="29"/>
  <c r="AQ33" i="29"/>
  <c r="AF35" i="29"/>
  <c r="Z39" i="29"/>
  <c r="AH61" i="29"/>
  <c r="AE38" i="29"/>
  <c r="CP36" i="29"/>
  <c r="DF59" i="29"/>
  <c r="CX30" i="29"/>
  <c r="X58" i="29"/>
  <c r="AV35" i="29"/>
  <c r="AQ27" i="29"/>
  <c r="CM59" i="29"/>
  <c r="AR35" i="29"/>
  <c r="CO41" i="29"/>
  <c r="Y33" i="29"/>
  <c r="V60" i="29"/>
  <c r="CW58" i="29"/>
  <c r="AE26" i="29"/>
  <c r="AQ56" i="29"/>
  <c r="W62" i="29"/>
  <c r="AQ38" i="29"/>
  <c r="AR41" i="29"/>
  <c r="CL63" i="29"/>
  <c r="AO32" i="29"/>
  <c r="F47" i="14"/>
  <c r="AS26" i="29"/>
  <c r="CV56" i="29"/>
  <c r="CZ57" i="29"/>
  <c r="CM57" i="29"/>
  <c r="AE54" i="29"/>
  <c r="AT33" i="29"/>
  <c r="AE40" i="29"/>
  <c r="AD30" i="29"/>
  <c r="AP37" i="29"/>
  <c r="DI33" i="29"/>
  <c r="CZ33" i="29"/>
  <c r="AO26" i="29"/>
  <c r="V50" i="29"/>
  <c r="AF27" i="29"/>
  <c r="AW38" i="29"/>
  <c r="DI37" i="29"/>
  <c r="AD35" i="29"/>
  <c r="AA38" i="39"/>
  <c r="AX50" i="29"/>
  <c r="AR26" i="29"/>
  <c r="DH63" i="29"/>
  <c r="CU64" i="29"/>
  <c r="DE36" i="29"/>
  <c r="CU26" i="29"/>
  <c r="AJ62" i="29"/>
  <c r="DC50" i="29"/>
  <c r="AO56" i="29"/>
  <c r="CT65" i="29"/>
  <c r="CZ29" i="29"/>
  <c r="AW64" i="29"/>
  <c r="AA103" i="39"/>
  <c r="CO54" i="29"/>
  <c r="AT36" i="29"/>
  <c r="CX51" i="29"/>
  <c r="AU40" i="29"/>
  <c r="CU52" i="29"/>
  <c r="AK39" i="29"/>
  <c r="AA14" i="39"/>
  <c r="N230" i="27"/>
  <c r="Y37" i="29"/>
  <c r="CJ30" i="29"/>
  <c r="CI57" i="29"/>
  <c r="V51" i="29"/>
  <c r="CH40" i="29"/>
  <c r="DB37" i="29"/>
  <c r="CH34" i="29"/>
  <c r="CH53" i="29"/>
  <c r="CH41" i="29"/>
  <c r="AU57" i="29"/>
  <c r="V26" i="29"/>
  <c r="AD27" i="29"/>
  <c r="DG64" i="29"/>
  <c r="CR29" i="29"/>
  <c r="DC35" i="29"/>
  <c r="DC33" i="29"/>
  <c r="AG57" i="29"/>
  <c r="CN57" i="29"/>
  <c r="CL33" i="29"/>
  <c r="CU32" i="29"/>
  <c r="AL59" i="29"/>
  <c r="CU29" i="29"/>
  <c r="AR51" i="29"/>
  <c r="CN33" i="29"/>
  <c r="AN30" i="29"/>
  <c r="AA65" i="29"/>
  <c r="CL38" i="29"/>
  <c r="AN57" i="29"/>
  <c r="DH26" i="29"/>
  <c r="CQ53" i="29"/>
  <c r="DA26" i="29"/>
  <c r="CM51" i="29"/>
  <c r="AF37" i="29"/>
  <c r="AO40" i="29"/>
  <c r="CJ53" i="29"/>
  <c r="CK50" i="29"/>
  <c r="AG33" i="29"/>
  <c r="AU29" i="29"/>
  <c r="AV52" i="29"/>
  <c r="CJ65" i="29"/>
  <c r="AR50" i="29"/>
  <c r="CW52" i="29"/>
  <c r="DI28" i="29"/>
  <c r="DF57" i="29"/>
  <c r="DA52" i="29"/>
  <c r="AT30" i="29"/>
  <c r="AQ63" i="29"/>
  <c r="W60" i="29"/>
  <c r="DE65" i="29"/>
  <c r="AA37" i="39"/>
  <c r="DC59" i="29"/>
  <c r="DF50" i="29"/>
  <c r="AR33" i="29"/>
  <c r="AG41" i="29"/>
  <c r="DE50" i="29"/>
  <c r="AX58" i="29"/>
  <c r="AE20" i="47"/>
  <c r="CJ35" i="29"/>
  <c r="CI63" i="29"/>
  <c r="DD40" i="29"/>
  <c r="AA51" i="29"/>
  <c r="CU33" i="29"/>
  <c r="CO33" i="29"/>
  <c r="CH56" i="29"/>
  <c r="AT26" i="29"/>
  <c r="DB29" i="29"/>
  <c r="AD46" i="14"/>
  <c r="CX26" i="29"/>
  <c r="DJ37" i="29"/>
  <c r="DH33" i="29"/>
  <c r="AU33" i="29"/>
  <c r="CW37" i="29"/>
  <c r="CL41" i="29"/>
  <c r="Y35" i="29"/>
  <c r="Y26" i="29"/>
  <c r="DH59" i="29"/>
  <c r="CN40" i="29"/>
  <c r="AP33" i="29"/>
  <c r="W51" i="29"/>
  <c r="AI37" i="29"/>
  <c r="DG39" i="29"/>
  <c r="CX40" i="29"/>
  <c r="AS33" i="29"/>
  <c r="CX53" i="29"/>
  <c r="AC61" i="29"/>
  <c r="AS59" i="29"/>
  <c r="AM54" i="29"/>
  <c r="CN26" i="29"/>
  <c r="DA33" i="29"/>
  <c r="CN41" i="29"/>
  <c r="AU56" i="29"/>
  <c r="AD37" i="29"/>
  <c r="AK37" i="29"/>
  <c r="CN32" i="29"/>
  <c r="AH38" i="29"/>
  <c r="V34" i="29"/>
  <c r="AC26" i="29"/>
  <c r="X30" i="29"/>
  <c r="AX27" i="29"/>
  <c r="AH26" i="29"/>
  <c r="AN62" i="29"/>
  <c r="CM60" i="29"/>
  <c r="AN29" i="29"/>
  <c r="W50" i="29"/>
  <c r="CR59" i="29"/>
  <c r="CO57" i="29"/>
  <c r="DD53" i="29"/>
  <c r="CI40" i="29"/>
  <c r="AF29" i="29"/>
  <c r="AB39" i="29"/>
  <c r="CK59" i="29"/>
  <c r="AX65" i="29"/>
  <c r="DC65" i="29"/>
  <c r="AJ64" i="29"/>
  <c r="AV62" i="29"/>
  <c r="CV57" i="29"/>
  <c r="DH30" i="29"/>
  <c r="V47" i="14"/>
  <c r="AS37" i="29"/>
  <c r="AL26" i="29"/>
  <c r="AU53" i="29"/>
  <c r="AL53" i="29"/>
  <c r="CV65" i="29"/>
  <c r="AU37" i="29"/>
  <c r="AQ64" i="29"/>
  <c r="AA47" i="39"/>
  <c r="Y57" i="29"/>
  <c r="AS50" i="29"/>
  <c r="AX38" i="29"/>
  <c r="AA56" i="29"/>
  <c r="CW63" i="29"/>
  <c r="AQ29" i="29"/>
  <c r="CQ57" i="29"/>
  <c r="DH62" i="29"/>
  <c r="AV33" i="29"/>
  <c r="DC53" i="29"/>
  <c r="CV64" i="29"/>
  <c r="AK61" i="29"/>
  <c r="DJ28" i="29"/>
  <c r="AE59" i="29"/>
  <c r="AM40" i="29"/>
  <c r="AB35" i="29"/>
  <c r="CH63" i="29"/>
  <c r="CI35" i="29"/>
  <c r="CL32" i="29"/>
  <c r="V39" i="29"/>
  <c r="CM54" i="29"/>
  <c r="CW56" i="29"/>
  <c r="CW29" i="29"/>
  <c r="DJ61" i="29"/>
  <c r="AV56" i="29"/>
  <c r="AV27" i="29"/>
  <c r="CJ34" i="29"/>
  <c r="CR38" i="29"/>
  <c r="AT53" i="29"/>
  <c r="X60" i="29"/>
  <c r="CI33" i="29"/>
  <c r="DB34" i="29"/>
  <c r="AI41" i="29"/>
  <c r="V63" i="29"/>
  <c r="DD50" i="29"/>
  <c r="Y58" i="29"/>
  <c r="CX63" i="29"/>
  <c r="V32" i="29"/>
  <c r="CH65" i="29"/>
  <c r="CT50" i="29"/>
  <c r="W26" i="29"/>
  <c r="CW34" i="29"/>
  <c r="X54" i="29"/>
  <c r="DH65" i="29"/>
  <c r="CP41" i="29"/>
  <c r="AS65" i="29"/>
  <c r="W57" i="29"/>
  <c r="N55" i="39"/>
  <c r="AG37" i="29"/>
  <c r="DA27" i="29"/>
  <c r="CU51" i="29"/>
  <c r="AC38" i="29"/>
  <c r="AQ53" i="29"/>
  <c r="CX52" i="29"/>
  <c r="DG50" i="29"/>
  <c r="AS30" i="29"/>
  <c r="AE57" i="29"/>
  <c r="CX28" i="29"/>
  <c r="AX26" i="29"/>
  <c r="AT60" i="29"/>
  <c r="AJ38" i="29"/>
  <c r="CV29" i="29"/>
  <c r="CO28" i="29"/>
  <c r="AV54" i="29"/>
  <c r="CS54" i="29"/>
  <c r="CN29" i="29"/>
  <c r="CT59" i="29"/>
  <c r="V62" i="29"/>
  <c r="Y53" i="29"/>
  <c r="DH56" i="29"/>
  <c r="Z30" i="29"/>
  <c r="DH29" i="29"/>
  <c r="CX37" i="29"/>
  <c r="AA62" i="29"/>
  <c r="AX37" i="29"/>
  <c r="CT60" i="29"/>
  <c r="CK30" i="29"/>
  <c r="CI30" i="29"/>
  <c r="CZ54" i="29"/>
  <c r="CR28" i="29"/>
  <c r="AQ54" i="29"/>
  <c r="AC35" i="29"/>
  <c r="CP35" i="29"/>
  <c r="AS54" i="29"/>
  <c r="AW30" i="29"/>
  <c r="DA54" i="29"/>
  <c r="DE30" i="29"/>
  <c r="W46" i="14"/>
  <c r="X62" i="29"/>
  <c r="W39" i="29"/>
  <c r="AC39" i="29"/>
  <c r="X35" i="29"/>
  <c r="AL28" i="29"/>
  <c r="DJ52" i="29"/>
  <c r="DD65" i="29"/>
  <c r="AW32" i="29"/>
  <c r="AG39" i="29"/>
  <c r="AD47" i="14"/>
  <c r="CQ39" i="29"/>
  <c r="AW63" i="29"/>
  <c r="V36" i="29"/>
  <c r="CW50" i="29"/>
  <c r="AO27" i="29"/>
  <c r="DI60" i="29"/>
  <c r="CV37" i="29"/>
  <c r="DB30" i="29"/>
  <c r="AA62" i="39"/>
  <c r="DG26" i="29"/>
  <c r="AC27" i="29"/>
  <c r="DD26" i="29"/>
  <c r="CS64" i="29"/>
  <c r="DH27" i="29"/>
  <c r="CH33" i="29"/>
  <c r="AD38" i="29"/>
  <c r="AV32" i="29"/>
  <c r="AC51" i="29"/>
  <c r="CS36" i="29"/>
  <c r="X56" i="29"/>
  <c r="AA54" i="29"/>
  <c r="X53" i="29"/>
  <c r="V37" i="29"/>
  <c r="AC50" i="29"/>
  <c r="CX32" i="29"/>
  <c r="AR38" i="29"/>
  <c r="AH59" i="29"/>
  <c r="AQ51" i="29"/>
  <c r="CK33" i="29"/>
  <c r="AS53" i="29"/>
  <c r="Y34" i="29"/>
  <c r="CR65" i="29"/>
  <c r="CW65" i="29"/>
  <c r="AB64" i="29"/>
  <c r="AK40" i="29"/>
  <c r="V35" i="29"/>
  <c r="AW58" i="29"/>
  <c r="DG41" i="29"/>
  <c r="AE30" i="29"/>
  <c r="DG63" i="29"/>
  <c r="DE53" i="29"/>
  <c r="AH64" i="29"/>
  <c r="AB59" i="29"/>
  <c r="DD32" i="29"/>
  <c r="AC57" i="29"/>
  <c r="CX35" i="29"/>
  <c r="AW54" i="29"/>
  <c r="CN50" i="29"/>
  <c r="AV55" i="29"/>
  <c r="AC40" i="29"/>
  <c r="CR33" i="29"/>
  <c r="DD27" i="29"/>
  <c r="CS50" i="29"/>
  <c r="DD37" i="29"/>
  <c r="CR40" i="29"/>
  <c r="X65" i="29"/>
  <c r="AU36" i="29"/>
  <c r="DC51" i="29"/>
  <c r="AE64" i="29"/>
  <c r="CI29" i="29"/>
  <c r="DH39" i="29"/>
  <c r="CR51" i="29"/>
  <c r="AG38" i="29"/>
  <c r="AX56" i="29"/>
  <c r="U24" i="39"/>
  <c r="CQ38" i="29"/>
  <c r="DE32" i="29"/>
  <c r="AO50" i="29"/>
  <c r="DJ39" i="29"/>
  <c r="AG26" i="29"/>
  <c r="CQ63" i="29"/>
  <c r="CT41" i="29"/>
  <c r="V59" i="29"/>
  <c r="DI64" i="29"/>
  <c r="DI29" i="29"/>
  <c r="AW51" i="29"/>
  <c r="DJ38" i="29"/>
  <c r="DG57" i="29"/>
  <c r="AK34" i="29"/>
  <c r="AI53" i="29"/>
  <c r="Y29" i="29"/>
  <c r="AR54" i="29"/>
  <c r="X50" i="29"/>
  <c r="CQ50" i="29"/>
  <c r="DI38" i="29"/>
  <c r="AF33" i="29"/>
  <c r="Y224" i="27"/>
  <c r="CK40" i="29"/>
  <c r="CR52" i="29"/>
  <c r="DI52" i="29"/>
  <c r="Z40" i="29"/>
  <c r="AB65" i="29"/>
  <c r="AB40" i="29"/>
  <c r="AK33" i="29"/>
  <c r="CT53" i="29"/>
  <c r="Z26" i="29"/>
  <c r="DI65" i="29"/>
  <c r="DG65" i="29"/>
  <c r="N37" i="39"/>
  <c r="CL26" i="29"/>
  <c r="AF39" i="29"/>
  <c r="DH31" i="29"/>
  <c r="CQ41" i="29"/>
  <c r="CO52" i="29"/>
  <c r="AQ35" i="29"/>
  <c r="AV63" i="29"/>
  <c r="AE62" i="29"/>
  <c r="AQ37" i="29"/>
  <c r="W35" i="29"/>
  <c r="AT62" i="29"/>
  <c r="AC52" i="29"/>
  <c r="AL54" i="29"/>
  <c r="AK30" i="29"/>
  <c r="CH35" i="29"/>
  <c r="AJ37" i="29"/>
  <c r="X32" i="29"/>
  <c r="CS38" i="29"/>
  <c r="AQ65" i="29"/>
  <c r="AX30" i="29"/>
  <c r="AH32" i="29"/>
  <c r="CX33" i="29"/>
  <c r="AW34" i="29"/>
  <c r="CV35" i="29"/>
  <c r="DA65" i="29"/>
  <c r="AI56" i="29"/>
  <c r="DC30" i="29"/>
  <c r="V57" i="29"/>
  <c r="DF53" i="29"/>
  <c r="CW64" i="29"/>
  <c r="CN30" i="29"/>
  <c r="DG40" i="29"/>
  <c r="AP32" i="29"/>
  <c r="AI50" i="29"/>
  <c r="DC27" i="29"/>
  <c r="DA64" i="29"/>
  <c r="AK41" i="29"/>
  <c r="AI65" i="29"/>
  <c r="DC57" i="29"/>
  <c r="W36" i="29"/>
  <c r="CV59" i="29"/>
  <c r="CJ57" i="29"/>
  <c r="AD41" i="29"/>
  <c r="DJ51" i="29"/>
  <c r="DG59" i="29"/>
  <c r="DJ27" i="29"/>
  <c r="CH37" i="29"/>
  <c r="G47" i="14"/>
  <c r="CW53" i="29"/>
  <c r="CR32" i="29"/>
  <c r="Y61" i="29"/>
  <c r="CL39" i="29"/>
  <c r="DA56" i="29"/>
  <c r="DE59" i="29"/>
  <c r="AI26" i="29"/>
  <c r="AA59" i="29"/>
  <c r="DB28" i="29"/>
  <c r="CR27" i="29"/>
  <c r="AK54" i="29"/>
  <c r="AL41" i="29"/>
  <c r="AE33" i="29"/>
  <c r="CX27" i="29"/>
  <c r="CM56" i="29"/>
  <c r="DJ50" i="29"/>
  <c r="AJ32" i="29"/>
  <c r="DF62" i="29"/>
  <c r="AU60" i="29"/>
  <c r="AX39" i="29"/>
  <c r="AS35" i="29"/>
  <c r="CN36" i="29"/>
  <c r="CR56" i="29"/>
  <c r="AF26" i="29"/>
  <c r="W29" i="29"/>
  <c r="X59" i="29"/>
  <c r="CQ40" i="29"/>
  <c r="V64" i="29"/>
  <c r="DH40" i="29"/>
  <c r="CL59" i="29"/>
  <c r="CT29" i="29"/>
  <c r="W56" i="29"/>
  <c r="W63" i="29"/>
  <c r="AW37" i="29"/>
  <c r="CK57" i="29"/>
  <c r="CI65" i="29"/>
  <c r="AI52" i="29"/>
  <c r="Z32" i="29"/>
  <c r="AX29" i="29"/>
  <c r="CL56" i="29"/>
  <c r="AN33" i="29"/>
  <c r="AW62" i="29"/>
  <c r="V61" i="29"/>
  <c r="AT35" i="29"/>
  <c r="AK64" i="29"/>
  <c r="DD41" i="29"/>
  <c r="CV32" i="29"/>
  <c r="AA64" i="29"/>
  <c r="CO65" i="29"/>
  <c r="CJ58" i="29"/>
  <c r="V27" i="29"/>
  <c r="AG60" i="29"/>
  <c r="AB30" i="29"/>
  <c r="CU53" i="29"/>
  <c r="DA32" i="29"/>
  <c r="DA53" i="29"/>
  <c r="DE54" i="29"/>
  <c r="CR35" i="29"/>
  <c r="CO63" i="29"/>
  <c r="V40" i="29"/>
  <c r="AG62" i="29"/>
  <c r="CT32" i="29"/>
  <c r="X26" i="29"/>
  <c r="AG54" i="29"/>
  <c r="DA58" i="29"/>
  <c r="CP29" i="29"/>
  <c r="AB62" i="29"/>
  <c r="DG62" i="29"/>
  <c r="CY53" i="29"/>
  <c r="AT40" i="29"/>
  <c r="AC54" i="29"/>
  <c r="CO36" i="29"/>
  <c r="DC32" i="29"/>
  <c r="AK57" i="29"/>
  <c r="AX32" i="29"/>
  <c r="Z61" i="29"/>
  <c r="CJ41" i="29"/>
  <c r="AD33" i="29"/>
  <c r="CJ59" i="29"/>
  <c r="AD51" i="29"/>
  <c r="CY30" i="29"/>
  <c r="AI39" i="29"/>
  <c r="CK36" i="29"/>
  <c r="AC62" i="29"/>
  <c r="DJ65" i="29"/>
  <c r="AT54" i="29"/>
  <c r="AI64" i="29"/>
  <c r="DI35" i="29"/>
  <c r="Z38" i="29"/>
  <c r="CT64" i="29"/>
  <c r="AI32" i="29"/>
  <c r="Y21" i="47"/>
  <c r="AW27" i="29"/>
  <c r="AL30" i="29"/>
  <c r="AQ32" i="29"/>
  <c r="AG40" i="29"/>
  <c r="DF38" i="29"/>
  <c r="CV63" i="29"/>
  <c r="CI37" i="29"/>
  <c r="AM57" i="29"/>
  <c r="AS36" i="29"/>
  <c r="AI51" i="29"/>
  <c r="DJ58" i="29"/>
  <c r="Z36" i="29"/>
  <c r="U20" i="47"/>
  <c r="DE27" i="29"/>
  <c r="DJ33" i="29"/>
  <c r="W61" i="29"/>
  <c r="AX62" i="29"/>
  <c r="DF30" i="29"/>
  <c r="AI27" i="29"/>
  <c r="DE38" i="29"/>
  <c r="CS30" i="29"/>
  <c r="AF64" i="29"/>
  <c r="X40" i="29"/>
  <c r="Y41" i="29"/>
  <c r="W224" i="27"/>
  <c r="AU38" i="29"/>
  <c r="AQ30" i="29"/>
  <c r="CS65" i="29"/>
  <c r="AJ53" i="29"/>
  <c r="DA51" i="29"/>
  <c r="DG36" i="29"/>
  <c r="AA25" i="39"/>
  <c r="AW36" i="29"/>
  <c r="CH36" i="29"/>
  <c r="DH64" i="29"/>
  <c r="AH33" i="29"/>
  <c r="AA26" i="29"/>
  <c r="AR40" i="29"/>
  <c r="CJ39" i="29"/>
  <c r="AB29" i="29"/>
  <c r="AR57" i="29"/>
  <c r="AW61" i="29"/>
  <c r="AW52" i="29"/>
  <c r="AI62" i="29"/>
  <c r="AH35" i="29"/>
  <c r="AF28" i="29"/>
  <c r="DH38" i="29"/>
  <c r="W38" i="29"/>
  <c r="Y63" i="29"/>
  <c r="CT30" i="29"/>
  <c r="AL61" i="29"/>
  <c r="CS37" i="29"/>
  <c r="AP30" i="29"/>
  <c r="AU59" i="29"/>
  <c r="CK39" i="29"/>
  <c r="AT59" i="29"/>
  <c r="AN53" i="29"/>
  <c r="AP31" i="29"/>
  <c r="AF59" i="29"/>
  <c r="Z63" i="29"/>
  <c r="CX41" i="29"/>
  <c r="W33" i="29"/>
  <c r="AC60" i="29"/>
  <c r="AQ39" i="29"/>
  <c r="AR32" i="29"/>
  <c r="AS64" i="29"/>
  <c r="DA37" i="29"/>
  <c r="CO30" i="29"/>
  <c r="CV39" i="29"/>
  <c r="AW39" i="29"/>
  <c r="V41" i="29"/>
  <c r="CQ60" i="29"/>
  <c r="AO28" i="29"/>
  <c r="AL50" i="29"/>
  <c r="CI54" i="29"/>
  <c r="AE36" i="29"/>
  <c r="V71" i="45"/>
  <c r="W41" i="29"/>
  <c r="AB53" i="29"/>
  <c r="AC59" i="29"/>
  <c r="AT64" i="29"/>
  <c r="Z56" i="29"/>
  <c r="F46" i="14"/>
  <c r="AB60" i="29"/>
  <c r="AI33" i="29"/>
  <c r="AD54" i="29"/>
  <c r="AJ50" i="29"/>
  <c r="AX28" i="29"/>
  <c r="CY54" i="29"/>
  <c r="CX38" i="29"/>
  <c r="AP29" i="29"/>
  <c r="X29" i="29"/>
  <c r="AE41" i="29"/>
  <c r="AL33" i="29"/>
  <c r="DB35" i="29"/>
  <c r="CV26" i="29"/>
  <c r="DA41" i="29"/>
  <c r="CK29" i="29"/>
  <c r="AQ50" i="29"/>
  <c r="AC63" i="29"/>
  <c r="AW33" i="29"/>
  <c r="AR53" i="29"/>
  <c r="CS59" i="29"/>
  <c r="CI53" i="29"/>
  <c r="AA63" i="29"/>
  <c r="AR30" i="29"/>
  <c r="AH65" i="29"/>
  <c r="Y40" i="29"/>
  <c r="CN38" i="29"/>
  <c r="H150" i="27"/>
  <c r="AT39" i="29"/>
  <c r="DC56" i="29"/>
  <c r="CU38" i="29"/>
  <c r="U37" i="39"/>
  <c r="CL60" i="29"/>
  <c r="Y54" i="29"/>
  <c r="CO50" i="29"/>
  <c r="DB31" i="29"/>
  <c r="CP30" i="29"/>
  <c r="AX54" i="29"/>
  <c r="CJ33" i="29"/>
  <c r="CN63" i="29"/>
  <c r="CQ54" i="29"/>
  <c r="X47" i="14"/>
  <c r="CY64" i="29"/>
  <c r="DJ32" i="29"/>
  <c r="AB56" i="29"/>
  <c r="CO38" i="29"/>
  <c r="DE37" i="29"/>
  <c r="AB26" i="29"/>
  <c r="DC41" i="29"/>
  <c r="CT63" i="29"/>
  <c r="AE60" i="29"/>
  <c r="X33" i="29"/>
  <c r="DA62" i="29"/>
  <c r="DC63" i="29"/>
  <c r="CI41" i="29"/>
  <c r="CX61" i="29"/>
  <c r="DG30" i="29"/>
  <c r="CL28" i="29"/>
  <c r="DD57" i="29"/>
  <c r="DF39" i="29"/>
  <c r="CU59" i="29"/>
  <c r="CX56" i="29"/>
  <c r="AP36" i="29"/>
  <c r="AU32" i="29"/>
  <c r="CH30" i="29"/>
  <c r="CN59" i="29"/>
  <c r="CY62" i="29"/>
  <c r="CT35" i="29"/>
  <c r="AA48" i="39"/>
  <c r="Z59" i="29"/>
  <c r="V54" i="29"/>
  <c r="DA40" i="29"/>
  <c r="AL35" i="29"/>
  <c r="AO57" i="29"/>
  <c r="Z28" i="29"/>
  <c r="CQ28" i="29"/>
  <c r="DF33" i="29"/>
  <c r="DD35" i="29"/>
  <c r="AB63" i="29"/>
  <c r="DD33" i="29"/>
  <c r="AJ59" i="29"/>
  <c r="Y30" i="29"/>
  <c r="T37" i="39"/>
  <c r="AX35" i="29"/>
  <c r="AJ29" i="29"/>
  <c r="AX41" i="29"/>
  <c r="CJ36" i="29"/>
  <c r="AB50" i="29"/>
  <c r="CJ63" i="29"/>
  <c r="AS32" i="29"/>
  <c r="AB32" i="29"/>
  <c r="AQ62" i="29"/>
  <c r="AL39" i="29"/>
  <c r="AV30" i="29"/>
  <c r="AS56" i="29"/>
  <c r="CN65" i="29"/>
  <c r="AX64" i="29"/>
  <c r="V224" i="27"/>
  <c r="AV26" i="29"/>
  <c r="DJ56" i="29"/>
  <c r="CW33" i="29"/>
  <c r="DH52" i="29"/>
  <c r="AB38" i="29"/>
  <c r="DH55" i="29"/>
  <c r="CX54" i="29"/>
  <c r="DG35" i="29"/>
  <c r="AG36" i="29"/>
  <c r="CK54" i="29"/>
  <c r="CK37" i="29"/>
  <c r="AM33" i="29"/>
  <c r="CQ29" i="29"/>
  <c r="CI27" i="29"/>
  <c r="AI61" i="29"/>
  <c r="Z57" i="29"/>
  <c r="W40" i="29"/>
  <c r="CM64" i="29"/>
  <c r="AL37" i="29"/>
  <c r="AE50" i="29"/>
  <c r="CT38" i="29"/>
  <c r="CJ32" i="29"/>
  <c r="AG64" i="29"/>
  <c r="AX33" i="29"/>
  <c r="CJ56" i="29"/>
  <c r="DA38" i="29"/>
  <c r="Z50" i="29"/>
  <c r="W27" i="29"/>
  <c r="AN54" i="29"/>
  <c r="DF37" i="29"/>
  <c r="CN64" i="29"/>
  <c r="AI29" i="29"/>
  <c r="X21" i="47"/>
  <c r="AJ26" i="29"/>
  <c r="CT39" i="29"/>
  <c r="DJ53" i="29"/>
  <c r="AG65" i="29"/>
  <c r="CL37" i="29"/>
  <c r="CL64" i="29"/>
  <c r="CZ62" i="29"/>
  <c r="CJ60" i="29"/>
  <c r="Z53" i="29"/>
  <c r="CL30" i="29"/>
  <c r="CT54" i="29"/>
  <c r="N14" i="39"/>
  <c r="AO51" i="29"/>
  <c r="AA50" i="29"/>
  <c r="CW41" i="29"/>
  <c r="CY29" i="29"/>
  <c r="AH54" i="29"/>
  <c r="X37" i="29"/>
  <c r="CP39" i="29"/>
  <c r="CJ38" i="29"/>
  <c r="AF62" i="29"/>
  <c r="X63" i="29"/>
  <c r="CO39" i="29"/>
  <c r="AO41" i="29"/>
  <c r="AM64" i="29"/>
  <c r="V36" i="39"/>
  <c r="CO59" i="29"/>
  <c r="AU26" i="29"/>
  <c r="AH50" i="29"/>
  <c r="AU63" i="29"/>
  <c r="AU65" i="29"/>
  <c r="AK58" i="29"/>
  <c r="X20" i="47"/>
  <c r="CH29" i="29"/>
  <c r="AO53" i="29"/>
  <c r="AK62" i="29"/>
  <c r="CW54" i="29"/>
  <c r="CO40" i="29"/>
  <c r="Y65" i="29"/>
  <c r="AF41" i="29"/>
  <c r="DA34" i="29"/>
  <c r="AR65" i="29"/>
  <c r="AA55" i="39"/>
  <c r="CT26" i="29"/>
  <c r="W47" i="14"/>
  <c r="DJ30" i="29"/>
  <c r="W32" i="29"/>
  <c r="AD39" i="29"/>
  <c r="DH50" i="29"/>
  <c r="CS60" i="29"/>
  <c r="DJ62" i="29"/>
  <c r="AX59" i="29"/>
  <c r="AS51" i="29"/>
  <c r="CN35" i="29"/>
  <c r="CN54" i="29"/>
  <c r="D47" i="14"/>
  <c r="CP38" i="29"/>
  <c r="AC41" i="29"/>
  <c r="W52" i="29"/>
  <c r="AF53" i="29"/>
  <c r="CO26" i="29"/>
  <c r="V46" i="14"/>
  <c r="AR52" i="29"/>
  <c r="DJ40" i="29"/>
  <c r="CI52" i="29"/>
  <c r="N46" i="14"/>
  <c r="AV50" i="29"/>
  <c r="DJ34" i="29"/>
  <c r="CN37" i="29"/>
  <c r="CO53" i="29"/>
  <c r="CM50" i="29"/>
  <c r="CS39" i="29"/>
  <c r="Z60" i="29"/>
  <c r="AS63" i="29"/>
  <c r="CL57" i="29"/>
  <c r="H47" i="14"/>
  <c r="AK26" i="29"/>
  <c r="AI28" i="29"/>
  <c r="U8" i="32"/>
  <c r="DC29" i="29"/>
  <c r="DF36" i="29"/>
  <c r="DF29" i="29"/>
  <c r="AO64" i="29"/>
  <c r="AV41" i="29"/>
  <c r="AP26" i="29"/>
  <c r="AG63" i="29"/>
  <c r="AC29" i="29"/>
  <c r="CT57" i="29"/>
  <c r="AE39" i="29"/>
  <c r="DA30" i="29"/>
  <c r="Y59" i="29"/>
  <c r="CO51" i="29"/>
  <c r="AI57" i="29"/>
  <c r="AJ40" i="29"/>
  <c r="DE63" i="29"/>
  <c r="CQ35" i="29"/>
  <c r="CH38" i="29"/>
  <c r="CW28" i="29"/>
  <c r="DI57" i="29"/>
  <c r="CV38" i="29"/>
  <c r="CN53" i="29"/>
  <c r="DB36" i="29"/>
  <c r="Z65" i="29"/>
  <c r="DD51" i="29"/>
  <c r="V29" i="29"/>
  <c r="AW35" i="29"/>
  <c r="V37" i="39"/>
  <c r="CR64" i="29"/>
  <c r="CY57" i="29"/>
  <c r="AU62" i="29"/>
  <c r="AE28" i="29"/>
  <c r="W233" i="27"/>
  <c r="N61" i="39"/>
  <c r="CH60" i="29"/>
  <c r="DC37" i="29"/>
  <c r="AT57" i="29"/>
  <c r="DI32" i="29"/>
  <c r="DC39" i="29"/>
  <c r="AD28" i="29"/>
  <c r="U36" i="39"/>
  <c r="AR64" i="29"/>
  <c r="AS60" i="29"/>
  <c r="AR37" i="29"/>
  <c r="AD40" i="29"/>
  <c r="AX53" i="29"/>
  <c r="AM29" i="29"/>
  <c r="AV65" i="29"/>
  <c r="CK64" i="29"/>
  <c r="DH28" i="29"/>
  <c r="DJ54" i="29"/>
  <c r="T47" i="14"/>
  <c r="CH59" i="29"/>
  <c r="DC26" i="29"/>
  <c r="CR41" i="29"/>
  <c r="CS29" i="29"/>
  <c r="AQ59" i="29"/>
  <c r="AL52" i="29"/>
  <c r="AX52" i="29"/>
  <c r="CQ36" i="29"/>
  <c r="CP37" i="29"/>
  <c r="CR63" i="29"/>
  <c r="X34" i="29"/>
  <c r="CX29" i="29"/>
  <c r="DC40" i="29"/>
  <c r="DH41" i="29"/>
  <c r="CJ29" i="29"/>
  <c r="CP27" i="29"/>
  <c r="AQ40" i="29"/>
  <c r="AV64" i="29"/>
  <c r="Z37" i="29"/>
  <c r="AU50" i="29"/>
  <c r="DI27" i="29"/>
  <c r="AB54" i="29"/>
  <c r="AT63" i="29"/>
  <c r="AQ57" i="29"/>
  <c r="DG32" i="29"/>
  <c r="CX50" i="29"/>
  <c r="AB61" i="29"/>
  <c r="AK28" i="29"/>
  <c r="AU30" i="29"/>
  <c r="AJ41" i="29"/>
  <c r="CQ52" i="29"/>
  <c r="AA58" i="29"/>
  <c r="AG59" i="29"/>
  <c r="CI56" i="29"/>
  <c r="CT56" i="29"/>
  <c r="D46" i="14"/>
  <c r="AP41" i="29"/>
  <c r="CO60" i="29"/>
  <c r="CH51" i="29"/>
  <c r="AV38" i="29"/>
  <c r="CM53" i="29"/>
  <c r="DH57" i="29"/>
  <c r="DA28" i="29"/>
  <c r="AE29" i="29"/>
  <c r="CH27" i="29"/>
  <c r="AR29" i="29"/>
  <c r="Z62" i="29"/>
  <c r="CR37" i="29"/>
  <c r="CQ30" i="29"/>
  <c r="DB27" i="29"/>
  <c r="CS53" i="29"/>
  <c r="DE56" i="29"/>
  <c r="Y60" i="29"/>
  <c r="Z54" i="29"/>
  <c r="AF65" i="29"/>
  <c r="AA53" i="29"/>
  <c r="CV41" i="29"/>
  <c r="DE33" i="29"/>
  <c r="CT40" i="29"/>
  <c r="AC37" i="29"/>
  <c r="CN39" i="29"/>
  <c r="CJ54" i="29"/>
  <c r="V8" i="32"/>
  <c r="CW30" i="29"/>
  <c r="CU57" i="29"/>
  <c r="CI60" i="29"/>
  <c r="CX57" i="29"/>
  <c r="AO37" i="29"/>
  <c r="AV53" i="29"/>
  <c r="AH53" i="29"/>
  <c r="DF63" i="29"/>
  <c r="AS40" i="29"/>
  <c r="DG54" i="29"/>
  <c r="F71" i="45"/>
  <c r="CI59" i="29"/>
  <c r="CS63" i="29"/>
  <c r="W20" i="47"/>
  <c r="V38" i="29"/>
  <c r="CK60" i="29"/>
  <c r="AV40" i="29"/>
  <c r="AV51" i="29"/>
  <c r="AI38" i="29"/>
  <c r="CK53" i="29"/>
  <c r="AO30" i="29"/>
  <c r="DH32" i="29"/>
  <c r="AC30" i="29"/>
  <c r="AI40" i="29"/>
  <c r="CJ37" i="29"/>
  <c r="CJ64" i="29"/>
  <c r="V53" i="29"/>
  <c r="X46" i="14"/>
  <c r="AI63" i="29"/>
  <c r="CU39" i="29"/>
  <c r="DE64" i="29"/>
  <c r="DE40" i="29"/>
  <c r="DA29" i="29"/>
  <c r="AK53" i="29"/>
  <c r="Z29" i="29"/>
  <c r="CS41" i="29"/>
  <c r="CR50" i="29"/>
  <c r="CM65" i="29"/>
  <c r="CI26" i="29"/>
  <c r="DB38" i="29"/>
  <c r="CL35" i="29"/>
  <c r="AO38" i="29"/>
  <c r="CK38" i="29"/>
  <c r="AG50" i="29"/>
  <c r="AW28" i="29"/>
  <c r="DB40" i="29"/>
  <c r="X36" i="29"/>
  <c r="N232" i="27"/>
  <c r="DE35" i="29"/>
  <c r="CM63" i="29"/>
  <c r="CV40" i="29"/>
  <c r="AQ26" i="29"/>
  <c r="V65" i="29"/>
  <c r="AL38" i="29"/>
  <c r="AL51" i="29"/>
  <c r="AA57" i="29"/>
  <c r="AK56" i="29"/>
  <c r="AH37" i="29"/>
  <c r="DE62" i="29"/>
  <c r="AB33" i="29"/>
  <c r="CV50" i="29"/>
  <c r="DI56" i="29"/>
  <c r="AX51" i="29"/>
  <c r="CU65" i="29"/>
  <c r="AX57" i="29"/>
  <c r="CQ64" i="29"/>
  <c r="N231" i="27"/>
  <c r="AG61" i="29"/>
  <c r="DA57" i="29"/>
  <c r="DI53" i="29"/>
  <c r="AC33" i="29"/>
  <c r="CV53" i="29"/>
  <c r="AG30" i="29"/>
  <c r="AP28" i="29"/>
  <c r="G46" i="14"/>
  <c r="CH58" i="29"/>
  <c r="DD30" i="29"/>
  <c r="E71" i="45"/>
  <c r="AH39" i="29"/>
  <c r="AE65" i="29"/>
  <c r="CT33" i="29"/>
  <c r="DD64" i="29"/>
  <c r="CX62" i="29"/>
  <c r="CI32" i="29"/>
  <c r="CU37" i="29"/>
  <c r="AE63" i="29"/>
  <c r="Y39" i="29"/>
  <c r="DF26" i="29"/>
  <c r="AW56" i="29"/>
  <c r="DD38" i="29"/>
  <c r="AB41" i="29"/>
  <c r="DE51" i="29"/>
  <c r="CH39" i="29"/>
  <c r="AK32" i="29"/>
  <c r="CK56" i="29"/>
  <c r="CR39" i="29"/>
  <c r="Y50" i="29"/>
  <c r="AD52" i="29"/>
  <c r="W59" i="29"/>
  <c r="CS26" i="29"/>
  <c r="AQ41" i="29"/>
  <c r="DJ41" i="29"/>
  <c r="DD62" i="29"/>
  <c r="DI54" i="29"/>
  <c r="AT50" i="29"/>
  <c r="CK63" i="29"/>
  <c r="CI38" i="29"/>
  <c r="AJ39" i="29"/>
  <c r="AD29" i="29"/>
  <c r="CU35" i="29"/>
  <c r="CH54" i="29"/>
  <c r="AW65" i="29"/>
  <c r="CL52" i="29"/>
  <c r="CP28" i="29"/>
  <c r="V233" i="27"/>
  <c r="CI36" i="29"/>
  <c r="CO37" i="29"/>
  <c r="DB26" i="29"/>
  <c r="AW57" i="29"/>
  <c r="CU40" i="29"/>
  <c r="AL64" i="29"/>
  <c r="AE52" i="29"/>
  <c r="CH64" i="29"/>
  <c r="AR59" i="29"/>
  <c r="X64" i="29"/>
  <c r="AJ61" i="29"/>
  <c r="CI64" i="29"/>
  <c r="DD52" i="29"/>
  <c r="AL62" i="29"/>
  <c r="CX64" i="29"/>
  <c r="AO54" i="29"/>
  <c r="AO62" i="29"/>
  <c r="AH63" i="29"/>
  <c r="DE60" i="29"/>
  <c r="AJ33" i="29"/>
  <c r="AM53" i="29"/>
  <c r="AF51" i="29"/>
  <c r="DD28" i="29"/>
  <c r="X38" i="29"/>
  <c r="CR57" i="29"/>
  <c r="DJ59" i="29"/>
  <c r="AC64" i="29"/>
  <c r="CJ50" i="29"/>
  <c r="AA52" i="29"/>
  <c r="DH54" i="29"/>
  <c r="H46" i="14"/>
  <c r="DI34" i="29"/>
  <c r="CH32" i="29"/>
  <c r="DD56" i="29"/>
  <c r="CI28" i="29"/>
  <c r="AX40" i="29"/>
  <c r="DI41" i="29"/>
  <c r="X41" i="29"/>
  <c r="CQ26" i="29"/>
  <c r="AK38" i="29"/>
  <c r="W37" i="29"/>
  <c r="CI39" i="29"/>
  <c r="AV59" i="29"/>
  <c r="CN56" i="29"/>
  <c r="DJ57" i="29"/>
  <c r="DG60" i="29"/>
  <c r="DC38" i="29"/>
  <c r="AF61" i="29"/>
  <c r="AL56" i="29"/>
  <c r="AF63" i="29"/>
  <c r="AU39" i="29"/>
  <c r="AB47" i="14"/>
  <c r="CK35" i="29"/>
  <c r="AR28" i="29"/>
  <c r="AT29" i="29"/>
  <c r="AH30" i="29"/>
  <c r="N62" i="39"/>
  <c r="DG53" i="29"/>
  <c r="CH50" i="29"/>
  <c r="V30" i="29"/>
  <c r="CZ38" i="29"/>
  <c r="DD29" i="29"/>
  <c r="N25" i="39"/>
  <c r="DE29" i="29"/>
  <c r="AW40" i="29"/>
  <c r="DC64" i="29"/>
  <c r="S37" i="39"/>
  <c r="CO56" i="29"/>
  <c r="AC53" i="29"/>
  <c r="CZ64" i="29"/>
  <c r="AD53" i="29"/>
  <c r="V24" i="39"/>
  <c r="Z33" i="29"/>
  <c r="CP33" i="29"/>
  <c r="V150" i="27"/>
  <c r="CX39" i="29"/>
  <c r="Z35" i="29"/>
  <c r="AE37" i="29"/>
  <c r="CQ33" i="29"/>
  <c r="AV57" i="29"/>
  <c r="CM58" i="29"/>
  <c r="AB57" i="29"/>
  <c r="W54" i="29"/>
  <c r="AJ57" i="29"/>
  <c r="DC62" i="29"/>
  <c r="AF32" i="29"/>
  <c r="DE26" i="29"/>
  <c r="AC32" i="29"/>
  <c r="AC36" i="29"/>
  <c r="CW57" i="29"/>
  <c r="DI63" i="29"/>
  <c r="T46" i="14"/>
  <c r="DJ26" i="29"/>
  <c r="V33" i="29"/>
  <c r="CV33" i="29"/>
  <c r="AL40" i="29"/>
  <c r="CW26" i="29"/>
  <c r="CR53" i="29"/>
  <c r="DI30" i="29"/>
  <c r="AJ65" i="29"/>
  <c r="AK63" i="29"/>
  <c r="AA60" i="29"/>
  <c r="AM30" i="29"/>
  <c r="AD36" i="29"/>
  <c r="AS29" i="29"/>
  <c r="AJ56" i="29"/>
  <c r="AL27" i="29"/>
  <c r="DG56" i="29"/>
  <c r="AB36" i="29"/>
  <c r="DG37" i="29"/>
  <c r="S36" i="39"/>
  <c r="Y36" i="29"/>
  <c r="W30" i="29"/>
  <c r="AS41" i="29"/>
  <c r="AP35" i="29"/>
  <c r="AL63" i="29"/>
  <c r="AW29" i="29"/>
  <c r="CW62" i="29"/>
  <c r="DJ64" i="29"/>
  <c r="AK50" i="29"/>
  <c r="Y62" i="29"/>
  <c r="AL65" i="29"/>
  <c r="U71" i="45"/>
  <c r="CL29" i="29"/>
  <c r="DI39" i="29"/>
  <c r="CL54" i="29"/>
  <c r="CQ65" i="29"/>
  <c r="AU35" i="29"/>
  <c r="AX34" i="29"/>
  <c r="DH53" i="29"/>
  <c r="AT37" i="29"/>
  <c r="W53" i="29"/>
  <c r="Y64" i="29"/>
  <c r="CH57" i="29"/>
  <c r="DF54" i="29"/>
  <c r="CJ26" i="29"/>
  <c r="AS27" i="29"/>
  <c r="AP27" i="29"/>
  <c r="CO29" i="29"/>
  <c r="DI40" i="29"/>
  <c r="T36" i="39"/>
  <c r="U72" i="45" l="1"/>
  <c r="W71" i="45"/>
  <c r="AC47" i="14"/>
  <c r="E72" i="45"/>
  <c r="G71" i="45"/>
  <c r="G72" i="45" s="1"/>
  <c r="I70" i="45" s="1"/>
  <c r="F72" i="45"/>
  <c r="W36" i="39"/>
  <c r="W8" i="32"/>
  <c r="O46" i="14"/>
  <c r="Z20" i="47"/>
  <c r="Z21" i="47"/>
  <c r="Z22" i="47" s="1"/>
  <c r="X224" i="27"/>
  <c r="W37" i="39"/>
  <c r="V72" i="45"/>
  <c r="AE47" i="14"/>
  <c r="AE46" i="14"/>
  <c r="AF20" i="47"/>
  <c r="AB37" i="39"/>
  <c r="O47" i="14"/>
  <c r="W72" i="45"/>
  <c r="AF21" i="45"/>
  <c r="AH21" i="45"/>
  <c r="AG21" i="45"/>
  <c r="AH17" i="45"/>
  <c r="AG17" i="45"/>
  <c r="AF17" i="45"/>
  <c r="AF10" i="45"/>
  <c r="AH10" i="45"/>
  <c r="AG10" i="45"/>
  <c r="AF14" i="45"/>
  <c r="AH14" i="45"/>
  <c r="AG14" i="45"/>
  <c r="AG23" i="45"/>
  <c r="AF23" i="45"/>
  <c r="AH23" i="45"/>
  <c r="AF18" i="45"/>
  <c r="AG18" i="45"/>
  <c r="AH18" i="45"/>
  <c r="AG11" i="45"/>
  <c r="AH11" i="45"/>
  <c r="AF11" i="45"/>
  <c r="AG19" i="45"/>
  <c r="AH19" i="45"/>
  <c r="AF19" i="45"/>
  <c r="AH24" i="45"/>
  <c r="AG24" i="45"/>
  <c r="AF24" i="45"/>
  <c r="AF9" i="45"/>
  <c r="AH9" i="45"/>
  <c r="AG9" i="45"/>
  <c r="AH13" i="45"/>
  <c r="AG13" i="45"/>
  <c r="AF13" i="45"/>
  <c r="AH20" i="45"/>
  <c r="AF20" i="45"/>
  <c r="AG20" i="45"/>
  <c r="AH8" i="45"/>
  <c r="AG8" i="45"/>
  <c r="AF8" i="45"/>
  <c r="AH12" i="45"/>
  <c r="AG12" i="45"/>
  <c r="AF12" i="45"/>
  <c r="V7" i="45"/>
  <c r="U7" i="45"/>
  <c r="T7" i="45"/>
  <c r="I69" i="45" l="1"/>
  <c r="I71" i="45"/>
  <c r="Y70" i="45"/>
  <c r="Y69" i="45"/>
  <c r="Y71" i="45"/>
  <c r="AG7" i="45"/>
  <c r="AH7" i="45"/>
  <c r="AF7" i="45"/>
  <c r="E24" i="45"/>
  <c r="F24" i="45"/>
  <c r="G24" i="45"/>
  <c r="G23" i="45"/>
  <c r="F23" i="45"/>
  <c r="E23" i="45"/>
  <c r="E22" i="45"/>
  <c r="F22" i="45"/>
  <c r="G22" i="45"/>
  <c r="G21" i="45"/>
  <c r="F21" i="45"/>
  <c r="G20" i="45"/>
  <c r="F20" i="45"/>
  <c r="E20" i="45"/>
  <c r="G19" i="45"/>
  <c r="F19" i="45"/>
  <c r="E19" i="45"/>
  <c r="G18" i="45"/>
  <c r="F18" i="45"/>
  <c r="E18" i="45"/>
  <c r="G17" i="45"/>
  <c r="F17" i="45"/>
  <c r="E17" i="45"/>
  <c r="E14" i="45"/>
  <c r="F14" i="45"/>
  <c r="G14" i="45"/>
  <c r="G13" i="45"/>
  <c r="F13" i="45"/>
  <c r="E13" i="45"/>
  <c r="E12" i="45"/>
  <c r="F12" i="45"/>
  <c r="G12" i="45"/>
  <c r="G11" i="45"/>
  <c r="F11" i="45"/>
  <c r="E11" i="45"/>
  <c r="E10" i="45"/>
  <c r="F10" i="45"/>
  <c r="G10" i="45"/>
  <c r="G9" i="45"/>
  <c r="F9" i="45"/>
  <c r="E9" i="45"/>
  <c r="E8" i="45"/>
  <c r="F8" i="45"/>
  <c r="G8" i="45"/>
  <c r="G7" i="45"/>
  <c r="F7" i="45"/>
  <c r="E7" i="45"/>
  <c r="I72" i="45" l="1"/>
  <c r="J70" i="45" s="1"/>
  <c r="Y72" i="45"/>
  <c r="Z72" i="45" s="1"/>
  <c r="R13" i="45"/>
  <c r="Q13" i="45"/>
  <c r="S13" i="45"/>
  <c r="Q19" i="45"/>
  <c r="S19" i="45"/>
  <c r="R19" i="45"/>
  <c r="R24" i="45"/>
  <c r="Q24" i="45"/>
  <c r="S24" i="45"/>
  <c r="S14" i="45"/>
  <c r="R14" i="45"/>
  <c r="Q14" i="45"/>
  <c r="S18" i="45"/>
  <c r="Q18" i="45"/>
  <c r="R18" i="45"/>
  <c r="Q9" i="45"/>
  <c r="S9" i="45"/>
  <c r="R9" i="45"/>
  <c r="S10" i="45"/>
  <c r="R10" i="45"/>
  <c r="Q10" i="45"/>
  <c r="Q7" i="45"/>
  <c r="S7" i="45"/>
  <c r="R7" i="45"/>
  <c r="S11" i="45"/>
  <c r="Q11" i="45"/>
  <c r="R11" i="45"/>
  <c r="S17" i="45"/>
  <c r="R17" i="45"/>
  <c r="Q17" i="45"/>
  <c r="R22" i="45"/>
  <c r="Q22" i="45"/>
  <c r="S22" i="45"/>
  <c r="S8" i="45"/>
  <c r="Q8" i="45"/>
  <c r="R8" i="45"/>
  <c r="Q12" i="45"/>
  <c r="S12" i="45"/>
  <c r="R12" i="45"/>
  <c r="R20" i="45"/>
  <c r="S20" i="45"/>
  <c r="Q20" i="45"/>
  <c r="Q23" i="45"/>
  <c r="R23" i="45"/>
  <c r="S23" i="45"/>
  <c r="E21" i="45"/>
  <c r="J71" i="45" l="1"/>
  <c r="J72" i="45"/>
  <c r="J69" i="45"/>
  <c r="Z70" i="45"/>
  <c r="Z69" i="45"/>
  <c r="Z71" i="45"/>
  <c r="S21" i="45"/>
  <c r="R21" i="45"/>
  <c r="Q21" i="45"/>
  <c r="A355" i="44"/>
  <c r="A356" i="44"/>
  <c r="A354" i="44"/>
  <c r="D335" i="44" l="1"/>
  <c r="D334" i="44"/>
  <c r="D333" i="44"/>
  <c r="D332" i="44"/>
  <c r="D331" i="44"/>
  <c r="D330" i="44"/>
  <c r="D329" i="44"/>
  <c r="D328" i="44"/>
  <c r="D327" i="44"/>
  <c r="D326" i="44"/>
  <c r="D325" i="44"/>
  <c r="D324" i="44"/>
  <c r="D323" i="44"/>
  <c r="D322" i="44"/>
  <c r="D321" i="44"/>
  <c r="D320" i="44"/>
  <c r="D319" i="44"/>
  <c r="D318" i="44"/>
  <c r="D317" i="44"/>
  <c r="D316" i="44"/>
  <c r="D315" i="44"/>
  <c r="D314" i="44"/>
  <c r="D313" i="44"/>
  <c r="D312" i="44"/>
  <c r="D311" i="44"/>
  <c r="D310" i="44"/>
  <c r="D309" i="44"/>
  <c r="D308" i="44"/>
  <c r="D307" i="44"/>
  <c r="D306" i="44"/>
  <c r="D305" i="44"/>
  <c r="D304" i="44"/>
  <c r="D303" i="44"/>
  <c r="D302" i="44"/>
  <c r="D301" i="44"/>
  <c r="D300" i="44"/>
  <c r="D299" i="44"/>
  <c r="D298" i="44"/>
  <c r="D297" i="44"/>
  <c r="D296" i="44"/>
  <c r="D295" i="44"/>
  <c r="D294" i="44"/>
  <c r="D293" i="44"/>
  <c r="D292" i="44"/>
  <c r="D291" i="44"/>
  <c r="D290" i="44"/>
  <c r="D289" i="44"/>
  <c r="D288" i="44"/>
  <c r="D287" i="44"/>
  <c r="D286" i="44"/>
  <c r="D285" i="44"/>
  <c r="D284" i="44"/>
  <c r="D283" i="44"/>
  <c r="D282" i="44"/>
  <c r="D281" i="44"/>
  <c r="D280" i="44"/>
  <c r="D279" i="44"/>
  <c r="D278" i="44"/>
  <c r="D277" i="44"/>
  <c r="D276" i="44"/>
  <c r="D275" i="44"/>
  <c r="D274" i="44"/>
  <c r="D273" i="44"/>
  <c r="D272" i="44"/>
  <c r="D271" i="44"/>
  <c r="D270" i="44"/>
  <c r="D269" i="44"/>
  <c r="D268" i="44"/>
  <c r="D267" i="44"/>
  <c r="D266" i="44"/>
  <c r="D265" i="44"/>
  <c r="D264" i="44"/>
  <c r="D263" i="44"/>
  <c r="D262" i="44"/>
  <c r="D261" i="44"/>
  <c r="D260" i="44"/>
  <c r="D259" i="44"/>
  <c r="D258" i="44"/>
  <c r="D257" i="44"/>
  <c r="D256" i="44"/>
  <c r="D255" i="44"/>
  <c r="D254" i="44"/>
  <c r="D253" i="44"/>
  <c r="D252" i="44"/>
  <c r="D251" i="44"/>
  <c r="D250" i="44"/>
  <c r="D249" i="44"/>
  <c r="D248" i="44"/>
  <c r="D247" i="44"/>
  <c r="D246" i="44"/>
  <c r="D245" i="44"/>
  <c r="D244" i="44"/>
  <c r="D243" i="44"/>
  <c r="D242" i="44"/>
  <c r="D241" i="44"/>
  <c r="D240" i="44"/>
  <c r="D239" i="44"/>
  <c r="D238" i="44"/>
  <c r="D237" i="44"/>
  <c r="D236" i="44"/>
  <c r="D235" i="44"/>
  <c r="D234" i="44"/>
  <c r="D233" i="44"/>
  <c r="D232" i="44"/>
  <c r="D231" i="44"/>
  <c r="D230" i="44"/>
  <c r="D229" i="44"/>
  <c r="D228" i="44"/>
  <c r="D227" i="44"/>
  <c r="D226" i="44"/>
  <c r="D225" i="44"/>
  <c r="D224" i="44"/>
  <c r="D223" i="44"/>
  <c r="D222" i="44"/>
  <c r="D221" i="44"/>
  <c r="D220" i="44"/>
  <c r="D219" i="44"/>
  <c r="D218" i="44"/>
  <c r="D217" i="44"/>
  <c r="D216" i="44"/>
  <c r="D215" i="44"/>
  <c r="D214" i="44"/>
  <c r="D213" i="44"/>
  <c r="D212" i="44"/>
  <c r="D211" i="44"/>
  <c r="D210" i="44"/>
  <c r="D209" i="44"/>
  <c r="D208" i="44"/>
  <c r="D207" i="44"/>
  <c r="D206" i="44"/>
  <c r="D205" i="44"/>
  <c r="D204" i="44"/>
  <c r="D203" i="44"/>
  <c r="D202" i="44"/>
  <c r="D201" i="44"/>
  <c r="D200" i="44"/>
  <c r="D199" i="44"/>
  <c r="D198" i="44"/>
  <c r="D197" i="44"/>
  <c r="D196" i="44"/>
  <c r="D195" i="44"/>
  <c r="D194" i="44"/>
  <c r="D193" i="44"/>
  <c r="D192" i="44"/>
  <c r="D191" i="44"/>
  <c r="D190" i="44"/>
  <c r="D189" i="44"/>
  <c r="D188" i="44"/>
  <c r="D187" i="44"/>
  <c r="D186" i="44"/>
  <c r="D185" i="44"/>
  <c r="D184" i="44"/>
  <c r="D183" i="44"/>
  <c r="D182" i="44"/>
  <c r="D181" i="44"/>
  <c r="D180" i="44"/>
  <c r="D179" i="44"/>
  <c r="D178" i="44"/>
  <c r="D177" i="44"/>
  <c r="D176" i="44"/>
  <c r="D175" i="44"/>
  <c r="D174" i="44"/>
  <c r="D173" i="44"/>
  <c r="D172" i="44"/>
  <c r="D171" i="44"/>
  <c r="D170" i="44"/>
  <c r="D169" i="44"/>
  <c r="D168" i="44"/>
  <c r="D167" i="44"/>
  <c r="D166" i="44"/>
  <c r="D165" i="44"/>
  <c r="D164" i="44"/>
  <c r="D163" i="44"/>
  <c r="D162" i="44"/>
  <c r="D161" i="44"/>
  <c r="D160" i="44"/>
  <c r="D159" i="44"/>
  <c r="D158" i="44"/>
  <c r="D157" i="44"/>
  <c r="D156" i="44"/>
  <c r="D155" i="44"/>
  <c r="D154" i="44"/>
  <c r="D153" i="44"/>
  <c r="D152" i="44"/>
  <c r="D151" i="44"/>
  <c r="D150" i="44"/>
  <c r="D149" i="44"/>
  <c r="D148" i="44"/>
  <c r="D147" i="44"/>
  <c r="D146" i="44"/>
  <c r="D145" i="44"/>
  <c r="D144" i="44"/>
  <c r="D143" i="44"/>
  <c r="D142" i="44"/>
  <c r="D141" i="44"/>
  <c r="D140" i="44"/>
  <c r="D139" i="44"/>
  <c r="D138" i="44"/>
  <c r="D137" i="44"/>
  <c r="D136" i="44"/>
  <c r="D135" i="44"/>
  <c r="D134" i="44"/>
  <c r="D133" i="44"/>
  <c r="D132" i="44"/>
  <c r="D131" i="44"/>
  <c r="D130" i="44"/>
  <c r="D129" i="44"/>
  <c r="D128" i="44"/>
  <c r="D127" i="44"/>
  <c r="D126" i="44"/>
  <c r="D125" i="44"/>
  <c r="D124" i="44"/>
  <c r="D123" i="44"/>
  <c r="D122" i="44"/>
  <c r="D121" i="44"/>
  <c r="D120" i="44"/>
  <c r="D119" i="44"/>
  <c r="D118" i="44"/>
  <c r="D117" i="44"/>
  <c r="D116" i="44"/>
  <c r="D115" i="44"/>
  <c r="D114" i="44"/>
  <c r="D113" i="44"/>
  <c r="D112" i="44"/>
  <c r="D111" i="44"/>
  <c r="D110" i="44"/>
  <c r="D109" i="44"/>
  <c r="D108" i="44"/>
  <c r="D107" i="44"/>
  <c r="D106" i="44"/>
  <c r="D105" i="44"/>
  <c r="D104" i="44"/>
  <c r="D103" i="44"/>
  <c r="D102" i="44"/>
  <c r="D101" i="44"/>
  <c r="D100" i="44"/>
  <c r="D99" i="44"/>
  <c r="D98" i="44"/>
  <c r="D97" i="44"/>
  <c r="D96" i="44"/>
  <c r="D95" i="44"/>
  <c r="D94" i="44"/>
  <c r="D93" i="44"/>
  <c r="D92" i="44"/>
  <c r="D91" i="44"/>
  <c r="D90" i="44"/>
  <c r="D89" i="44"/>
  <c r="D88" i="44"/>
  <c r="D87" i="44"/>
  <c r="D86" i="44"/>
  <c r="D85" i="44"/>
  <c r="D84" i="44"/>
  <c r="D83" i="44"/>
  <c r="D82" i="44"/>
  <c r="D81" i="44"/>
  <c r="D80" i="44"/>
  <c r="D79" i="44"/>
  <c r="D78" i="44"/>
  <c r="D77" i="44"/>
  <c r="D76" i="44"/>
  <c r="D75" i="44"/>
  <c r="D74" i="44"/>
  <c r="D73" i="44"/>
  <c r="D72" i="44"/>
  <c r="D71" i="44"/>
  <c r="D70" i="44"/>
  <c r="D69" i="44"/>
  <c r="D68" i="44"/>
  <c r="D67" i="44"/>
  <c r="D66" i="44"/>
  <c r="D65" i="44"/>
  <c r="D64" i="44"/>
  <c r="D63" i="44"/>
  <c r="D62" i="44"/>
  <c r="D61" i="44"/>
  <c r="D60" i="44"/>
  <c r="D59" i="44"/>
  <c r="D58" i="44"/>
  <c r="D57" i="44"/>
  <c r="D56" i="44"/>
  <c r="D55" i="44"/>
  <c r="D54" i="44"/>
  <c r="D53" i="44"/>
  <c r="D52" i="44"/>
  <c r="D51" i="44"/>
  <c r="D50" i="44"/>
  <c r="D49" i="44"/>
  <c r="D48" i="44"/>
  <c r="D47" i="44"/>
  <c r="D46" i="44"/>
  <c r="D45" i="44"/>
  <c r="D44" i="44"/>
  <c r="D43" i="44"/>
  <c r="D42" i="44"/>
  <c r="D41" i="44"/>
  <c r="D40" i="44"/>
  <c r="D39" i="44"/>
  <c r="D38" i="44"/>
  <c r="D37" i="44"/>
  <c r="D36" i="44"/>
  <c r="D35" i="44"/>
  <c r="D34" i="44"/>
  <c r="D33" i="44"/>
  <c r="D32" i="44"/>
  <c r="D31" i="44"/>
  <c r="D30" i="44"/>
  <c r="D29" i="44"/>
  <c r="D28" i="44"/>
  <c r="D27" i="44"/>
  <c r="D26" i="44"/>
  <c r="D25" i="44"/>
  <c r="D24" i="44"/>
  <c r="D23" i="44"/>
  <c r="D22" i="44"/>
  <c r="D21" i="44"/>
  <c r="D20" i="44"/>
  <c r="D19" i="44"/>
  <c r="G336" i="44" l="1"/>
  <c r="J336" i="44"/>
  <c r="D336" i="44"/>
  <c r="J347" i="44" l="1"/>
  <c r="J348" i="44"/>
  <c r="C16" i="29" l="1"/>
  <c r="CE24" i="29" l="1"/>
  <c r="CE48" i="29"/>
  <c r="S48" i="29"/>
  <c r="S24" i="29"/>
  <c r="AD94" i="40"/>
  <c r="C94" i="40"/>
  <c r="AD93" i="40"/>
  <c r="C93" i="40"/>
  <c r="AD92" i="40"/>
  <c r="AD91" i="40"/>
  <c r="C91" i="40"/>
  <c r="AD90" i="40"/>
  <c r="C90" i="40"/>
  <c r="AD85" i="40"/>
  <c r="C85" i="40"/>
  <c r="AD84" i="40"/>
  <c r="C84" i="40"/>
  <c r="AD83" i="40"/>
  <c r="AD79" i="40"/>
  <c r="C79" i="40"/>
  <c r="AD78" i="40"/>
  <c r="AD77" i="40"/>
  <c r="C77" i="40"/>
  <c r="AD76" i="40"/>
  <c r="C76" i="40"/>
  <c r="AD72" i="40"/>
  <c r="C72" i="40"/>
  <c r="AD71" i="40"/>
  <c r="C71" i="40"/>
  <c r="AD70" i="40"/>
  <c r="AD69" i="40"/>
  <c r="C69" i="40"/>
  <c r="AD68" i="40"/>
  <c r="C68" i="40"/>
  <c r="AD63" i="40"/>
  <c r="C63" i="40"/>
  <c r="AD62" i="40"/>
  <c r="C62" i="40"/>
  <c r="AD61" i="40"/>
  <c r="AD57" i="40"/>
  <c r="C57" i="40"/>
  <c r="AD56" i="40"/>
  <c r="C56" i="40"/>
  <c r="AD55" i="40"/>
  <c r="AD54" i="40"/>
  <c r="C54" i="40"/>
  <c r="AD50" i="40"/>
  <c r="C50" i="40"/>
  <c r="AD49" i="40"/>
  <c r="AD45" i="40"/>
  <c r="C45" i="40"/>
  <c r="AD44" i="40"/>
  <c r="AD40" i="40"/>
  <c r="C40" i="40"/>
  <c r="AD39" i="40"/>
  <c r="AD38" i="40"/>
  <c r="C38" i="40"/>
  <c r="AD37" i="40"/>
  <c r="C37" i="40"/>
  <c r="AD33" i="40"/>
  <c r="AD29" i="40"/>
  <c r="C29" i="40"/>
  <c r="AD28" i="40"/>
  <c r="AD27" i="40"/>
  <c r="C27" i="40"/>
  <c r="AD23" i="40"/>
  <c r="AD22" i="40"/>
  <c r="C22" i="40"/>
  <c r="AD21" i="40"/>
  <c r="C21" i="40"/>
  <c r="AD17" i="40"/>
  <c r="AD16" i="40"/>
  <c r="C16" i="40"/>
  <c r="AD15" i="40"/>
  <c r="C15" i="40"/>
  <c r="AD11" i="40"/>
  <c r="C11" i="40"/>
  <c r="AD10" i="40"/>
  <c r="AD6" i="40"/>
  <c r="AD5" i="40"/>
  <c r="C5" i="40"/>
  <c r="AD96" i="43"/>
  <c r="C96" i="43"/>
  <c r="AD95" i="43"/>
  <c r="C95" i="43"/>
  <c r="AD94" i="43"/>
  <c r="AD93" i="43"/>
  <c r="C93" i="43"/>
  <c r="AD92" i="43"/>
  <c r="C92" i="43"/>
  <c r="AD87" i="43"/>
  <c r="C87" i="43"/>
  <c r="AD86" i="43"/>
  <c r="C86" i="43"/>
  <c r="AD85" i="43"/>
  <c r="AD80" i="43"/>
  <c r="C80" i="43"/>
  <c r="AD79" i="43"/>
  <c r="AD78" i="43"/>
  <c r="C78" i="43"/>
  <c r="AD77" i="43"/>
  <c r="C77" i="43"/>
  <c r="AD73" i="43"/>
  <c r="C73" i="43"/>
  <c r="AD72" i="43"/>
  <c r="C72" i="43"/>
  <c r="AD71" i="43"/>
  <c r="AD70" i="43"/>
  <c r="C70" i="43"/>
  <c r="AD69" i="43"/>
  <c r="C69" i="43"/>
  <c r="AD64" i="43"/>
  <c r="C64" i="43"/>
  <c r="AD63" i="43"/>
  <c r="C63" i="43"/>
  <c r="AD62" i="43"/>
  <c r="AD58" i="43"/>
  <c r="C58" i="43"/>
  <c r="AD57" i="43"/>
  <c r="C57" i="43"/>
  <c r="AD56" i="43"/>
  <c r="AD55" i="43"/>
  <c r="C55" i="43"/>
  <c r="AD51" i="43"/>
  <c r="C51" i="43"/>
  <c r="AD50" i="43"/>
  <c r="C50" i="43"/>
  <c r="AD49" i="43"/>
  <c r="AD45" i="43"/>
  <c r="C45" i="43"/>
  <c r="AD44" i="43"/>
  <c r="AD40" i="43"/>
  <c r="C40" i="43"/>
  <c r="AD39" i="43"/>
  <c r="AD38" i="43"/>
  <c r="C38" i="43"/>
  <c r="AD37" i="43"/>
  <c r="C37" i="43"/>
  <c r="AD33" i="43"/>
  <c r="AD29" i="43"/>
  <c r="C29" i="43"/>
  <c r="AD28" i="43"/>
  <c r="AD27" i="43"/>
  <c r="C27" i="43"/>
  <c r="AD23" i="43"/>
  <c r="AD22" i="43"/>
  <c r="C22" i="43"/>
  <c r="AD21" i="43"/>
  <c r="C21" i="43"/>
  <c r="AD17" i="43"/>
  <c r="AD16" i="43"/>
  <c r="C16" i="43"/>
  <c r="AD15" i="43"/>
  <c r="C15" i="43"/>
  <c r="AD11" i="43"/>
  <c r="C11" i="43"/>
  <c r="AD10" i="43"/>
  <c r="AD6" i="43"/>
  <c r="AD5" i="43"/>
  <c r="C5" i="43"/>
  <c r="F55" i="42"/>
  <c r="E55" i="42"/>
  <c r="D55" i="42"/>
  <c r="C103" i="39" l="1"/>
  <c r="C98" i="39"/>
  <c r="C93" i="39"/>
  <c r="C92" i="39"/>
  <c r="C88" i="39"/>
  <c r="C85" i="39"/>
  <c r="C84" i="39"/>
  <c r="C80" i="39"/>
  <c r="C79" i="39"/>
  <c r="C78" i="39"/>
  <c r="C74" i="39"/>
  <c r="C73" i="39"/>
  <c r="C69" i="39"/>
  <c r="C66" i="39"/>
  <c r="C62" i="39"/>
  <c r="C61" i="39"/>
  <c r="C60" i="39"/>
  <c r="C55" i="39"/>
  <c r="C54" i="39"/>
  <c r="C52" i="39"/>
  <c r="C48" i="39"/>
  <c r="C47" i="39"/>
  <c r="C46" i="39"/>
  <c r="C40" i="39"/>
  <c r="C39" i="39"/>
  <c r="C38" i="39"/>
  <c r="C37" i="39"/>
  <c r="C36" i="39"/>
  <c r="C35" i="39"/>
  <c r="C34" i="39"/>
  <c r="C32" i="39"/>
  <c r="C31" i="39"/>
  <c r="C27" i="39"/>
  <c r="C26" i="39"/>
  <c r="C25" i="39"/>
  <c r="C24" i="39"/>
  <c r="C23" i="39"/>
  <c r="C22" i="39"/>
  <c r="C21" i="39"/>
  <c r="C19" i="39"/>
  <c r="C18" i="39"/>
  <c r="AD13" i="39"/>
  <c r="C13" i="39"/>
  <c r="AD12" i="39"/>
  <c r="C8" i="39"/>
  <c r="C7" i="39"/>
  <c r="AD6" i="39"/>
  <c r="AD5" i="39"/>
  <c r="C5" i="39"/>
  <c r="C24" i="32" l="1"/>
  <c r="C7" i="32" l="1"/>
  <c r="C118" i="32" l="1"/>
  <c r="C108" i="32"/>
  <c r="C67" i="32" l="1"/>
  <c r="C38" i="32" l="1"/>
  <c r="C113" i="32" l="1"/>
  <c r="C107" i="32"/>
  <c r="C105" i="32"/>
  <c r="C104" i="32"/>
  <c r="C100" i="32"/>
  <c r="C99" i="32"/>
  <c r="C98" i="32"/>
  <c r="C86" i="32"/>
  <c r="C72" i="32"/>
  <c r="C68" i="32"/>
  <c r="C61" i="32"/>
  <c r="C49" i="32"/>
  <c r="C50" i="32"/>
  <c r="C48" i="32"/>
  <c r="C36" i="32"/>
  <c r="C37" i="32"/>
  <c r="C39" i="32"/>
  <c r="C40" i="32"/>
  <c r="C41" i="32"/>
  <c r="C42" i="32"/>
  <c r="C35" i="32"/>
  <c r="C22" i="32"/>
  <c r="C23" i="32"/>
  <c r="C25" i="32"/>
  <c r="C26" i="32"/>
  <c r="C27" i="32"/>
  <c r="C28" i="32"/>
  <c r="C21" i="32"/>
  <c r="C8" i="32"/>
  <c r="K54" i="25" l="1"/>
  <c r="K52" i="25" l="1"/>
  <c r="K55" i="25" l="1"/>
  <c r="K53" i="25"/>
  <c r="K56" i="25" l="1"/>
  <c r="A30" i="37"/>
  <c r="A27" i="37"/>
  <c r="V15" i="37" l="1"/>
  <c r="G15" i="37"/>
  <c r="B31" i="28" l="1"/>
  <c r="B30" i="28"/>
  <c r="J8" i="10" l="1"/>
  <c r="J6" i="10"/>
  <c r="AD54" i="32" l="1"/>
  <c r="AD13" i="32"/>
  <c r="AD12" i="32"/>
  <c r="AD6" i="32"/>
  <c r="AD5" i="32"/>
  <c r="C94" i="32"/>
  <c r="C91" i="32" l="1"/>
  <c r="C90" i="32"/>
  <c r="C85" i="32"/>
  <c r="C84" i="32"/>
  <c r="C80" i="32"/>
  <c r="C79" i="32"/>
  <c r="C75" i="32"/>
  <c r="C66" i="32"/>
  <c r="C60" i="32"/>
  <c r="C58" i="32"/>
  <c r="C33" i="32"/>
  <c r="C32" i="32"/>
  <c r="C19" i="32"/>
  <c r="C18" i="32"/>
  <c r="C13" i="32"/>
  <c r="C5" i="32"/>
  <c r="E30" i="25" l="1"/>
  <c r="G30" i="25"/>
  <c r="F30" i="25"/>
  <c r="G29" i="25"/>
  <c r="F29" i="25"/>
  <c r="E29" i="25"/>
  <c r="Z7" i="10" l="1"/>
  <c r="Z8" i="10"/>
  <c r="Z9" i="10"/>
  <c r="J7" i="10"/>
  <c r="J9" i="10"/>
  <c r="J12" i="10" l="1"/>
  <c r="A29" i="37"/>
  <c r="A28" i="37"/>
  <c r="G6" i="37"/>
  <c r="V6" i="37" l="1"/>
  <c r="G7" i="37" l="1"/>
  <c r="V7" i="37" l="1"/>
  <c r="G8" i="37" l="1"/>
  <c r="V8" i="37" l="1"/>
  <c r="G9" i="37"/>
  <c r="V9" i="37" l="1"/>
  <c r="G10" i="37"/>
  <c r="V10" i="37" l="1"/>
  <c r="G11" i="37" l="1"/>
  <c r="W24" i="39" l="1"/>
  <c r="X233" i="27"/>
  <c r="V11" i="37"/>
  <c r="G12" i="37"/>
  <c r="V12" i="37" l="1"/>
  <c r="G13" i="37"/>
  <c r="V13" i="37" l="1"/>
  <c r="G14" i="37"/>
  <c r="V14" i="37" l="1"/>
  <c r="A36" i="35" l="1"/>
  <c r="A38" i="35"/>
  <c r="A37" i="35"/>
  <c r="A48" i="14"/>
  <c r="A47" i="14"/>
  <c r="A46" i="14"/>
  <c r="X26" i="14"/>
  <c r="W26" i="14"/>
  <c r="X124" i="27"/>
  <c r="W124" i="27"/>
  <c r="V124" i="27"/>
  <c r="X123" i="27"/>
  <c r="W123" i="27"/>
  <c r="V123" i="27"/>
  <c r="X117" i="27"/>
  <c r="W117" i="27"/>
  <c r="V117" i="27"/>
  <c r="X116" i="27"/>
  <c r="W116" i="27"/>
  <c r="V116" i="27"/>
  <c r="X110" i="27"/>
  <c r="W110" i="27"/>
  <c r="V110" i="27"/>
  <c r="X109" i="27"/>
  <c r="W109" i="27"/>
  <c r="V109" i="27"/>
  <c r="X103" i="27"/>
  <c r="W103" i="27"/>
  <c r="V103" i="27"/>
  <c r="X102" i="27"/>
  <c r="W102" i="27"/>
  <c r="V102" i="27"/>
  <c r="X95" i="27"/>
  <c r="W95" i="27"/>
  <c r="V95" i="27"/>
  <c r="X88" i="27"/>
  <c r="W88" i="27"/>
  <c r="V88" i="27"/>
  <c r="X82" i="27"/>
  <c r="W82" i="27"/>
  <c r="V82" i="27"/>
  <c r="X81" i="27"/>
  <c r="W81" i="27"/>
  <c r="V81" i="27"/>
  <c r="X75" i="27"/>
  <c r="W75" i="27"/>
  <c r="V75" i="27"/>
  <c r="X74" i="27"/>
  <c r="W74" i="27"/>
  <c r="V74" i="27"/>
  <c r="X68" i="27"/>
  <c r="W68" i="27"/>
  <c r="V68" i="27"/>
  <c r="X67" i="27"/>
  <c r="W67" i="27"/>
  <c r="V67" i="27"/>
  <c r="X61" i="27"/>
  <c r="W61" i="27"/>
  <c r="V61" i="27"/>
  <c r="X60" i="27"/>
  <c r="W60" i="27"/>
  <c r="V60" i="27"/>
  <c r="X54" i="27"/>
  <c r="W54" i="27"/>
  <c r="V54" i="27"/>
  <c r="X53" i="27"/>
  <c r="W53" i="27"/>
  <c r="V53" i="27"/>
  <c r="X47" i="27"/>
  <c r="W47" i="27"/>
  <c r="V47" i="27"/>
  <c r="X46" i="27"/>
  <c r="W46" i="27"/>
  <c r="V46" i="27"/>
  <c r="X40" i="27"/>
  <c r="W40" i="27"/>
  <c r="V40" i="27"/>
  <c r="X39" i="27"/>
  <c r="W39" i="27"/>
  <c r="V39" i="27"/>
  <c r="X33" i="27"/>
  <c r="W33" i="27"/>
  <c r="V33" i="27"/>
  <c r="X32" i="27"/>
  <c r="W32" i="27"/>
  <c r="V32" i="27"/>
  <c r="X26" i="27"/>
  <c r="W26" i="27"/>
  <c r="V26" i="27"/>
  <c r="X25" i="27"/>
  <c r="W25" i="27"/>
  <c r="V25" i="27"/>
  <c r="X19" i="27"/>
  <c r="W19" i="27"/>
  <c r="V19" i="27"/>
  <c r="X18" i="27"/>
  <c r="W18" i="27"/>
  <c r="V18" i="27"/>
  <c r="X12" i="27"/>
  <c r="W12" i="27"/>
  <c r="V12" i="27"/>
  <c r="X11" i="27"/>
  <c r="W11" i="27"/>
  <c r="V11" i="27"/>
  <c r="J124" i="27"/>
  <c r="I124" i="27"/>
  <c r="H124" i="27"/>
  <c r="J123" i="27"/>
  <c r="I123" i="27"/>
  <c r="H123" i="27"/>
  <c r="J117" i="27"/>
  <c r="I117" i="27"/>
  <c r="H117" i="27"/>
  <c r="J116" i="27"/>
  <c r="I116" i="27"/>
  <c r="H116" i="27"/>
  <c r="J110" i="27"/>
  <c r="I110" i="27"/>
  <c r="H110" i="27"/>
  <c r="J109" i="27"/>
  <c r="I109" i="27"/>
  <c r="H109" i="27"/>
  <c r="J103" i="27"/>
  <c r="I103" i="27"/>
  <c r="H103" i="27"/>
  <c r="J102" i="27"/>
  <c r="I102" i="27"/>
  <c r="H102" i="27"/>
  <c r="J95" i="27"/>
  <c r="I95" i="27"/>
  <c r="H95" i="27"/>
  <c r="J88" i="27"/>
  <c r="I88" i="27"/>
  <c r="H88" i="27"/>
  <c r="J82" i="27"/>
  <c r="I82" i="27"/>
  <c r="H82" i="27"/>
  <c r="J81" i="27"/>
  <c r="I81" i="27"/>
  <c r="H81" i="27"/>
  <c r="J75" i="27"/>
  <c r="I75" i="27"/>
  <c r="H75" i="27"/>
  <c r="J74" i="27"/>
  <c r="I74" i="27"/>
  <c r="H74" i="27"/>
  <c r="J68" i="27"/>
  <c r="I68" i="27"/>
  <c r="H68" i="27"/>
  <c r="J67" i="27"/>
  <c r="I67" i="27"/>
  <c r="H67" i="27"/>
  <c r="J61" i="27"/>
  <c r="I61" i="27"/>
  <c r="H61" i="27"/>
  <c r="J60" i="27"/>
  <c r="I60" i="27"/>
  <c r="H60" i="27"/>
  <c r="J54" i="27"/>
  <c r="I54" i="27"/>
  <c r="H54" i="27"/>
  <c r="J53" i="27"/>
  <c r="I53" i="27"/>
  <c r="H53" i="27"/>
  <c r="J47" i="27"/>
  <c r="I47" i="27"/>
  <c r="H47" i="27"/>
  <c r="J46" i="27"/>
  <c r="I46" i="27"/>
  <c r="H46" i="27"/>
  <c r="J40" i="27"/>
  <c r="I40" i="27"/>
  <c r="H40" i="27"/>
  <c r="J39" i="27"/>
  <c r="I39" i="27"/>
  <c r="H39" i="27"/>
  <c r="J33" i="27"/>
  <c r="I33" i="27"/>
  <c r="H33" i="27"/>
  <c r="J32" i="27"/>
  <c r="I32" i="27"/>
  <c r="H32" i="27"/>
  <c r="J26" i="27"/>
  <c r="I26" i="27"/>
  <c r="H26" i="27"/>
  <c r="J25" i="27"/>
  <c r="I25" i="27"/>
  <c r="H25" i="27"/>
  <c r="J19" i="27"/>
  <c r="I19" i="27"/>
  <c r="H19" i="27"/>
  <c r="J18" i="27"/>
  <c r="I18" i="27"/>
  <c r="H18" i="27"/>
  <c r="Y26" i="14" l="1"/>
  <c r="Z26" i="14" s="1"/>
  <c r="I46" i="14" l="1"/>
  <c r="I47" i="14"/>
  <c r="C18" i="23"/>
  <c r="C21" i="23"/>
  <c r="C23" i="23"/>
  <c r="U20" i="23"/>
  <c r="C19" i="23"/>
  <c r="U22" i="23"/>
  <c r="U18" i="23"/>
  <c r="C15" i="23" l="1"/>
  <c r="C17" i="23"/>
  <c r="U17" i="23"/>
  <c r="U23" i="23"/>
  <c r="U15" i="23"/>
  <c r="U24" i="23" l="1"/>
  <c r="C22" i="23"/>
  <c r="C24" i="23" s="1"/>
  <c r="H11" i="27"/>
  <c r="I11" i="27"/>
  <c r="J11" i="27"/>
  <c r="H12" i="27"/>
  <c r="I12" i="27"/>
  <c r="J12" i="27"/>
  <c r="U122" i="27"/>
  <c r="U124" i="27" s="1"/>
  <c r="T122" i="27"/>
  <c r="T124" i="27" s="1"/>
  <c r="S122" i="27"/>
  <c r="S121" i="27"/>
  <c r="U120" i="27"/>
  <c r="U123" i="27" s="1"/>
  <c r="T120" i="27"/>
  <c r="T123" i="27" s="1"/>
  <c r="S120" i="27"/>
  <c r="S119" i="27"/>
  <c r="U117" i="27"/>
  <c r="T117" i="27"/>
  <c r="S117" i="27"/>
  <c r="U116" i="27"/>
  <c r="T116" i="27"/>
  <c r="S116" i="27"/>
  <c r="U110" i="27"/>
  <c r="T110" i="27"/>
  <c r="S110" i="27"/>
  <c r="U109" i="27"/>
  <c r="T109" i="27"/>
  <c r="S109" i="27"/>
  <c r="U103" i="27"/>
  <c r="T103" i="27"/>
  <c r="S103" i="27"/>
  <c r="U102" i="27"/>
  <c r="T102" i="27"/>
  <c r="S102" i="27"/>
  <c r="T95" i="27"/>
  <c r="U92" i="27"/>
  <c r="S92" i="27"/>
  <c r="U91" i="27"/>
  <c r="S91" i="27"/>
  <c r="U88" i="27"/>
  <c r="T88" i="27"/>
  <c r="S88" i="27"/>
  <c r="S82" i="27"/>
  <c r="S81" i="27"/>
  <c r="T80" i="27"/>
  <c r="U80" i="27" s="1"/>
  <c r="T79" i="27"/>
  <c r="U79" i="27" s="1"/>
  <c r="T78" i="27"/>
  <c r="U78" i="27" s="1"/>
  <c r="T77" i="27"/>
  <c r="U75" i="27"/>
  <c r="U74" i="27"/>
  <c r="T73" i="27"/>
  <c r="S73" i="27"/>
  <c r="T72" i="27"/>
  <c r="S72" i="27"/>
  <c r="T71" i="27"/>
  <c r="S71" i="27"/>
  <c r="T70" i="27"/>
  <c r="S70" i="27"/>
  <c r="U66" i="27"/>
  <c r="T66" i="27"/>
  <c r="S66" i="27"/>
  <c r="U65" i="27"/>
  <c r="T65" i="27"/>
  <c r="S65" i="27"/>
  <c r="U64" i="27"/>
  <c r="T64" i="27"/>
  <c r="S64" i="27"/>
  <c r="U63" i="27"/>
  <c r="T63" i="27"/>
  <c r="S63" i="27"/>
  <c r="U59" i="27"/>
  <c r="T59" i="27"/>
  <c r="S59" i="27"/>
  <c r="U58" i="27"/>
  <c r="T58" i="27"/>
  <c r="S58" i="27"/>
  <c r="U57" i="27"/>
  <c r="T57" i="27"/>
  <c r="S57" i="27"/>
  <c r="U56" i="27"/>
  <c r="T56" i="27"/>
  <c r="S56" i="27"/>
  <c r="U54" i="27"/>
  <c r="U53" i="27"/>
  <c r="T52" i="27"/>
  <c r="S52" i="27"/>
  <c r="T51" i="27"/>
  <c r="S51" i="27"/>
  <c r="T50" i="27"/>
  <c r="S50" i="27"/>
  <c r="T49" i="27"/>
  <c r="S49" i="27"/>
  <c r="U47" i="27"/>
  <c r="U46" i="27"/>
  <c r="T45" i="27"/>
  <c r="S45" i="27"/>
  <c r="T44" i="27"/>
  <c r="S44" i="27"/>
  <c r="T43" i="27"/>
  <c r="S43" i="27"/>
  <c r="T42" i="27"/>
  <c r="S42" i="27"/>
  <c r="U40" i="27"/>
  <c r="S40" i="27"/>
  <c r="U39" i="27"/>
  <c r="S39" i="27"/>
  <c r="U33" i="27"/>
  <c r="U32" i="27"/>
  <c r="S31" i="27"/>
  <c r="S30" i="27"/>
  <c r="S29" i="27"/>
  <c r="S28" i="27"/>
  <c r="U26" i="27"/>
  <c r="U25" i="27"/>
  <c r="T24" i="27"/>
  <c r="S24" i="27"/>
  <c r="T23" i="27"/>
  <c r="S23" i="27"/>
  <c r="T22" i="27"/>
  <c r="S22" i="27"/>
  <c r="T21" i="27"/>
  <c r="S21" i="27"/>
  <c r="U19" i="27"/>
  <c r="U18" i="27"/>
  <c r="T17" i="27"/>
  <c r="S17" i="27"/>
  <c r="T16" i="27"/>
  <c r="S16" i="27"/>
  <c r="T15" i="27"/>
  <c r="S15" i="27"/>
  <c r="T14" i="27"/>
  <c r="S14" i="27"/>
  <c r="U10" i="27"/>
  <c r="U9" i="27"/>
  <c r="U8" i="27"/>
  <c r="U7" i="27"/>
  <c r="G122" i="27"/>
  <c r="G124" i="27" s="1"/>
  <c r="F122" i="27"/>
  <c r="F124" i="27" s="1"/>
  <c r="E122" i="27"/>
  <c r="E124" i="27" s="1"/>
  <c r="E121" i="27"/>
  <c r="G120" i="27"/>
  <c r="G123" i="27" s="1"/>
  <c r="F120" i="27"/>
  <c r="F123" i="27" s="1"/>
  <c r="E120" i="27"/>
  <c r="E123" i="27" s="1"/>
  <c r="E119" i="27"/>
  <c r="G117" i="27"/>
  <c r="F117" i="27"/>
  <c r="E117" i="27"/>
  <c r="G116" i="27"/>
  <c r="F116" i="27"/>
  <c r="E116" i="27"/>
  <c r="G110" i="27"/>
  <c r="F110" i="27"/>
  <c r="E110" i="27"/>
  <c r="G109" i="27"/>
  <c r="F109" i="27"/>
  <c r="E109" i="27"/>
  <c r="G103" i="27"/>
  <c r="F103" i="27"/>
  <c r="E103" i="27"/>
  <c r="G102" i="27"/>
  <c r="F102" i="27"/>
  <c r="E102" i="27"/>
  <c r="G95" i="27"/>
  <c r="F95" i="27"/>
  <c r="E95" i="27"/>
  <c r="G88" i="27"/>
  <c r="F88" i="27"/>
  <c r="E88" i="27"/>
  <c r="E82" i="27"/>
  <c r="E81" i="27"/>
  <c r="F80" i="27"/>
  <c r="G80" i="27" s="1"/>
  <c r="F79" i="27"/>
  <c r="F78" i="27"/>
  <c r="G78" i="27" s="1"/>
  <c r="F77" i="27"/>
  <c r="G75" i="27"/>
  <c r="G74" i="27"/>
  <c r="F73" i="27"/>
  <c r="E73" i="27"/>
  <c r="F72" i="27"/>
  <c r="E72" i="27"/>
  <c r="F71" i="27"/>
  <c r="E71" i="27"/>
  <c r="F70" i="27"/>
  <c r="E70" i="27"/>
  <c r="G66" i="27"/>
  <c r="F66" i="27"/>
  <c r="E66" i="27"/>
  <c r="G65" i="27"/>
  <c r="G68" i="27" s="1"/>
  <c r="F65" i="27"/>
  <c r="E65" i="27"/>
  <c r="G64" i="27"/>
  <c r="F64" i="27"/>
  <c r="E64" i="27"/>
  <c r="G63" i="27"/>
  <c r="F63" i="27"/>
  <c r="E63" i="27"/>
  <c r="E67" i="27" s="1"/>
  <c r="G61" i="27"/>
  <c r="G60" i="27"/>
  <c r="F59" i="27"/>
  <c r="E59" i="27"/>
  <c r="F58" i="27"/>
  <c r="E58" i="27"/>
  <c r="F57" i="27"/>
  <c r="E57" i="27"/>
  <c r="F56" i="27"/>
  <c r="E56" i="27"/>
  <c r="G54" i="27"/>
  <c r="G53" i="27"/>
  <c r="F52" i="27"/>
  <c r="E52" i="27"/>
  <c r="F51" i="27"/>
  <c r="E51" i="27"/>
  <c r="F50" i="27"/>
  <c r="E50" i="27"/>
  <c r="F49" i="27"/>
  <c r="E49" i="27"/>
  <c r="G47" i="27"/>
  <c r="G46" i="27"/>
  <c r="F45" i="27"/>
  <c r="E45" i="27"/>
  <c r="F44" i="27"/>
  <c r="E44" i="27"/>
  <c r="F43" i="27"/>
  <c r="E43" i="27"/>
  <c r="F42" i="27"/>
  <c r="E42" i="27"/>
  <c r="G40" i="27"/>
  <c r="E40" i="27"/>
  <c r="G39" i="27"/>
  <c r="E39" i="27"/>
  <c r="G33" i="27"/>
  <c r="G32" i="27"/>
  <c r="E31" i="27"/>
  <c r="E30" i="27"/>
  <c r="E29" i="27"/>
  <c r="E28" i="27"/>
  <c r="G26" i="27"/>
  <c r="G25" i="27"/>
  <c r="F24" i="27"/>
  <c r="E24" i="27"/>
  <c r="F23" i="27"/>
  <c r="E23" i="27"/>
  <c r="F22" i="27"/>
  <c r="E22" i="27"/>
  <c r="F21" i="27"/>
  <c r="E21" i="27"/>
  <c r="G19" i="27"/>
  <c r="G18" i="27"/>
  <c r="F17" i="27"/>
  <c r="E17" i="27"/>
  <c r="F16" i="27"/>
  <c r="E16" i="27"/>
  <c r="F15" i="27"/>
  <c r="E15" i="27"/>
  <c r="F14" i="27"/>
  <c r="E14" i="27"/>
  <c r="G12" i="27"/>
  <c r="G11" i="27"/>
  <c r="F10" i="27"/>
  <c r="E10" i="27"/>
  <c r="S10" i="27" s="1"/>
  <c r="F9" i="27"/>
  <c r="T9" i="27" s="1"/>
  <c r="E9" i="27"/>
  <c r="S9" i="27" s="1"/>
  <c r="F8" i="27"/>
  <c r="T8" i="27" s="1"/>
  <c r="E8" i="27"/>
  <c r="S8" i="27" s="1"/>
  <c r="F7" i="27"/>
  <c r="T7" i="27" s="1"/>
  <c r="E7" i="27"/>
  <c r="S7" i="27" s="1"/>
  <c r="X150" i="27" l="1"/>
  <c r="J150" i="27"/>
  <c r="Y46" i="14"/>
  <c r="Y47" i="14"/>
  <c r="T74" i="27"/>
  <c r="T75" i="27"/>
  <c r="F82" i="27"/>
  <c r="S123" i="27"/>
  <c r="S124" i="27"/>
  <c r="F75" i="27"/>
  <c r="S12" i="27"/>
  <c r="E26" i="27"/>
  <c r="E33" i="27"/>
  <c r="E46" i="27"/>
  <c r="E47" i="27"/>
  <c r="E60" i="27"/>
  <c r="E61" i="27"/>
  <c r="F81" i="27"/>
  <c r="S33" i="27"/>
  <c r="U61" i="27"/>
  <c r="S67" i="27"/>
  <c r="U68" i="27"/>
  <c r="T11" i="27"/>
  <c r="T81" i="27"/>
  <c r="F74" i="27"/>
  <c r="F25" i="27"/>
  <c r="T67" i="27"/>
  <c r="S54" i="27"/>
  <c r="T53" i="27"/>
  <c r="U60" i="27"/>
  <c r="S61" i="27"/>
  <c r="S68" i="27"/>
  <c r="E54" i="27"/>
  <c r="E74" i="27"/>
  <c r="E75" i="27"/>
  <c r="S25" i="27"/>
  <c r="S26" i="27"/>
  <c r="F67" i="27"/>
  <c r="U11" i="27"/>
  <c r="E68" i="27"/>
  <c r="S46" i="27"/>
  <c r="S47" i="27"/>
  <c r="E18" i="27"/>
  <c r="E19" i="27"/>
  <c r="F46" i="27"/>
  <c r="F47" i="27"/>
  <c r="F54" i="27"/>
  <c r="T25" i="27"/>
  <c r="S74" i="27"/>
  <c r="S75" i="27"/>
  <c r="S95" i="27"/>
  <c r="F12" i="27"/>
  <c r="E32" i="27"/>
  <c r="T60" i="27"/>
  <c r="U95" i="27"/>
  <c r="G67" i="27"/>
  <c r="S11" i="27"/>
  <c r="T61" i="27"/>
  <c r="F18" i="27"/>
  <c r="F19" i="27"/>
  <c r="F26" i="27"/>
  <c r="E53" i="27"/>
  <c r="F60" i="27"/>
  <c r="F61" i="27"/>
  <c r="F68" i="27"/>
  <c r="S18" i="27"/>
  <c r="S19" i="27"/>
  <c r="T46" i="27"/>
  <c r="T47" i="27"/>
  <c r="T54" i="27"/>
  <c r="S60" i="27"/>
  <c r="T68" i="27"/>
  <c r="U12" i="27"/>
  <c r="U67" i="27"/>
  <c r="U82" i="27"/>
  <c r="E11" i="27"/>
  <c r="F11" i="27"/>
  <c r="E12" i="27"/>
  <c r="E25" i="27"/>
  <c r="F53" i="27"/>
  <c r="T10" i="27"/>
  <c r="T12" i="27" s="1"/>
  <c r="T18" i="27"/>
  <c r="T19" i="27"/>
  <c r="T26" i="27"/>
  <c r="S32" i="27"/>
  <c r="S53" i="27"/>
  <c r="T82" i="27"/>
  <c r="U77" i="27"/>
  <c r="U81" i="27" s="1"/>
  <c r="G77" i="27"/>
  <c r="G81" i="27" s="1"/>
  <c r="G79" i="27"/>
  <c r="G82" i="27" s="1"/>
  <c r="Q82" i="21" l="1"/>
  <c r="P82" i="21"/>
  <c r="O82" i="21"/>
  <c r="Q81" i="21"/>
  <c r="Q83" i="21" s="1"/>
  <c r="P81" i="21"/>
  <c r="O81" i="21"/>
  <c r="Q75" i="21"/>
  <c r="P75" i="21"/>
  <c r="O75" i="21"/>
  <c r="Q74" i="21"/>
  <c r="P74" i="21"/>
  <c r="O74" i="21"/>
  <c r="O76" i="21" s="1"/>
  <c r="Q124" i="21"/>
  <c r="P124" i="21"/>
  <c r="O124" i="21"/>
  <c r="Q123" i="21"/>
  <c r="P123" i="21"/>
  <c r="O123" i="21"/>
  <c r="Q68" i="21"/>
  <c r="P68" i="21"/>
  <c r="O68" i="21"/>
  <c r="Q67" i="21"/>
  <c r="P67" i="21"/>
  <c r="O67" i="21"/>
  <c r="Q61" i="21"/>
  <c r="P61" i="21"/>
  <c r="O61" i="21"/>
  <c r="Q60" i="21"/>
  <c r="Q62" i="21" s="1"/>
  <c r="P60" i="21"/>
  <c r="P62" i="21" s="1"/>
  <c r="O60" i="21"/>
  <c r="Q54" i="21"/>
  <c r="P54" i="21"/>
  <c r="O54" i="21"/>
  <c r="Q53" i="21"/>
  <c r="P53" i="21"/>
  <c r="O53" i="21"/>
  <c r="Q47" i="21"/>
  <c r="P47" i="21"/>
  <c r="O47" i="21"/>
  <c r="Q46" i="21"/>
  <c r="P46" i="21"/>
  <c r="O46" i="21"/>
  <c r="Q40" i="21"/>
  <c r="P40" i="21"/>
  <c r="O40" i="21"/>
  <c r="Q39" i="21"/>
  <c r="P39" i="21"/>
  <c r="O39" i="21"/>
  <c r="Q33" i="21"/>
  <c r="P33" i="21"/>
  <c r="O33" i="21"/>
  <c r="Q32" i="21"/>
  <c r="P32" i="21"/>
  <c r="O32" i="21"/>
  <c r="O34" i="21" s="1"/>
  <c r="Q26" i="21"/>
  <c r="P26" i="21"/>
  <c r="O26" i="21"/>
  <c r="Q25" i="21"/>
  <c r="Q27" i="21" s="1"/>
  <c r="P25" i="21"/>
  <c r="O25" i="21"/>
  <c r="Q19" i="21"/>
  <c r="P19" i="21"/>
  <c r="O19" i="21"/>
  <c r="Q18" i="21"/>
  <c r="Q20" i="21" s="1"/>
  <c r="P18" i="21"/>
  <c r="O18" i="21"/>
  <c r="O20" i="21" s="1"/>
  <c r="P12" i="21"/>
  <c r="Q12" i="21"/>
  <c r="O12" i="21"/>
  <c r="O11" i="21"/>
  <c r="P11" i="21"/>
  <c r="Q11" i="21"/>
  <c r="P27" i="21" l="1"/>
  <c r="P55" i="21"/>
  <c r="P76" i="21"/>
  <c r="P125" i="21"/>
  <c r="P83" i="21"/>
  <c r="Q55" i="21"/>
  <c r="O48" i="21"/>
  <c r="O41" i="21"/>
  <c r="O27" i="21"/>
  <c r="O55" i="21"/>
  <c r="O62" i="21"/>
  <c r="O69" i="21"/>
  <c r="P20" i="21"/>
  <c r="P34" i="21"/>
  <c r="P41" i="21"/>
  <c r="P69" i="21"/>
  <c r="O83" i="21"/>
  <c r="O125" i="21"/>
  <c r="R88" i="21"/>
  <c r="O88" i="21"/>
  <c r="O90" i="21" s="1"/>
  <c r="T95" i="21"/>
  <c r="Q95" i="21"/>
  <c r="Q97" i="21" s="1"/>
  <c r="R109" i="21"/>
  <c r="O109" i="21"/>
  <c r="T110" i="21"/>
  <c r="Q110" i="21"/>
  <c r="R116" i="21"/>
  <c r="O116" i="21"/>
  <c r="T117" i="21"/>
  <c r="Q117" i="21"/>
  <c r="R102" i="21"/>
  <c r="O102" i="21"/>
  <c r="T103" i="21"/>
  <c r="Q103" i="21"/>
  <c r="Q34" i="21"/>
  <c r="S88" i="21"/>
  <c r="P88" i="21"/>
  <c r="P90" i="21" s="1"/>
  <c r="S109" i="21"/>
  <c r="P109" i="21"/>
  <c r="S116" i="21"/>
  <c r="P116" i="21"/>
  <c r="S102" i="21"/>
  <c r="P102" i="21"/>
  <c r="P48" i="21"/>
  <c r="T88" i="21"/>
  <c r="Q88" i="21"/>
  <c r="Q90" i="21" s="1"/>
  <c r="R95" i="21"/>
  <c r="O95" i="21"/>
  <c r="O97" i="21" s="1"/>
  <c r="T109" i="21"/>
  <c r="Q109" i="21"/>
  <c r="R110" i="21"/>
  <c r="O110" i="21"/>
  <c r="T116" i="21"/>
  <c r="Q116" i="21"/>
  <c r="R117" i="21"/>
  <c r="O117" i="21"/>
  <c r="T102" i="21"/>
  <c r="T104" i="21" s="1"/>
  <c r="Q102" i="21"/>
  <c r="Q104" i="21" s="1"/>
  <c r="R103" i="21"/>
  <c r="O103" i="21"/>
  <c r="Q41" i="21"/>
  <c r="Q48" i="21"/>
  <c r="Q69" i="21"/>
  <c r="Q76" i="21"/>
  <c r="S95" i="21"/>
  <c r="P95" i="21"/>
  <c r="P97" i="21" s="1"/>
  <c r="S110" i="21"/>
  <c r="P110" i="21"/>
  <c r="S117" i="21"/>
  <c r="P117" i="21"/>
  <c r="S103" i="21"/>
  <c r="P103" i="21"/>
  <c r="Q125" i="21"/>
  <c r="P13" i="21"/>
  <c r="R97" i="21" l="1"/>
  <c r="T90" i="21"/>
  <c r="T97" i="21"/>
  <c r="T118" i="21"/>
  <c r="S90" i="21"/>
  <c r="R90" i="21"/>
  <c r="S97" i="21"/>
  <c r="P118" i="21"/>
  <c r="S111" i="21"/>
  <c r="S104" i="21"/>
  <c r="P111" i="21"/>
  <c r="T111" i="21"/>
  <c r="P104" i="21"/>
  <c r="Q111" i="21"/>
  <c r="S118" i="21"/>
  <c r="O104" i="21"/>
  <c r="O118" i="21"/>
  <c r="O111" i="21"/>
  <c r="R104" i="21"/>
  <c r="R118" i="21"/>
  <c r="R111" i="21"/>
  <c r="Q118" i="21"/>
  <c r="O13" i="21"/>
  <c r="Q13" i="21"/>
  <c r="W91" i="21" l="1"/>
  <c r="W92" i="21"/>
  <c r="W95" i="21" s="1"/>
  <c r="U92" i="21"/>
  <c r="U91" i="21"/>
  <c r="W7" i="21"/>
  <c r="W8" i="21"/>
  <c r="W11" i="21" s="1"/>
  <c r="W9" i="21"/>
  <c r="W10" i="21"/>
  <c r="W12" i="21" s="1"/>
  <c r="AD45" i="35"/>
  <c r="AD46" i="35"/>
  <c r="AD47" i="35"/>
  <c r="AD48" i="35"/>
  <c r="AD49" i="35"/>
  <c r="AD50" i="35"/>
  <c r="AD51" i="35"/>
  <c r="AD52" i="35"/>
  <c r="AD53" i="35"/>
  <c r="AD44" i="35"/>
  <c r="A53" i="35"/>
  <c r="A47" i="35"/>
  <c r="A46" i="35"/>
  <c r="A45" i="35"/>
  <c r="AI91" i="21" l="1"/>
  <c r="AJ91" i="21"/>
  <c r="AH91" i="21"/>
  <c r="U95" i="21"/>
  <c r="AH92" i="21"/>
  <c r="AH95" i="21" s="1"/>
  <c r="AI92" i="21"/>
  <c r="AI95" i="21" s="1"/>
  <c r="AJ92" i="21"/>
  <c r="AJ95" i="21" s="1"/>
  <c r="H21" i="47"/>
  <c r="I38" i="39"/>
  <c r="I76" i="40"/>
  <c r="U54" i="39"/>
  <c r="V5" i="39"/>
  <c r="N33" i="40"/>
  <c r="F92" i="39"/>
  <c r="F27" i="43"/>
  <c r="AA45" i="40"/>
  <c r="G17" i="43"/>
  <c r="U68" i="39"/>
  <c r="T50" i="40"/>
  <c r="U65" i="43"/>
  <c r="K50" i="29"/>
  <c r="H97" i="43"/>
  <c r="I28" i="29"/>
  <c r="G74" i="32"/>
  <c r="AA105" i="32"/>
  <c r="V47" i="39"/>
  <c r="H67" i="32"/>
  <c r="G222" i="27"/>
  <c r="N87" i="39"/>
  <c r="S17" i="40"/>
  <c r="G28" i="40"/>
  <c r="N77" i="43"/>
  <c r="Y50" i="32"/>
  <c r="G14" i="39"/>
  <c r="S39" i="40"/>
  <c r="I54" i="29"/>
  <c r="U51" i="43"/>
  <c r="H102" i="39"/>
  <c r="T51" i="43"/>
  <c r="T32" i="39"/>
  <c r="N42" i="32"/>
  <c r="F74" i="39"/>
  <c r="I97" i="43"/>
  <c r="N60" i="32"/>
  <c r="AA44" i="40"/>
  <c r="I38" i="43"/>
  <c r="S223" i="27"/>
  <c r="T11" i="43"/>
  <c r="S54" i="39"/>
  <c r="U100" i="32"/>
  <c r="U19" i="39"/>
  <c r="U49" i="35"/>
  <c r="BW58" i="29"/>
  <c r="N90" i="32"/>
  <c r="H73" i="32"/>
  <c r="AD8" i="10"/>
  <c r="G81" i="43"/>
  <c r="AA47" i="35"/>
  <c r="BW55" i="29"/>
  <c r="D349" i="44"/>
  <c r="H16" i="43"/>
  <c r="T25" i="32"/>
  <c r="N5" i="43"/>
  <c r="H27" i="32"/>
  <c r="G32" i="39"/>
  <c r="V75" i="32"/>
  <c r="F37" i="43"/>
  <c r="S63" i="43"/>
  <c r="T79" i="43"/>
  <c r="I147" i="27"/>
  <c r="T49" i="40"/>
  <c r="F60" i="39"/>
  <c r="F15" i="40"/>
  <c r="F90" i="40"/>
  <c r="U77" i="40"/>
  <c r="I226" i="27"/>
  <c r="N98" i="32"/>
  <c r="J29" i="29"/>
  <c r="N93" i="32"/>
  <c r="AA93" i="43"/>
  <c r="S80" i="43"/>
  <c r="AA81" i="43"/>
  <c r="U69" i="39"/>
  <c r="N45" i="39"/>
  <c r="S50" i="40"/>
  <c r="V28" i="40"/>
  <c r="U73" i="39"/>
  <c r="H93" i="39"/>
  <c r="AB230" i="27"/>
  <c r="U49" i="40"/>
  <c r="J63" i="29"/>
  <c r="H98" i="39"/>
  <c r="G39" i="32"/>
  <c r="S75" i="39"/>
  <c r="V55" i="40"/>
  <c r="S73" i="32"/>
  <c r="H33" i="40"/>
  <c r="T37" i="43"/>
  <c r="T11" i="40"/>
  <c r="N70" i="43"/>
  <c r="W219" i="27"/>
  <c r="I22" i="43"/>
  <c r="S92" i="39"/>
  <c r="V5" i="32"/>
  <c r="AA11" i="43"/>
  <c r="E157" i="27"/>
  <c r="F50" i="40"/>
  <c r="W146" i="27"/>
  <c r="AA102" i="39"/>
  <c r="H38" i="43"/>
  <c r="F106" i="32"/>
  <c r="AA40" i="39"/>
  <c r="T27" i="39"/>
  <c r="U98" i="39"/>
  <c r="AA88" i="43"/>
  <c r="BV63" i="29"/>
  <c r="T50" i="32"/>
  <c r="U92" i="39"/>
  <c r="H90" i="40"/>
  <c r="I41" i="32"/>
  <c r="S52" i="39"/>
  <c r="N100" i="32"/>
  <c r="F51" i="43"/>
  <c r="N57" i="40"/>
  <c r="G45" i="43"/>
  <c r="I64" i="43"/>
  <c r="G49" i="35"/>
  <c r="G218" i="27"/>
  <c r="S347" i="44"/>
  <c r="H226" i="27"/>
  <c r="S38" i="32"/>
  <c r="N49" i="32"/>
  <c r="V40" i="40"/>
  <c r="N226" i="27"/>
  <c r="S76" i="40"/>
  <c r="V77" i="40"/>
  <c r="H105" i="32"/>
  <c r="T33" i="40"/>
  <c r="G69" i="39"/>
  <c r="N73" i="39"/>
  <c r="I71" i="40"/>
  <c r="I67" i="39"/>
  <c r="I91" i="40"/>
  <c r="R47" i="35"/>
  <c r="I83" i="40"/>
  <c r="T45" i="40"/>
  <c r="I218" i="27"/>
  <c r="U153" i="27"/>
  <c r="V154" i="27"/>
  <c r="U82" i="32"/>
  <c r="BR40" i="29"/>
  <c r="BV28" i="29"/>
  <c r="H41" i="32"/>
  <c r="H217" i="27"/>
  <c r="V94" i="43"/>
  <c r="V45" i="39"/>
  <c r="F97" i="43"/>
  <c r="Z221" i="27"/>
  <c r="S21" i="32"/>
  <c r="G143" i="27"/>
  <c r="G158" i="27"/>
  <c r="BV60" i="29"/>
  <c r="G55" i="39"/>
  <c r="N92" i="32"/>
  <c r="AA92" i="32"/>
  <c r="F28" i="43"/>
  <c r="N10" i="43"/>
  <c r="N56" i="40"/>
  <c r="H92" i="40"/>
  <c r="V10" i="43"/>
  <c r="BQ30" i="29"/>
  <c r="H27" i="40"/>
  <c r="N54" i="32"/>
  <c r="S62" i="40"/>
  <c r="S151" i="27"/>
  <c r="V86" i="40"/>
  <c r="T56" i="43"/>
  <c r="U154" i="27"/>
  <c r="V27" i="43"/>
  <c r="N23" i="43"/>
  <c r="S93" i="32"/>
  <c r="G92" i="39"/>
  <c r="G68" i="32"/>
  <c r="S72" i="32"/>
  <c r="S39" i="32"/>
  <c r="U23" i="39"/>
  <c r="H87" i="39"/>
  <c r="I73" i="32"/>
  <c r="G231" i="27"/>
  <c r="S55" i="40"/>
  <c r="H37" i="32"/>
  <c r="G62" i="43"/>
  <c r="U156" i="27"/>
  <c r="I39" i="29"/>
  <c r="S85" i="39"/>
  <c r="G59" i="39"/>
  <c r="L40" i="29"/>
  <c r="D50" i="35"/>
  <c r="H24" i="39"/>
  <c r="T7" i="10"/>
  <c r="T81" i="32"/>
  <c r="G38" i="43"/>
  <c r="H84" i="40"/>
  <c r="AC29" i="37"/>
  <c r="I50" i="29"/>
  <c r="F27" i="32"/>
  <c r="AA49" i="43"/>
  <c r="H74" i="39"/>
  <c r="V63" i="40"/>
  <c r="U49" i="32"/>
  <c r="W28" i="37"/>
  <c r="G77" i="39"/>
  <c r="F73" i="43"/>
  <c r="AA62" i="40"/>
  <c r="V63" i="43"/>
  <c r="H95" i="43"/>
  <c r="U86" i="40"/>
  <c r="F104" i="32"/>
  <c r="U45" i="43"/>
  <c r="U11" i="43"/>
  <c r="F118" i="32"/>
  <c r="T79" i="40"/>
  <c r="V32" i="39"/>
  <c r="U21" i="43"/>
  <c r="U94" i="43"/>
  <c r="T79" i="32"/>
  <c r="H95" i="40"/>
  <c r="S80" i="32"/>
  <c r="G18" i="32"/>
  <c r="I84" i="40"/>
  <c r="T8" i="10"/>
  <c r="I59" i="39"/>
  <c r="G153" i="27"/>
  <c r="E52" i="25"/>
  <c r="BV53" i="29"/>
  <c r="I14" i="32"/>
  <c r="F54" i="39"/>
  <c r="G95" i="40"/>
  <c r="U48" i="39"/>
  <c r="T86" i="43"/>
  <c r="AA7" i="39"/>
  <c r="E220" i="27"/>
  <c r="V67" i="39"/>
  <c r="I40" i="39"/>
  <c r="AA68" i="32"/>
  <c r="AA74" i="32"/>
  <c r="N27" i="40"/>
  <c r="I78" i="43"/>
  <c r="T49" i="32"/>
  <c r="V85" i="32"/>
  <c r="I7" i="32"/>
  <c r="T72" i="43"/>
  <c r="N112" i="32"/>
  <c r="N106" i="32"/>
  <c r="F50" i="43"/>
  <c r="V34" i="32"/>
  <c r="H8" i="10"/>
  <c r="N84" i="40"/>
  <c r="G11" i="43"/>
  <c r="AA17" i="40"/>
  <c r="U143" i="27"/>
  <c r="T98" i="39"/>
  <c r="AA33" i="43"/>
  <c r="U6" i="39"/>
  <c r="D45" i="35"/>
  <c r="J32" i="29"/>
  <c r="H40" i="40"/>
  <c r="BQ64" i="29"/>
  <c r="F32" i="39"/>
  <c r="AA85" i="40"/>
  <c r="N27" i="43"/>
  <c r="H85" i="40"/>
  <c r="R46" i="35"/>
  <c r="V27" i="39"/>
  <c r="V84" i="40"/>
  <c r="U95" i="43"/>
  <c r="I63" i="29"/>
  <c r="Y42" i="32"/>
  <c r="G32" i="32"/>
  <c r="I94" i="32"/>
  <c r="N63" i="40"/>
  <c r="T92" i="32"/>
  <c r="S5" i="32"/>
  <c r="F42" i="32"/>
  <c r="H18" i="32"/>
  <c r="N91" i="40"/>
  <c r="J37" i="29"/>
  <c r="AB232" i="27"/>
  <c r="V148" i="27"/>
  <c r="T33" i="43"/>
  <c r="H77" i="40"/>
  <c r="G61" i="39"/>
  <c r="G51" i="35"/>
  <c r="S27" i="39"/>
  <c r="T57" i="43"/>
  <c r="F105" i="32"/>
  <c r="T74" i="39"/>
  <c r="U52" i="39"/>
  <c r="F62" i="39"/>
  <c r="T23" i="40"/>
  <c r="W349" i="44"/>
  <c r="U91" i="40"/>
  <c r="E230" i="27"/>
  <c r="G348" i="44"/>
  <c r="N74" i="32"/>
  <c r="N58" i="32"/>
  <c r="V96" i="43"/>
  <c r="I88" i="43"/>
  <c r="K52" i="29"/>
  <c r="F68" i="39"/>
  <c r="BW56" i="29"/>
  <c r="BQ39" i="29"/>
  <c r="AA85" i="39"/>
  <c r="I68" i="39"/>
  <c r="I66" i="32"/>
  <c r="U105" i="32"/>
  <c r="G21" i="32"/>
  <c r="AA87" i="39"/>
  <c r="T5" i="40"/>
  <c r="D49" i="35"/>
  <c r="U220" i="27"/>
  <c r="F28" i="37"/>
  <c r="H44" i="40"/>
  <c r="S83" i="32"/>
  <c r="AA40" i="40"/>
  <c r="S38" i="40"/>
  <c r="BQ40" i="29"/>
  <c r="I92" i="39"/>
  <c r="W218" i="27"/>
  <c r="S55" i="39"/>
  <c r="BW51" i="29"/>
  <c r="U46" i="35"/>
  <c r="AB144" i="27"/>
  <c r="U99" i="32"/>
  <c r="K33" i="29"/>
  <c r="U28" i="32"/>
  <c r="G88" i="43"/>
  <c r="H90" i="32"/>
  <c r="H223" i="27"/>
  <c r="T54" i="40"/>
  <c r="F7" i="39"/>
  <c r="S62" i="39"/>
  <c r="D7" i="10"/>
  <c r="N38" i="40"/>
  <c r="T10" i="43"/>
  <c r="U79" i="40"/>
  <c r="V158" i="27"/>
  <c r="I117" i="32"/>
  <c r="H63" i="43"/>
  <c r="T24" i="39"/>
  <c r="AA32" i="39"/>
  <c r="H52" i="25"/>
  <c r="T27" i="40"/>
  <c r="T17" i="40"/>
  <c r="V54" i="40"/>
  <c r="H55" i="43"/>
  <c r="G90" i="40"/>
  <c r="F34" i="39"/>
  <c r="I66" i="39"/>
  <c r="T17" i="43"/>
  <c r="O60" i="25"/>
  <c r="F113" i="32"/>
  <c r="T99" i="32"/>
  <c r="T64" i="40"/>
  <c r="V50" i="32"/>
  <c r="H75" i="32"/>
  <c r="I25" i="39"/>
  <c r="F97" i="39"/>
  <c r="T47" i="39"/>
  <c r="V7" i="10"/>
  <c r="AA10" i="40"/>
  <c r="I77" i="40"/>
  <c r="F20" i="47"/>
  <c r="G71" i="40"/>
  <c r="I30" i="29"/>
  <c r="V59" i="39"/>
  <c r="N118" i="32"/>
  <c r="T32" i="32"/>
  <c r="H28" i="37"/>
  <c r="H5" i="43"/>
  <c r="U72" i="40"/>
  <c r="I227" i="27"/>
  <c r="I68" i="32"/>
  <c r="L34" i="29"/>
  <c r="AA29" i="43"/>
  <c r="H98" i="32"/>
  <c r="F38" i="43"/>
  <c r="U95" i="40"/>
  <c r="H78" i="39"/>
  <c r="I31" i="39"/>
  <c r="BU64" i="29"/>
  <c r="AA79" i="32"/>
  <c r="T94" i="32"/>
  <c r="AA15" i="40"/>
  <c r="H51" i="43"/>
  <c r="S73" i="43"/>
  <c r="V52" i="39"/>
  <c r="G34" i="39"/>
  <c r="T59" i="32"/>
  <c r="S71" i="40"/>
  <c r="V10" i="40"/>
  <c r="G70" i="43"/>
  <c r="H99" i="32"/>
  <c r="F58" i="43"/>
  <c r="I20" i="39"/>
  <c r="T112" i="32"/>
  <c r="U61" i="40"/>
  <c r="U221" i="27"/>
  <c r="U80" i="32"/>
  <c r="H79" i="32"/>
  <c r="V95" i="43"/>
  <c r="V78" i="43"/>
  <c r="T39" i="40"/>
  <c r="S220" i="27"/>
  <c r="S94" i="32"/>
  <c r="U45" i="39"/>
  <c r="G107" i="32"/>
  <c r="U37" i="32"/>
  <c r="G64" i="43"/>
  <c r="N19" i="32"/>
  <c r="G10" i="43"/>
  <c r="N55" i="40"/>
  <c r="AA98" i="39"/>
  <c r="G95" i="43"/>
  <c r="G57" i="43"/>
  <c r="AA95" i="40"/>
  <c r="N15" i="40"/>
  <c r="V17" i="40"/>
  <c r="V37" i="43"/>
  <c r="V29" i="43"/>
  <c r="N86" i="40"/>
  <c r="T86" i="40"/>
  <c r="S28" i="37"/>
  <c r="N105" i="32"/>
  <c r="G58" i="43"/>
  <c r="F69" i="40"/>
  <c r="V58" i="43"/>
  <c r="V97" i="39"/>
  <c r="U35" i="32"/>
  <c r="H73" i="39"/>
  <c r="H107" i="32"/>
  <c r="U51" i="35"/>
  <c r="AA22" i="40"/>
  <c r="V57" i="40"/>
  <c r="AA113" i="32"/>
  <c r="I232" i="27"/>
  <c r="S106" i="32"/>
  <c r="U62" i="40"/>
  <c r="V64" i="40"/>
  <c r="J60" i="29"/>
  <c r="N60" i="39"/>
  <c r="U92" i="43"/>
  <c r="T90" i="32"/>
  <c r="S72" i="43"/>
  <c r="T42" i="32"/>
  <c r="M45" i="35"/>
  <c r="BV52" i="29"/>
  <c r="T70" i="43"/>
  <c r="N72" i="32"/>
  <c r="T21" i="43"/>
  <c r="U20" i="39"/>
  <c r="V46" i="35"/>
  <c r="H72" i="40"/>
  <c r="N57" i="43"/>
  <c r="BU37" i="29"/>
  <c r="N72" i="40"/>
  <c r="I64" i="29"/>
  <c r="F74" i="32"/>
  <c r="AA49" i="40"/>
  <c r="H47" i="32"/>
  <c r="AA73" i="43"/>
  <c r="I92" i="43"/>
  <c r="I100" i="32"/>
  <c r="S83" i="40"/>
  <c r="G98" i="39"/>
  <c r="W221" i="27"/>
  <c r="I40" i="29"/>
  <c r="G76" i="39"/>
  <c r="I22" i="40"/>
  <c r="I57" i="40"/>
  <c r="I83" i="32"/>
  <c r="H23" i="32"/>
  <c r="U27" i="32"/>
  <c r="T62" i="39"/>
  <c r="F17" i="43"/>
  <c r="Y28" i="32"/>
  <c r="G47" i="32"/>
  <c r="H19" i="32"/>
  <c r="F33" i="39"/>
  <c r="I32" i="29"/>
  <c r="AA13" i="39"/>
  <c r="F17" i="40"/>
  <c r="U50" i="32"/>
  <c r="U6" i="40"/>
  <c r="V107" i="32"/>
  <c r="U152" i="27"/>
  <c r="N147" i="27"/>
  <c r="G47" i="35"/>
  <c r="G144" i="27"/>
  <c r="G58" i="32"/>
  <c r="N73" i="32"/>
  <c r="S72" i="40"/>
  <c r="N49" i="43"/>
  <c r="F38" i="32"/>
  <c r="H78" i="40"/>
  <c r="F47" i="39"/>
  <c r="U217" i="27"/>
  <c r="AA41" i="32"/>
  <c r="H77" i="43"/>
  <c r="V7" i="39"/>
  <c r="G92" i="43"/>
  <c r="F11" i="43"/>
  <c r="S63" i="40"/>
  <c r="V37" i="40"/>
  <c r="V93" i="32"/>
  <c r="G21" i="47"/>
  <c r="H79" i="43"/>
  <c r="BV27" i="29"/>
  <c r="F5" i="32"/>
  <c r="T45" i="35"/>
  <c r="S100" i="32"/>
  <c r="I217" i="27"/>
  <c r="S77" i="39"/>
  <c r="K53" i="29"/>
  <c r="G79" i="32"/>
  <c r="G65" i="32"/>
  <c r="S222" i="27"/>
  <c r="N61" i="32"/>
  <c r="V118" i="32"/>
  <c r="I11" i="40"/>
  <c r="F13" i="39"/>
  <c r="U231" i="27"/>
  <c r="H76" i="39"/>
  <c r="AA67" i="32"/>
  <c r="N81" i="32"/>
  <c r="Y63" i="40"/>
  <c r="G29" i="43"/>
  <c r="R49" i="35"/>
  <c r="V78" i="40"/>
  <c r="U69" i="40"/>
  <c r="F99" i="32"/>
  <c r="V75" i="39"/>
  <c r="F70" i="40"/>
  <c r="V73" i="43"/>
  <c r="U38" i="32"/>
  <c r="S84" i="40"/>
  <c r="N13" i="32"/>
  <c r="U56" i="40"/>
  <c r="V33" i="39"/>
  <c r="T14" i="32"/>
  <c r="H94" i="32"/>
  <c r="AA21" i="40"/>
  <c r="N50" i="32"/>
  <c r="AA93" i="32"/>
  <c r="T93" i="32"/>
  <c r="V51" i="43"/>
  <c r="T92" i="43"/>
  <c r="I107" i="32"/>
  <c r="H157" i="27"/>
  <c r="F25" i="32"/>
  <c r="S38" i="39"/>
  <c r="J58" i="29"/>
  <c r="U84" i="39"/>
  <c r="AA44" i="35"/>
  <c r="V77" i="39"/>
  <c r="AA37" i="32"/>
  <c r="I84" i="39"/>
  <c r="I56" i="43"/>
  <c r="D6" i="10"/>
  <c r="H50" i="32"/>
  <c r="T94" i="43"/>
  <c r="U27" i="40"/>
  <c r="N56" i="43"/>
  <c r="I225" i="27"/>
  <c r="H68" i="40"/>
  <c r="S97" i="43"/>
  <c r="V50" i="40"/>
  <c r="J26" i="29"/>
  <c r="H117" i="32"/>
  <c r="V48" i="39"/>
  <c r="I34" i="39"/>
  <c r="BV34" i="29"/>
  <c r="S23" i="32"/>
  <c r="N61" i="40"/>
  <c r="H54" i="40"/>
  <c r="T44" i="35"/>
  <c r="F102" i="39"/>
  <c r="W348" i="44"/>
  <c r="V87" i="43"/>
  <c r="N12" i="32"/>
  <c r="AA27" i="39"/>
  <c r="H44" i="39"/>
  <c r="S78" i="39"/>
  <c r="U62" i="39"/>
  <c r="S154" i="27"/>
  <c r="BR39" i="29"/>
  <c r="T92" i="39"/>
  <c r="V74" i="39"/>
  <c r="U62" i="43"/>
  <c r="U71" i="40"/>
  <c r="V77" i="43"/>
  <c r="E145" i="27"/>
  <c r="X6" i="10"/>
  <c r="N45" i="40"/>
  <c r="G21" i="39"/>
  <c r="AA49" i="32"/>
  <c r="AA75" i="32"/>
  <c r="L27" i="29"/>
  <c r="F38" i="40"/>
  <c r="S21" i="39"/>
  <c r="S86" i="39"/>
  <c r="U86" i="39"/>
  <c r="S94" i="40"/>
  <c r="AB220" i="27"/>
  <c r="H86" i="40"/>
  <c r="V20" i="39"/>
  <c r="S113" i="32"/>
  <c r="N38" i="43"/>
  <c r="I23" i="40"/>
  <c r="AA78" i="39"/>
  <c r="S12" i="39"/>
  <c r="T65" i="32"/>
  <c r="U40" i="40"/>
  <c r="U98" i="32"/>
  <c r="AB153" i="27"/>
  <c r="AA6" i="39"/>
  <c r="V347" i="44"/>
  <c r="AA99" i="32"/>
  <c r="S14" i="32"/>
  <c r="G112" i="32"/>
  <c r="T71" i="43"/>
  <c r="F14" i="32"/>
  <c r="AC347" i="44"/>
  <c r="H56" i="43"/>
  <c r="N40" i="40"/>
  <c r="AA22" i="43"/>
  <c r="V46" i="32"/>
  <c r="N16" i="43"/>
  <c r="I37" i="43"/>
  <c r="I45" i="40"/>
  <c r="S28" i="43"/>
  <c r="AA42" i="32"/>
  <c r="AB152" i="27"/>
  <c r="U79" i="43"/>
  <c r="F34" i="32"/>
  <c r="T85" i="39"/>
  <c r="U146" i="27"/>
  <c r="S217" i="27"/>
  <c r="H81" i="43"/>
  <c r="F23" i="43"/>
  <c r="I56" i="29"/>
  <c r="T53" i="39"/>
  <c r="S27" i="32"/>
  <c r="H93" i="32"/>
  <c r="G24" i="39"/>
  <c r="V62" i="43"/>
  <c r="G227" i="27"/>
  <c r="N15" i="43"/>
  <c r="AC27" i="37"/>
  <c r="I94" i="43"/>
  <c r="N96" i="43"/>
  <c r="I57" i="43"/>
  <c r="S40" i="40"/>
  <c r="U87" i="39"/>
  <c r="H64" i="25"/>
  <c r="H108" i="32"/>
  <c r="V65" i="32"/>
  <c r="F78" i="40"/>
  <c r="G152" i="27"/>
  <c r="N21" i="39"/>
  <c r="I97" i="39"/>
  <c r="U55" i="40"/>
  <c r="U75" i="39"/>
  <c r="H106" i="32"/>
  <c r="T19" i="32"/>
  <c r="F12" i="32"/>
  <c r="BW63" i="29"/>
  <c r="T27" i="32"/>
  <c r="N71" i="40"/>
  <c r="I27" i="39"/>
  <c r="F349" i="44"/>
  <c r="AA57" i="43"/>
  <c r="AC348" i="44"/>
  <c r="H83" i="32"/>
  <c r="N34" i="32"/>
  <c r="F77" i="43"/>
  <c r="I49" i="32"/>
  <c r="V227" i="27"/>
  <c r="AA13" i="32"/>
  <c r="N95" i="40"/>
  <c r="H93" i="40"/>
  <c r="F28" i="40"/>
  <c r="V23" i="39"/>
  <c r="S92" i="32"/>
  <c r="T69" i="40"/>
  <c r="V113" i="32"/>
  <c r="AA7" i="32"/>
  <c r="T92" i="40"/>
  <c r="V86" i="43"/>
  <c r="AA64" i="43"/>
  <c r="G16" i="43"/>
  <c r="N69" i="43"/>
  <c r="I102" i="39"/>
  <c r="I96" i="43"/>
  <c r="I79" i="39"/>
  <c r="V28" i="37"/>
  <c r="T50" i="43"/>
  <c r="N45" i="43"/>
  <c r="AA50" i="40"/>
  <c r="N143" i="27"/>
  <c r="S95" i="40"/>
  <c r="V14" i="32"/>
  <c r="T61" i="32"/>
  <c r="S28" i="40"/>
  <c r="F40" i="39"/>
  <c r="G42" i="32"/>
  <c r="W152" i="27"/>
  <c r="H8" i="32"/>
  <c r="AA27" i="40"/>
  <c r="I49" i="43"/>
  <c r="V143" i="27"/>
  <c r="G5" i="40"/>
  <c r="S81" i="32"/>
  <c r="T28" i="43"/>
  <c r="G63" i="40"/>
  <c r="T6" i="39"/>
  <c r="BW40" i="29"/>
  <c r="AA85" i="32"/>
  <c r="S144" i="27"/>
  <c r="I58" i="43"/>
  <c r="N86" i="39"/>
  <c r="AB227" i="27"/>
  <c r="F94" i="40"/>
  <c r="V24" i="32"/>
  <c r="BV29" i="29"/>
  <c r="S87" i="39"/>
  <c r="J33" i="29"/>
  <c r="V52" i="35"/>
  <c r="N113" i="32"/>
  <c r="H27" i="39"/>
  <c r="G88" i="39"/>
  <c r="G73" i="32"/>
  <c r="N7" i="10"/>
  <c r="F16" i="40"/>
  <c r="S103" i="39"/>
  <c r="I70" i="40"/>
  <c r="S86" i="43"/>
  <c r="V97" i="43"/>
  <c r="N157" i="27"/>
  <c r="F45" i="40"/>
  <c r="AA84" i="32"/>
  <c r="S71" i="43"/>
  <c r="U64" i="43"/>
  <c r="F92" i="40"/>
  <c r="N148" i="27"/>
  <c r="BV58" i="29"/>
  <c r="U53" i="39"/>
  <c r="G75" i="32"/>
  <c r="I73" i="43"/>
  <c r="AA16" i="43"/>
  <c r="T29" i="43"/>
  <c r="V49" i="43"/>
  <c r="F6" i="40"/>
  <c r="AA50" i="35"/>
  <c r="AA92" i="43"/>
  <c r="S69" i="39"/>
  <c r="V11" i="40"/>
  <c r="U84" i="40"/>
  <c r="U107" i="32"/>
  <c r="S64" i="40"/>
  <c r="H147" i="27"/>
  <c r="F33" i="40"/>
  <c r="V17" i="43"/>
  <c r="F46" i="32"/>
  <c r="S47" i="32"/>
  <c r="H37" i="40"/>
  <c r="K39" i="29"/>
  <c r="AA31" i="39"/>
  <c r="K30" i="29"/>
  <c r="V72" i="40"/>
  <c r="V22" i="40"/>
  <c r="V81" i="43"/>
  <c r="T10" i="40"/>
  <c r="F54" i="32"/>
  <c r="H64" i="43"/>
  <c r="V86" i="39"/>
  <c r="U73" i="32"/>
  <c r="T15" i="40"/>
  <c r="I12" i="32"/>
  <c r="N7" i="39"/>
  <c r="U63" i="43"/>
  <c r="H49" i="40"/>
  <c r="I54" i="25"/>
  <c r="V29" i="40"/>
  <c r="AA29" i="40"/>
  <c r="V50" i="43"/>
  <c r="S49" i="43"/>
  <c r="V34" i="39"/>
  <c r="V218" i="27"/>
  <c r="I34" i="29"/>
  <c r="AA46" i="32"/>
  <c r="E149" i="27"/>
  <c r="T88" i="43"/>
  <c r="V80" i="32"/>
  <c r="BU52" i="29"/>
  <c r="F79" i="32"/>
  <c r="N73" i="43"/>
  <c r="H61" i="39"/>
  <c r="G24" i="32"/>
  <c r="F77" i="40"/>
  <c r="G17" i="40"/>
  <c r="K36" i="29"/>
  <c r="V37" i="32"/>
  <c r="V93" i="40"/>
  <c r="H348" i="44"/>
  <c r="V33" i="43"/>
  <c r="V15" i="40"/>
  <c r="V79" i="43"/>
  <c r="I98" i="32"/>
  <c r="T58" i="43"/>
  <c r="AA77" i="43"/>
  <c r="T21" i="32"/>
  <c r="T35" i="32"/>
  <c r="U59" i="39"/>
  <c r="H51" i="35"/>
  <c r="D29" i="37"/>
  <c r="Z231" i="27"/>
  <c r="V6" i="32"/>
  <c r="S156" i="27"/>
  <c r="U29" i="37"/>
  <c r="I85" i="43"/>
  <c r="S15" i="43"/>
  <c r="I69" i="40"/>
  <c r="V68" i="40"/>
  <c r="H47" i="39"/>
  <c r="U347" i="44"/>
  <c r="I35" i="32"/>
  <c r="I85" i="32"/>
  <c r="T93" i="43"/>
  <c r="N8" i="10"/>
  <c r="S117" i="32"/>
  <c r="S219" i="27"/>
  <c r="G38" i="32"/>
  <c r="T46" i="35"/>
  <c r="T108" i="32"/>
  <c r="I221" i="27"/>
  <c r="I64" i="25"/>
  <c r="U65" i="32"/>
  <c r="T69" i="39"/>
  <c r="E221" i="27"/>
  <c r="S49" i="40"/>
  <c r="U44" i="35"/>
  <c r="H33" i="43"/>
  <c r="V61" i="32"/>
  <c r="T46" i="32"/>
  <c r="U32" i="32"/>
  <c r="N79" i="40"/>
  <c r="F81" i="32"/>
  <c r="U63" i="40"/>
  <c r="F85" i="43"/>
  <c r="U77" i="39"/>
  <c r="N28" i="37"/>
  <c r="AA50" i="32"/>
  <c r="U11" i="40"/>
  <c r="AB146" i="27"/>
  <c r="S35" i="32"/>
  <c r="V5" i="43"/>
  <c r="H49" i="32"/>
  <c r="H57" i="40"/>
  <c r="BU53" i="29"/>
  <c r="AA37" i="43"/>
  <c r="F39" i="40"/>
  <c r="N10" i="40"/>
  <c r="I86" i="40"/>
  <c r="G70" i="40"/>
  <c r="V23" i="43"/>
  <c r="G5" i="39"/>
  <c r="H9" i="10"/>
  <c r="BX29" i="29"/>
  <c r="S218" i="27"/>
  <c r="I85" i="39"/>
  <c r="V45" i="35"/>
  <c r="I55" i="39"/>
  <c r="V108" i="32"/>
  <c r="F41" i="32"/>
  <c r="T44" i="43"/>
  <c r="T91" i="32"/>
  <c r="G90" i="32"/>
  <c r="BQ63" i="29"/>
  <c r="BU51" i="29"/>
  <c r="G37" i="32"/>
  <c r="S11" i="40"/>
  <c r="F347" i="44"/>
  <c r="G146" i="27"/>
  <c r="G108" i="32"/>
  <c r="S75" i="32"/>
  <c r="H12" i="39"/>
  <c r="G20" i="32"/>
  <c r="S108" i="32"/>
  <c r="BV54" i="29"/>
  <c r="V22" i="32"/>
  <c r="AA86" i="39"/>
  <c r="AD9" i="10"/>
  <c r="E218" i="27"/>
  <c r="S85" i="32"/>
  <c r="AA58" i="43"/>
  <c r="T28" i="40"/>
  <c r="G41" i="32"/>
  <c r="I25" i="32"/>
  <c r="F49" i="40"/>
  <c r="F57" i="40"/>
  <c r="U93" i="39"/>
  <c r="U25" i="32"/>
  <c r="F13" i="32"/>
  <c r="I8" i="32"/>
  <c r="H74" i="32"/>
  <c r="T5" i="39"/>
  <c r="F93" i="32"/>
  <c r="S153" i="27"/>
  <c r="H36" i="39"/>
  <c r="F11" i="40"/>
  <c r="I32" i="32"/>
  <c r="V45" i="40"/>
  <c r="AA92" i="40"/>
  <c r="N347" i="44"/>
  <c r="U6" i="32"/>
  <c r="AA61" i="40"/>
  <c r="I60" i="32"/>
  <c r="AB147" i="27"/>
  <c r="U91" i="32"/>
  <c r="S66" i="39"/>
  <c r="AA69" i="39"/>
  <c r="U76" i="39"/>
  <c r="BU63" i="29"/>
  <c r="AB156" i="27"/>
  <c r="V348" i="44"/>
  <c r="U70" i="43"/>
  <c r="V66" i="39"/>
  <c r="R45" i="35"/>
  <c r="F91" i="40"/>
  <c r="AA58" i="32"/>
  <c r="I13" i="39"/>
  <c r="E55" i="25"/>
  <c r="N19" i="39"/>
  <c r="T6" i="32"/>
  <c r="F49" i="32"/>
  <c r="AA45" i="35"/>
  <c r="V92" i="32"/>
  <c r="T6" i="43"/>
  <c r="BU26" i="29"/>
  <c r="F93" i="39"/>
  <c r="N31" i="39"/>
  <c r="G225" i="27"/>
  <c r="T47" i="32"/>
  <c r="G103" i="39"/>
  <c r="BU32" i="29"/>
  <c r="F29" i="43"/>
  <c r="V146" i="27"/>
  <c r="W220" i="27"/>
  <c r="I55" i="40"/>
  <c r="I24" i="39"/>
  <c r="I18" i="39"/>
  <c r="S6" i="39"/>
  <c r="T44" i="39"/>
  <c r="I91" i="32"/>
  <c r="V23" i="40"/>
  <c r="I6" i="40"/>
  <c r="U33" i="39"/>
  <c r="H75" i="39"/>
  <c r="U6" i="43"/>
  <c r="G74" i="39"/>
  <c r="G59" i="32"/>
  <c r="G85" i="40"/>
  <c r="T39" i="32"/>
  <c r="G20" i="39"/>
  <c r="I50" i="40"/>
  <c r="I10" i="40"/>
  <c r="U73" i="43"/>
  <c r="H35" i="32"/>
  <c r="G27" i="32"/>
  <c r="AB223" i="27"/>
  <c r="W29" i="37"/>
  <c r="N80" i="32"/>
  <c r="AA87" i="43"/>
  <c r="S10" i="40"/>
  <c r="E227" i="27"/>
  <c r="AA39" i="43"/>
  <c r="I47" i="32"/>
  <c r="S148" i="27"/>
  <c r="G54" i="40"/>
  <c r="W143" i="27"/>
  <c r="V53" i="39"/>
  <c r="V231" i="27"/>
  <c r="N9" i="10"/>
  <c r="M47" i="35"/>
  <c r="N33" i="32"/>
  <c r="I6" i="32"/>
  <c r="H221" i="27"/>
  <c r="I15" i="43"/>
  <c r="AA85" i="43"/>
  <c r="H27" i="43"/>
  <c r="H55" i="25"/>
  <c r="AA55" i="40"/>
  <c r="AA18" i="39"/>
  <c r="S147" i="27"/>
  <c r="H80" i="32"/>
  <c r="U28" i="43"/>
  <c r="Y48" i="39"/>
  <c r="N23" i="32"/>
  <c r="G6" i="39"/>
  <c r="F5" i="39"/>
  <c r="G63" i="25"/>
  <c r="H77" i="39"/>
  <c r="K27" i="29"/>
  <c r="J31" i="29"/>
  <c r="S44" i="40"/>
  <c r="T85" i="40"/>
  <c r="F69" i="43"/>
  <c r="G67" i="39"/>
  <c r="Y50" i="35"/>
  <c r="F14" i="39"/>
  <c r="S59" i="39"/>
  <c r="D8" i="10"/>
  <c r="S7" i="32"/>
  <c r="V19" i="39"/>
  <c r="S348" i="44"/>
  <c r="G23" i="40"/>
  <c r="H58" i="43"/>
  <c r="T45" i="39"/>
  <c r="I38" i="40"/>
  <c r="V73" i="32"/>
  <c r="BW36" i="29"/>
  <c r="AA33" i="40"/>
  <c r="H25" i="39"/>
  <c r="AA347" i="44"/>
  <c r="AA79" i="39"/>
  <c r="S40" i="39"/>
  <c r="N50" i="43"/>
  <c r="N24" i="32"/>
  <c r="K60" i="29"/>
  <c r="U348" i="44"/>
  <c r="V74" i="32"/>
  <c r="T106" i="32"/>
  <c r="E231" i="27"/>
  <c r="H6" i="39"/>
  <c r="G349" i="44"/>
  <c r="AB225" i="27"/>
  <c r="I93" i="32"/>
  <c r="I231" i="27"/>
  <c r="U93" i="40"/>
  <c r="H17" i="40"/>
  <c r="T76" i="40"/>
  <c r="G73" i="43"/>
  <c r="BW60" i="29"/>
  <c r="I26" i="29"/>
  <c r="G25" i="32"/>
  <c r="V27" i="40"/>
  <c r="AA97" i="43"/>
  <c r="U37" i="43"/>
  <c r="F20" i="39"/>
  <c r="I58" i="29"/>
  <c r="N83" i="32"/>
  <c r="T49" i="43"/>
  <c r="S62" i="43"/>
  <c r="S90" i="40"/>
  <c r="N20" i="39"/>
  <c r="U64" i="40"/>
  <c r="H148" i="27"/>
  <c r="O51" i="25"/>
  <c r="V44" i="40"/>
  <c r="V70" i="40"/>
  <c r="G50" i="32"/>
  <c r="F33" i="32"/>
  <c r="S77" i="40"/>
  <c r="T50" i="35"/>
  <c r="R48" i="35"/>
  <c r="N84" i="32"/>
  <c r="W223" i="27"/>
  <c r="AA84" i="39"/>
  <c r="G56" i="40"/>
  <c r="S65" i="32"/>
  <c r="AA38" i="40"/>
  <c r="E219" i="27"/>
  <c r="T61" i="40"/>
  <c r="H32" i="39"/>
  <c r="K26" i="29"/>
  <c r="S55" i="43"/>
  <c r="H232" i="27"/>
  <c r="V149" i="27"/>
  <c r="I39" i="43"/>
  <c r="I90" i="32"/>
  <c r="AA98" i="32"/>
  <c r="T72" i="32"/>
  <c r="K40" i="29"/>
  <c r="U84" i="32"/>
  <c r="AA45" i="39"/>
  <c r="I75" i="32"/>
  <c r="S45" i="39"/>
  <c r="F38" i="39"/>
  <c r="AA79" i="43"/>
  <c r="H52" i="39"/>
  <c r="AA67" i="39"/>
  <c r="N6" i="10"/>
  <c r="V99" i="32"/>
  <c r="AA24" i="32"/>
  <c r="I79" i="40"/>
  <c r="F39" i="32"/>
  <c r="G98" i="32"/>
  <c r="V41" i="32"/>
  <c r="I5" i="32"/>
  <c r="T54" i="32"/>
  <c r="U87" i="43"/>
  <c r="S118" i="32"/>
  <c r="Y47" i="35"/>
  <c r="S87" i="43"/>
  <c r="G53" i="39"/>
  <c r="N67" i="39"/>
  <c r="F80" i="43"/>
  <c r="V62" i="39"/>
  <c r="N93" i="40"/>
  <c r="I81" i="32"/>
  <c r="AA53" i="39"/>
  <c r="G217" i="27"/>
  <c r="H219" i="27"/>
  <c r="I46" i="32"/>
  <c r="I77" i="43"/>
  <c r="L232" i="27"/>
  <c r="U74" i="39"/>
  <c r="N90" i="40"/>
  <c r="V79" i="40"/>
  <c r="AA59" i="39"/>
  <c r="I20" i="32"/>
  <c r="M44" i="35"/>
  <c r="G99" i="32"/>
  <c r="H85" i="43"/>
  <c r="G55" i="43"/>
  <c r="AA32" i="32"/>
  <c r="AA23" i="39"/>
  <c r="G5" i="32"/>
  <c r="S33" i="40"/>
  <c r="U22" i="40"/>
  <c r="V59" i="32"/>
  <c r="S33" i="39"/>
  <c r="AA28" i="43"/>
  <c r="H45" i="43"/>
  <c r="BW29" i="29"/>
  <c r="N53" i="39"/>
  <c r="V156" i="27"/>
  <c r="H28" i="32"/>
  <c r="T67" i="39"/>
  <c r="W149" i="27"/>
  <c r="N6" i="39"/>
  <c r="E146" i="27"/>
  <c r="E156" i="27"/>
  <c r="H22" i="39"/>
  <c r="N5" i="32"/>
  <c r="S79" i="43"/>
  <c r="S96" i="43"/>
  <c r="S145" i="27"/>
  <c r="H153" i="27"/>
  <c r="N14" i="32"/>
  <c r="BR54" i="29"/>
  <c r="U58" i="32"/>
  <c r="H23" i="40"/>
  <c r="W225" i="27"/>
  <c r="T95" i="40"/>
  <c r="S88" i="43"/>
  <c r="U39" i="43"/>
  <c r="H82" i="32"/>
  <c r="H59" i="32"/>
  <c r="N29" i="40"/>
  <c r="H29" i="40"/>
  <c r="F56" i="43"/>
  <c r="V49" i="40"/>
  <c r="U33" i="43"/>
  <c r="G23" i="43"/>
  <c r="H69" i="43"/>
  <c r="T19" i="39"/>
  <c r="N18" i="39"/>
  <c r="T68" i="39"/>
  <c r="F66" i="32"/>
  <c r="G33" i="40"/>
  <c r="Z158" i="27"/>
  <c r="I80" i="32"/>
  <c r="BU50" i="29"/>
  <c r="G154" i="27"/>
  <c r="I52" i="29"/>
  <c r="F63" i="43"/>
  <c r="Y85" i="40"/>
  <c r="N5" i="40"/>
  <c r="N64" i="43"/>
  <c r="U44" i="43"/>
  <c r="AA63" i="40"/>
  <c r="V32" i="32"/>
  <c r="AA6" i="43"/>
  <c r="I61" i="25"/>
  <c r="BW28" i="29"/>
  <c r="H68" i="39"/>
  <c r="I92" i="32"/>
  <c r="G93" i="40"/>
  <c r="T48" i="39"/>
  <c r="BR64" i="29"/>
  <c r="G37" i="39"/>
  <c r="G69" i="40"/>
  <c r="AA6" i="40"/>
  <c r="V68" i="32"/>
  <c r="V93" i="39"/>
  <c r="U55" i="39"/>
  <c r="I157" i="27"/>
  <c r="G23" i="39"/>
  <c r="I63" i="25"/>
  <c r="G61" i="25"/>
  <c r="AB151" i="27"/>
  <c r="V18" i="39"/>
  <c r="G84" i="32"/>
  <c r="T91" i="40"/>
  <c r="S20" i="39"/>
  <c r="F21" i="39"/>
  <c r="N152" i="27"/>
  <c r="K37" i="29"/>
  <c r="M51" i="35"/>
  <c r="AA28" i="40"/>
  <c r="F37" i="29"/>
  <c r="I108" i="32"/>
  <c r="AA27" i="32"/>
  <c r="G230" i="27"/>
  <c r="F21" i="32"/>
  <c r="G80" i="32"/>
  <c r="T22" i="40"/>
  <c r="G221" i="27"/>
  <c r="I219" i="27"/>
  <c r="I51" i="29"/>
  <c r="G96" i="43"/>
  <c r="T66" i="32"/>
  <c r="T77" i="40"/>
  <c r="G76" i="40"/>
  <c r="Y38" i="39"/>
  <c r="N65" i="32"/>
  <c r="G15" i="43"/>
  <c r="N219" i="27"/>
  <c r="T60" i="32"/>
  <c r="N11" i="40"/>
  <c r="S61" i="40"/>
  <c r="T73" i="43"/>
  <c r="I40" i="43"/>
  <c r="H38" i="32"/>
  <c r="H92" i="43"/>
  <c r="V21" i="43"/>
  <c r="K31" i="29"/>
  <c r="N153" i="27"/>
  <c r="AA90" i="40"/>
  <c r="N6" i="43"/>
  <c r="BW54" i="29"/>
  <c r="S22" i="43"/>
  <c r="T102" i="39"/>
  <c r="V39" i="32"/>
  <c r="BU27" i="29"/>
  <c r="I76" i="39"/>
  <c r="I6" i="43"/>
  <c r="H44" i="35"/>
  <c r="F24" i="39"/>
  <c r="V27" i="32"/>
  <c r="G92" i="40"/>
  <c r="AA112" i="32"/>
  <c r="I27" i="40"/>
  <c r="G18" i="39"/>
  <c r="S10" i="43"/>
  <c r="V16" i="43"/>
  <c r="N6" i="40"/>
  <c r="BV32" i="29"/>
  <c r="L36" i="29"/>
  <c r="W230" i="27"/>
  <c r="I24" i="32"/>
  <c r="G151" i="27"/>
  <c r="S76" i="39"/>
  <c r="N35" i="32"/>
  <c r="T24" i="32"/>
  <c r="AA82" i="32"/>
  <c r="U10" i="43"/>
  <c r="S88" i="39"/>
  <c r="Y57" i="40"/>
  <c r="F98" i="32"/>
  <c r="O55" i="25"/>
  <c r="T22" i="43"/>
  <c r="F20" i="32"/>
  <c r="Y25" i="32"/>
  <c r="S79" i="40"/>
  <c r="N67" i="32"/>
  <c r="V71" i="40"/>
  <c r="G156" i="27"/>
  <c r="H69" i="40"/>
  <c r="H92" i="32"/>
  <c r="U96" i="43"/>
  <c r="T87" i="43"/>
  <c r="T28" i="32"/>
  <c r="G48" i="35"/>
  <c r="V71" i="43"/>
  <c r="V225" i="27"/>
  <c r="V44" i="39"/>
  <c r="V106" i="32"/>
  <c r="H45" i="35"/>
  <c r="T37" i="40"/>
  <c r="U75" i="32"/>
  <c r="I50" i="32"/>
  <c r="AA47" i="32"/>
  <c r="N80" i="43"/>
  <c r="S6" i="43"/>
  <c r="AA106" i="32"/>
  <c r="N66" i="39"/>
  <c r="N349" i="44"/>
  <c r="J28" i="29"/>
  <c r="I39" i="40"/>
  <c r="BU28" i="29"/>
  <c r="S66" i="32"/>
  <c r="J54" i="29"/>
  <c r="S7" i="39"/>
  <c r="H93" i="43"/>
  <c r="G28" i="43"/>
  <c r="BW61" i="29"/>
  <c r="I72" i="43"/>
  <c r="I61" i="32"/>
  <c r="N17" i="40"/>
  <c r="N217" i="27"/>
  <c r="F76" i="40"/>
  <c r="N78" i="39"/>
  <c r="S18" i="39"/>
  <c r="N63" i="43"/>
  <c r="U77" i="43"/>
  <c r="F62" i="43"/>
  <c r="T104" i="32"/>
  <c r="V25" i="39"/>
  <c r="H97" i="39"/>
  <c r="AA97" i="39"/>
  <c r="BR30" i="29"/>
  <c r="V217" i="27"/>
  <c r="N222" i="27"/>
  <c r="S69" i="40"/>
  <c r="U70" i="40"/>
  <c r="T38" i="39"/>
  <c r="V151" i="27"/>
  <c r="I151" i="27"/>
  <c r="F40" i="43"/>
  <c r="G47" i="39"/>
  <c r="F12" i="39"/>
  <c r="AA40" i="43"/>
  <c r="O54" i="25"/>
  <c r="U81" i="43"/>
  <c r="X8" i="10"/>
  <c r="AA16" i="40"/>
  <c r="H21" i="40"/>
  <c r="H94" i="43"/>
  <c r="H54" i="25"/>
  <c r="F50" i="32"/>
  <c r="V7" i="32"/>
  <c r="V70" i="43"/>
  <c r="F93" i="40"/>
  <c r="BV31" i="29"/>
  <c r="AA25" i="32"/>
  <c r="F78" i="39"/>
  <c r="U16" i="43"/>
  <c r="N21" i="40"/>
  <c r="AA108" i="32"/>
  <c r="H72" i="32"/>
  <c r="V48" i="35"/>
  <c r="H347" i="44"/>
  <c r="H158" i="27"/>
  <c r="U50" i="43"/>
  <c r="S73" i="39"/>
  <c r="T31" i="39"/>
  <c r="F79" i="43"/>
  <c r="N93" i="43"/>
  <c r="T75" i="32"/>
  <c r="I5" i="43"/>
  <c r="AA83" i="32"/>
  <c r="U12" i="39"/>
  <c r="I81" i="43"/>
  <c r="F49" i="35"/>
  <c r="Z232" i="27"/>
  <c r="F48" i="39"/>
  <c r="H60" i="39"/>
  <c r="T13" i="32"/>
  <c r="Y62" i="39"/>
  <c r="S16" i="43"/>
  <c r="T29" i="40"/>
  <c r="V14" i="39"/>
  <c r="H32" i="32"/>
  <c r="I62" i="25"/>
  <c r="S51" i="43"/>
  <c r="W6" i="10"/>
  <c r="H25" i="32"/>
  <c r="AA94" i="40"/>
  <c r="R44" i="35"/>
  <c r="U103" i="39"/>
  <c r="W145" i="27"/>
  <c r="U232" i="27"/>
  <c r="I156" i="27"/>
  <c r="U53" i="35"/>
  <c r="AA94" i="32"/>
  <c r="T56" i="40"/>
  <c r="AA94" i="43"/>
  <c r="N59" i="39"/>
  <c r="I6" i="39"/>
  <c r="BV39" i="29"/>
  <c r="U81" i="32"/>
  <c r="T55" i="43"/>
  <c r="T55" i="39"/>
  <c r="S24" i="32"/>
  <c r="H23" i="39"/>
  <c r="G6" i="32"/>
  <c r="F27" i="37"/>
  <c r="N18" i="32"/>
  <c r="H19" i="39"/>
  <c r="G62" i="40"/>
  <c r="K29" i="29"/>
  <c r="H84" i="39"/>
  <c r="I21" i="40"/>
  <c r="AA70" i="43"/>
  <c r="BU56" i="29"/>
  <c r="J51" i="29"/>
  <c r="V55" i="39"/>
  <c r="V25" i="32"/>
  <c r="N33" i="43"/>
  <c r="F19" i="32"/>
  <c r="G113" i="32"/>
  <c r="S38" i="43"/>
  <c r="F79" i="40"/>
  <c r="H22" i="43"/>
  <c r="N32" i="39"/>
  <c r="AA35" i="32"/>
  <c r="U230" i="27"/>
  <c r="H14" i="32"/>
  <c r="U66" i="39"/>
  <c r="G50" i="43"/>
  <c r="N27" i="37"/>
  <c r="I222" i="27"/>
  <c r="H51" i="25"/>
  <c r="S15" i="40"/>
  <c r="V38" i="43"/>
  <c r="S85" i="40"/>
  <c r="H6" i="10"/>
  <c r="D30" i="37"/>
  <c r="W231" i="27"/>
  <c r="U61" i="32"/>
  <c r="N78" i="40"/>
  <c r="G54" i="39"/>
  <c r="G118" i="32"/>
  <c r="N225" i="27"/>
  <c r="N117" i="32"/>
  <c r="S49" i="32"/>
  <c r="N68" i="39"/>
  <c r="AA92" i="39"/>
  <c r="I52" i="39"/>
  <c r="G78" i="40"/>
  <c r="G7" i="10"/>
  <c r="E147" i="27"/>
  <c r="G25" i="39"/>
  <c r="AB158" i="27"/>
  <c r="I153" i="27"/>
  <c r="J40" i="29"/>
  <c r="T76" i="39"/>
  <c r="H72" i="43"/>
  <c r="G86" i="40"/>
  <c r="I8" i="39"/>
  <c r="U34" i="32"/>
  <c r="I21" i="32"/>
  <c r="I55" i="25"/>
  <c r="G61" i="40"/>
  <c r="H91" i="32"/>
  <c r="I79" i="32"/>
  <c r="S37" i="43"/>
  <c r="H349" i="44"/>
  <c r="L28" i="29"/>
  <c r="G78" i="43"/>
  <c r="U149" i="27"/>
  <c r="I57" i="29"/>
  <c r="H62" i="40"/>
  <c r="E62" i="25"/>
  <c r="H6" i="32"/>
  <c r="G63" i="43"/>
  <c r="V39" i="43"/>
  <c r="U97" i="43"/>
  <c r="U104" i="32"/>
  <c r="F35" i="32"/>
  <c r="AA66" i="32"/>
  <c r="U23" i="40"/>
  <c r="J27" i="29"/>
  <c r="T34" i="39"/>
  <c r="H96" i="43"/>
  <c r="AA5" i="40"/>
  <c r="S102" i="39"/>
  <c r="G149" i="27"/>
  <c r="I112" i="32"/>
  <c r="AA60" i="32"/>
  <c r="U54" i="40"/>
  <c r="U27" i="39"/>
  <c r="T44" i="40"/>
  <c r="V5" i="40"/>
  <c r="U83" i="32"/>
  <c r="H20" i="47"/>
  <c r="BQ54" i="29"/>
  <c r="F22" i="40"/>
  <c r="V91" i="40"/>
  <c r="H7" i="32"/>
  <c r="I86" i="39"/>
  <c r="V69" i="43"/>
  <c r="S42" i="32"/>
  <c r="F5" i="40"/>
  <c r="N46" i="32"/>
  <c r="H50" i="43"/>
  <c r="S79" i="32"/>
  <c r="H94" i="40"/>
  <c r="H34" i="32"/>
  <c r="H7" i="10"/>
  <c r="N55" i="43"/>
  <c r="U33" i="32"/>
  <c r="U37" i="40"/>
  <c r="S6" i="32"/>
  <c r="S232" i="27"/>
  <c r="S92" i="43"/>
  <c r="F38" i="29"/>
  <c r="AA71" i="43"/>
  <c r="U118" i="32"/>
  <c r="AA33" i="39"/>
  <c r="N79" i="43"/>
  <c r="I17" i="40"/>
  <c r="F72" i="32"/>
  <c r="U79" i="32"/>
  <c r="AB221" i="27"/>
  <c r="G39" i="43"/>
  <c r="G93" i="32"/>
  <c r="AA72" i="40"/>
  <c r="S56" i="43"/>
  <c r="H33" i="32"/>
  <c r="T5" i="43"/>
  <c r="V93" i="43"/>
  <c r="F29" i="37"/>
  <c r="N218" i="27"/>
  <c r="AA107" i="32"/>
  <c r="D28" i="37"/>
  <c r="F85" i="39"/>
  <c r="AA38" i="43"/>
  <c r="AA95" i="43"/>
  <c r="U78" i="43"/>
  <c r="N40" i="43"/>
  <c r="AA74" i="39"/>
  <c r="I52" i="25"/>
  <c r="F94" i="43"/>
  <c r="E39" i="29"/>
  <c r="BW52" i="29"/>
  <c r="AA48" i="35"/>
  <c r="L100" i="32"/>
  <c r="S44" i="39"/>
  <c r="U44" i="39"/>
  <c r="AA28" i="32"/>
  <c r="H69" i="39"/>
  <c r="AA88" i="39"/>
  <c r="F48" i="35"/>
  <c r="V79" i="32"/>
  <c r="V69" i="39"/>
  <c r="S20" i="32"/>
  <c r="V90" i="32"/>
  <c r="I77" i="39"/>
  <c r="I48" i="39"/>
  <c r="E222" i="27"/>
  <c r="AA59" i="32"/>
  <c r="S29" i="37"/>
  <c r="BV56" i="29"/>
  <c r="K32" i="29"/>
  <c r="H61" i="40"/>
  <c r="I70" i="43"/>
  <c r="BW37" i="29"/>
  <c r="N47" i="32"/>
  <c r="F88" i="39"/>
  <c r="U34" i="39"/>
  <c r="I95" i="43"/>
  <c r="U88" i="39"/>
  <c r="F70" i="43"/>
  <c r="G71" i="43"/>
  <c r="BW31" i="29"/>
  <c r="BW50" i="29"/>
  <c r="G27" i="39"/>
  <c r="G45" i="35"/>
  <c r="S69" i="43"/>
  <c r="I95" i="40"/>
  <c r="V28" i="32"/>
  <c r="F31" i="39"/>
  <c r="F66" i="39"/>
  <c r="S29" i="40"/>
  <c r="F98" i="39"/>
  <c r="N11" i="43"/>
  <c r="V112" i="32"/>
  <c r="V92" i="43"/>
  <c r="T68" i="32"/>
  <c r="H50" i="35"/>
  <c r="G51" i="43"/>
  <c r="H42" i="32"/>
  <c r="I146" i="27"/>
  <c r="AA11" i="40"/>
  <c r="BW32" i="29"/>
  <c r="S59" i="32"/>
  <c r="G67" i="32"/>
  <c r="U78" i="39"/>
  <c r="I28" i="32"/>
  <c r="T59" i="39"/>
  <c r="L47" i="14"/>
  <c r="G94" i="43"/>
  <c r="N98" i="39"/>
  <c r="T98" i="32"/>
  <c r="F92" i="32"/>
  <c r="I145" i="27"/>
  <c r="N154" i="27"/>
  <c r="F23" i="39"/>
  <c r="AB148" i="27"/>
  <c r="E54" i="25"/>
  <c r="V219" i="27"/>
  <c r="I223" i="27"/>
  <c r="G6" i="40"/>
  <c r="U92" i="40"/>
  <c r="BW33" i="29"/>
  <c r="U79" i="39"/>
  <c r="S27" i="37"/>
  <c r="I87" i="39"/>
  <c r="H86" i="39"/>
  <c r="H31" i="39"/>
  <c r="H71" i="43"/>
  <c r="BX32" i="29"/>
  <c r="U227" i="27"/>
  <c r="AA23" i="32"/>
  <c r="U21" i="40"/>
  <c r="I61" i="40"/>
  <c r="D47" i="35"/>
  <c r="T85" i="43"/>
  <c r="V56" i="43"/>
  <c r="H45" i="39"/>
  <c r="G60" i="32"/>
  <c r="AA15" i="43"/>
  <c r="BR37" i="29"/>
  <c r="G46" i="32"/>
  <c r="V54" i="39"/>
  <c r="T81" i="43"/>
  <c r="T74" i="32"/>
  <c r="S143" i="27"/>
  <c r="T84" i="39"/>
  <c r="N97" i="39"/>
  <c r="V8" i="10"/>
  <c r="F58" i="32"/>
  <c r="F39" i="29"/>
  <c r="H62" i="25"/>
  <c r="I47" i="39"/>
  <c r="F44" i="43"/>
  <c r="G28" i="32"/>
  <c r="G35" i="32"/>
  <c r="G40" i="40"/>
  <c r="G27" i="40"/>
  <c r="T38" i="40"/>
  <c r="T58" i="32"/>
  <c r="T71" i="40"/>
  <c r="L62" i="39"/>
  <c r="H14" i="39"/>
  <c r="H88" i="39"/>
  <c r="T67" i="32"/>
  <c r="S25" i="32"/>
  <c r="G81" i="32"/>
  <c r="AB145" i="27"/>
  <c r="AA69" i="40"/>
  <c r="AA50" i="43"/>
  <c r="V76" i="40"/>
  <c r="W159" i="27"/>
  <c r="E12" i="39"/>
  <c r="E70" i="43"/>
  <c r="E5" i="40"/>
  <c r="Y9" i="37"/>
  <c r="E62" i="43"/>
  <c r="E63" i="40"/>
  <c r="V83" i="32"/>
  <c r="F107" i="32"/>
  <c r="E99" i="32"/>
  <c r="E61" i="40"/>
  <c r="BX30" i="29"/>
  <c r="N68" i="32"/>
  <c r="H55" i="40"/>
  <c r="AB143" i="27"/>
  <c r="I37" i="40"/>
  <c r="Y232" i="27"/>
  <c r="E34" i="39"/>
  <c r="Y152" i="27"/>
  <c r="I9" i="37"/>
  <c r="E23" i="32"/>
  <c r="E95" i="40"/>
  <c r="W14" i="37"/>
  <c r="F61" i="40"/>
  <c r="E60" i="39"/>
  <c r="E67" i="39"/>
  <c r="N146" i="27"/>
  <c r="G78" i="39"/>
  <c r="F96" i="43"/>
  <c r="AA23" i="40"/>
  <c r="I7" i="39"/>
  <c r="H8" i="39"/>
  <c r="I65" i="32"/>
  <c r="S47" i="39"/>
  <c r="G68" i="39"/>
  <c r="AA55" i="43"/>
  <c r="AB219" i="27"/>
  <c r="I21" i="43"/>
  <c r="AA21" i="39"/>
  <c r="U27" i="37"/>
  <c r="W151" i="27"/>
  <c r="E143" i="27"/>
  <c r="I18" i="32"/>
  <c r="H55" i="39"/>
  <c r="N23" i="40"/>
  <c r="D10" i="10"/>
  <c r="G38" i="39"/>
  <c r="T113" i="32"/>
  <c r="G44" i="39"/>
  <c r="N37" i="40"/>
  <c r="F45" i="43"/>
  <c r="F82" i="32"/>
  <c r="AA62" i="43"/>
  <c r="W153" i="27"/>
  <c r="F6" i="39"/>
  <c r="G100" i="32"/>
  <c r="T73" i="39"/>
  <c r="I37" i="32"/>
  <c r="S226" i="27"/>
  <c r="S23" i="39"/>
  <c r="T9" i="10"/>
  <c r="U55" i="43"/>
  <c r="U117" i="32"/>
  <c r="F64" i="43"/>
  <c r="T86" i="39"/>
  <c r="AA44" i="43"/>
  <c r="T38" i="43"/>
  <c r="H152" i="27"/>
  <c r="N77" i="39"/>
  <c r="BV37" i="29"/>
  <c r="H45" i="40"/>
  <c r="U47" i="39"/>
  <c r="H48" i="35"/>
  <c r="Y54" i="32"/>
  <c r="I103" i="39"/>
  <c r="F55" i="40"/>
  <c r="W147" i="27"/>
  <c r="V83" i="40"/>
  <c r="G82" i="32"/>
  <c r="V38" i="39"/>
  <c r="U39" i="32"/>
  <c r="S23" i="43"/>
  <c r="V69" i="40"/>
  <c r="S13" i="32"/>
  <c r="N21" i="43"/>
  <c r="T80" i="32"/>
  <c r="H10" i="40"/>
  <c r="I59" i="32"/>
  <c r="N348" i="44"/>
  <c r="S33" i="32"/>
  <c r="U31" i="39"/>
  <c r="G50" i="35"/>
  <c r="G75" i="39"/>
  <c r="T34" i="32"/>
  <c r="I74" i="32"/>
  <c r="BU60" i="29"/>
  <c r="S221" i="27"/>
  <c r="T77" i="39"/>
  <c r="V102" i="39"/>
  <c r="F103" i="39"/>
  <c r="V56" i="40"/>
  <c r="AA52" i="39"/>
  <c r="U40" i="39"/>
  <c r="S19" i="39"/>
  <c r="E144" i="27"/>
  <c r="S46" i="32"/>
  <c r="U85" i="32"/>
  <c r="S158" i="27"/>
  <c r="U97" i="39"/>
  <c r="F59" i="39"/>
  <c r="E158" i="27"/>
  <c r="R51" i="35"/>
  <c r="V95" i="40"/>
  <c r="F56" i="40"/>
  <c r="AA34" i="32"/>
  <c r="H47" i="35"/>
  <c r="V105" i="32"/>
  <c r="H59" i="39"/>
  <c r="W8" i="10"/>
  <c r="I78" i="40"/>
  <c r="F45" i="35"/>
  <c r="I230" i="27"/>
  <c r="T33" i="32"/>
  <c r="S34" i="32"/>
  <c r="H85" i="39"/>
  <c r="N22" i="43"/>
  <c r="G83" i="32"/>
  <c r="G53" i="35"/>
  <c r="AA17" i="43"/>
  <c r="F39" i="43"/>
  <c r="T13" i="39"/>
  <c r="S27" i="40"/>
  <c r="T18" i="39"/>
  <c r="N83" i="40"/>
  <c r="U14" i="32"/>
  <c r="Z147" i="27"/>
  <c r="G77" i="40"/>
  <c r="T12" i="32"/>
  <c r="F23" i="40"/>
  <c r="N23" i="39"/>
  <c r="G6" i="43"/>
  <c r="U5" i="39"/>
  <c r="E217" i="27"/>
  <c r="F87" i="39"/>
  <c r="G44" i="43"/>
  <c r="U49" i="43"/>
  <c r="T6" i="10"/>
  <c r="I5" i="39"/>
  <c r="H53" i="25"/>
  <c r="BV55" i="29"/>
  <c r="S44" i="43"/>
  <c r="AB226" i="27"/>
  <c r="T118" i="32"/>
  <c r="F9" i="10"/>
  <c r="S30" i="37"/>
  <c r="AA18" i="32"/>
  <c r="AA100" i="32"/>
  <c r="U27" i="43"/>
  <c r="V73" i="39"/>
  <c r="N149" i="27"/>
  <c r="H60" i="32"/>
  <c r="I86" i="43"/>
  <c r="V78" i="39"/>
  <c r="G79" i="39"/>
  <c r="BX37" i="29"/>
  <c r="T107" i="32"/>
  <c r="I93" i="43"/>
  <c r="G22" i="43"/>
  <c r="W27" i="37"/>
  <c r="F72" i="43"/>
  <c r="H88" i="43"/>
  <c r="G97" i="43"/>
  <c r="T65" i="43"/>
  <c r="I27" i="43"/>
  <c r="V18" i="32"/>
  <c r="G117" i="32"/>
  <c r="E153" i="27"/>
  <c r="U94" i="40"/>
  <c r="S67" i="32"/>
  <c r="AA51" i="43"/>
  <c r="AA38" i="32"/>
  <c r="I13" i="32"/>
  <c r="G60" i="39"/>
  <c r="G30" i="37"/>
  <c r="I55" i="29"/>
  <c r="S146" i="27"/>
  <c r="L33" i="29"/>
  <c r="S92" i="40"/>
  <c r="U57" i="43"/>
  <c r="U54" i="32"/>
  <c r="V84" i="39"/>
  <c r="T80" i="43"/>
  <c r="AA5" i="39"/>
  <c r="W7" i="10"/>
  <c r="AA37" i="40"/>
  <c r="H61" i="32"/>
  <c r="U47" i="35"/>
  <c r="G28" i="37"/>
  <c r="E64" i="29"/>
  <c r="N76" i="40"/>
  <c r="N17" i="43"/>
  <c r="AA96" i="43"/>
  <c r="BU39" i="29"/>
  <c r="N21" i="32"/>
  <c r="AA84" i="40"/>
  <c r="V21" i="32"/>
  <c r="F44" i="35"/>
  <c r="H29" i="37"/>
  <c r="F85" i="40"/>
  <c r="S28" i="32"/>
  <c r="N102" i="39"/>
  <c r="I22" i="39"/>
  <c r="L39" i="29"/>
  <c r="H29" i="43"/>
  <c r="BW57" i="29"/>
  <c r="U45" i="35"/>
  <c r="I26" i="32"/>
  <c r="U35" i="39"/>
  <c r="S133" i="27"/>
  <c r="E37" i="39"/>
  <c r="E16" i="43"/>
  <c r="I48" i="32"/>
  <c r="E39" i="40"/>
  <c r="N85" i="32"/>
  <c r="E22" i="32"/>
  <c r="E13" i="39"/>
  <c r="H159" i="27"/>
  <c r="H13" i="32"/>
  <c r="V94" i="40"/>
  <c r="G61" i="32"/>
  <c r="V28" i="43"/>
  <c r="T78" i="40"/>
  <c r="E19" i="32"/>
  <c r="E44" i="40"/>
  <c r="E48" i="39"/>
  <c r="E21" i="32"/>
  <c r="H39" i="39"/>
  <c r="E117" i="32"/>
  <c r="U40" i="43"/>
  <c r="N74" i="39"/>
  <c r="Y15" i="37"/>
  <c r="Y143" i="27"/>
  <c r="G84" i="39"/>
  <c r="K28" i="29"/>
  <c r="F79" i="39"/>
  <c r="AA77" i="40"/>
  <c r="D53" i="35"/>
  <c r="E40" i="29"/>
  <c r="E91" i="40"/>
  <c r="E155" i="27"/>
  <c r="E84" i="39"/>
  <c r="K222" i="27"/>
  <c r="Y225" i="27"/>
  <c r="E97" i="39"/>
  <c r="N38" i="32"/>
  <c r="I94" i="40"/>
  <c r="D39" i="29"/>
  <c r="Y158" i="27"/>
  <c r="F60" i="32"/>
  <c r="N81" i="43"/>
  <c r="U13" i="39"/>
  <c r="L68" i="32"/>
  <c r="S90" i="32"/>
  <c r="G29" i="40"/>
  <c r="V6" i="10"/>
  <c r="F61" i="39"/>
  <c r="F50" i="35"/>
  <c r="N108" i="32"/>
  <c r="V6" i="39"/>
  <c r="F61" i="32"/>
  <c r="E154" i="27"/>
  <c r="G8" i="10"/>
  <c r="E37" i="43"/>
  <c r="E135" i="27"/>
  <c r="E16" i="40"/>
  <c r="N29" i="37"/>
  <c r="T23" i="43"/>
  <c r="V87" i="39"/>
  <c r="D64" i="29"/>
  <c r="E18" i="32"/>
  <c r="V103" i="39"/>
  <c r="E44" i="43"/>
  <c r="L31" i="29"/>
  <c r="E46" i="32"/>
  <c r="J10" i="37"/>
  <c r="G223" i="27"/>
  <c r="S23" i="40"/>
  <c r="V13" i="32"/>
  <c r="U33" i="40"/>
  <c r="V117" i="32"/>
  <c r="T38" i="32"/>
  <c r="BV33" i="29"/>
  <c r="U15" i="40"/>
  <c r="I68" i="40"/>
  <c r="I71" i="43"/>
  <c r="W144" i="27"/>
  <c r="E226" i="27"/>
  <c r="E51" i="25"/>
  <c r="F27" i="40"/>
  <c r="AA63" i="43"/>
  <c r="G37" i="40"/>
  <c r="T53" i="35"/>
  <c r="T21" i="39"/>
  <c r="F21" i="40"/>
  <c r="G7" i="32"/>
  <c r="I32" i="39"/>
  <c r="H6" i="43"/>
  <c r="G79" i="40"/>
  <c r="W222" i="27"/>
  <c r="S98" i="39"/>
  <c r="N221" i="27"/>
  <c r="F30" i="37"/>
  <c r="F25" i="39"/>
  <c r="G72" i="40"/>
  <c r="V100" i="32"/>
  <c r="G93" i="39"/>
  <c r="N64" i="40"/>
  <c r="U32" i="39"/>
  <c r="S78" i="43"/>
  <c r="U90" i="40"/>
  <c r="H17" i="43"/>
  <c r="H54" i="39"/>
  <c r="V47" i="35"/>
  <c r="K51" i="29"/>
  <c r="AA80" i="32"/>
  <c r="N79" i="32"/>
  <c r="U68" i="32"/>
  <c r="F22" i="43"/>
  <c r="N27" i="32"/>
  <c r="BX26" i="29"/>
  <c r="H54" i="32"/>
  <c r="H58" i="32"/>
  <c r="U50" i="35"/>
  <c r="I58" i="32"/>
  <c r="V72" i="32"/>
  <c r="H21" i="32"/>
  <c r="F47" i="32"/>
  <c r="AA27" i="43"/>
  <c r="N34" i="39"/>
  <c r="V230" i="27"/>
  <c r="V144" i="27"/>
  <c r="T20" i="39"/>
  <c r="I23" i="32"/>
  <c r="T88" i="39"/>
  <c r="N62" i="40"/>
  <c r="G62" i="39"/>
  <c r="F90" i="32"/>
  <c r="I49" i="40"/>
  <c r="D348" i="44"/>
  <c r="T79" i="39"/>
  <c r="T45" i="43"/>
  <c r="F92" i="43"/>
  <c r="F6" i="43"/>
  <c r="G80" i="43"/>
  <c r="V220" i="27"/>
  <c r="I51" i="43"/>
  <c r="U66" i="32"/>
  <c r="I50" i="43"/>
  <c r="U5" i="40"/>
  <c r="F95" i="40"/>
  <c r="T72" i="40"/>
  <c r="E63" i="29"/>
  <c r="H78" i="43"/>
  <c r="H71" i="40"/>
  <c r="V42" i="32"/>
  <c r="U67" i="39"/>
  <c r="T69" i="43"/>
  <c r="I73" i="39"/>
  <c r="H92" i="39"/>
  <c r="Y96" i="43"/>
  <c r="U19" i="32"/>
  <c r="G105" i="32"/>
  <c r="AB231" i="27"/>
  <c r="N27" i="39"/>
  <c r="Z154" i="27"/>
  <c r="S74" i="39"/>
  <c r="U46" i="32"/>
  <c r="G64" i="40"/>
  <c r="L25" i="39"/>
  <c r="N54" i="39"/>
  <c r="V80" i="43"/>
  <c r="T41" i="32"/>
  <c r="AA6" i="32"/>
  <c r="G87" i="43"/>
  <c r="G31" i="39"/>
  <c r="N75" i="32"/>
  <c r="BV57" i="29"/>
  <c r="V49" i="32"/>
  <c r="G6" i="10"/>
  <c r="S230" i="27"/>
  <c r="F93" i="43"/>
  <c r="S85" i="43"/>
  <c r="F84" i="32"/>
  <c r="Y68" i="32"/>
  <c r="U108" i="32"/>
  <c r="F86" i="40"/>
  <c r="S70" i="40"/>
  <c r="F18" i="32"/>
  <c r="N41" i="32"/>
  <c r="AA91" i="40"/>
  <c r="N158" i="27"/>
  <c r="V13" i="39"/>
  <c r="E63" i="25"/>
  <c r="J36" i="29"/>
  <c r="L21" i="47"/>
  <c r="S82" i="32"/>
  <c r="F71" i="40"/>
  <c r="AA20" i="39"/>
  <c r="AA73" i="32"/>
  <c r="V31" i="39"/>
  <c r="L29" i="29"/>
  <c r="S60" i="32"/>
  <c r="O53" i="25"/>
  <c r="N50" i="40"/>
  <c r="S227" i="27"/>
  <c r="AB217" i="27"/>
  <c r="U225" i="27"/>
  <c r="K57" i="29"/>
  <c r="H48" i="39"/>
  <c r="G60" i="25"/>
  <c r="I88" i="39"/>
  <c r="H227" i="27"/>
  <c r="G104" i="32"/>
  <c r="V33" i="40"/>
  <c r="T82" i="32"/>
  <c r="G66" i="39"/>
  <c r="N65" i="43"/>
  <c r="H91" i="40"/>
  <c r="N94" i="32"/>
  <c r="G92" i="32"/>
  <c r="S37" i="32"/>
  <c r="V147" i="27"/>
  <c r="T84" i="40"/>
  <c r="V67" i="32"/>
  <c r="N58" i="43"/>
  <c r="U5" i="32"/>
  <c r="T68" i="40"/>
  <c r="S91" i="40"/>
  <c r="O52" i="25"/>
  <c r="AA12" i="32"/>
  <c r="H40" i="43"/>
  <c r="V16" i="40"/>
  <c r="F36" i="39"/>
  <c r="I84" i="32"/>
  <c r="I15" i="40"/>
  <c r="H20" i="32"/>
  <c r="F108" i="32"/>
  <c r="I36" i="39"/>
  <c r="H38" i="39"/>
  <c r="V98" i="39"/>
  <c r="BW34" i="29"/>
  <c r="L30" i="29"/>
  <c r="I17" i="43"/>
  <c r="S24" i="39"/>
  <c r="T95" i="43"/>
  <c r="AA118" i="32"/>
  <c r="N69" i="39"/>
  <c r="L39" i="32"/>
  <c r="BX27" i="29"/>
  <c r="N37" i="32"/>
  <c r="I42" i="32"/>
  <c r="G66" i="32"/>
  <c r="U26" i="32"/>
  <c r="AA117" i="32"/>
  <c r="T51" i="35"/>
  <c r="X9" i="10"/>
  <c r="U60" i="32"/>
  <c r="I33" i="29"/>
  <c r="H104" i="32"/>
  <c r="V40" i="43"/>
  <c r="U16" i="40"/>
  <c r="T5" i="32"/>
  <c r="E72" i="32"/>
  <c r="E105" i="32"/>
  <c r="E39" i="32"/>
  <c r="I39" i="39"/>
  <c r="Y233" i="27"/>
  <c r="E61" i="32"/>
  <c r="AA49" i="35"/>
  <c r="H146" i="27"/>
  <c r="K154" i="27"/>
  <c r="I150" i="27"/>
  <c r="S27" i="43"/>
  <c r="V21" i="39"/>
  <c r="S68" i="40"/>
  <c r="N220" i="27"/>
  <c r="T7" i="39"/>
  <c r="S6" i="40"/>
  <c r="E96" i="43"/>
  <c r="K232" i="27"/>
  <c r="E71" i="43"/>
  <c r="K159" i="27"/>
  <c r="K231" i="27"/>
  <c r="E6" i="40"/>
  <c r="H156" i="27"/>
  <c r="S41" i="32"/>
  <c r="E92" i="39"/>
  <c r="E70" i="40"/>
  <c r="T54" i="39"/>
  <c r="AA56" i="43"/>
  <c r="H63" i="40"/>
  <c r="U21" i="32"/>
  <c r="H143" i="27"/>
  <c r="G94" i="32"/>
  <c r="F51" i="35"/>
  <c r="G48" i="39"/>
  <c r="F75" i="39"/>
  <c r="F27" i="39"/>
  <c r="T77" i="43"/>
  <c r="S32" i="32"/>
  <c r="I61" i="39"/>
  <c r="N68" i="40"/>
  <c r="D48" i="35"/>
  <c r="H5" i="32"/>
  <c r="V153" i="27"/>
  <c r="AA10" i="43"/>
  <c r="I29" i="43"/>
  <c r="AA61" i="32"/>
  <c r="AA46" i="35"/>
  <c r="H81" i="32"/>
  <c r="V47" i="32"/>
  <c r="F40" i="40"/>
  <c r="F40" i="29"/>
  <c r="I21" i="39"/>
  <c r="F53" i="39"/>
  <c r="H70" i="43"/>
  <c r="G87" i="39"/>
  <c r="BU54" i="29"/>
  <c r="T83" i="32"/>
  <c r="I92" i="40"/>
  <c r="U80" i="43"/>
  <c r="S68" i="32"/>
  <c r="N44" i="39"/>
  <c r="I39" i="32"/>
  <c r="L154" i="27"/>
  <c r="S225" i="27"/>
  <c r="I16" i="40"/>
  <c r="AA65" i="43"/>
  <c r="F37" i="39"/>
  <c r="V23" i="32"/>
  <c r="V40" i="39"/>
  <c r="BV36" i="29"/>
  <c r="J64" i="29"/>
  <c r="Z230" i="27"/>
  <c r="G157" i="27"/>
  <c r="S19" i="32"/>
  <c r="K64" i="29"/>
  <c r="G38" i="40"/>
  <c r="S53" i="39"/>
  <c r="N5" i="39"/>
  <c r="T6" i="40"/>
  <c r="S95" i="43"/>
  <c r="AB154" i="27"/>
  <c r="G97" i="39"/>
  <c r="H220" i="27"/>
  <c r="G33" i="32"/>
  <c r="N25" i="32"/>
  <c r="F47" i="35"/>
  <c r="F95" i="43"/>
  <c r="T16" i="43"/>
  <c r="G49" i="32"/>
  <c r="U18" i="32"/>
  <c r="I29" i="29"/>
  <c r="H62" i="39"/>
  <c r="R50" i="35"/>
  <c r="V11" i="43"/>
  <c r="G219" i="27"/>
  <c r="S84" i="32"/>
  <c r="U60" i="39"/>
  <c r="BV40" i="29"/>
  <c r="V226" i="27"/>
  <c r="G50" i="40"/>
  <c r="V38" i="40"/>
  <c r="AA57" i="40"/>
  <c r="S57" i="43"/>
  <c r="U78" i="40"/>
  <c r="T117" i="32"/>
  <c r="BV61" i="29"/>
  <c r="F85" i="32"/>
  <c r="BW30" i="29"/>
  <c r="V61" i="40"/>
  <c r="N33" i="39"/>
  <c r="S25" i="39"/>
  <c r="I106" i="32"/>
  <c r="V38" i="32"/>
  <c r="I28" i="40"/>
  <c r="L48" i="39"/>
  <c r="J55" i="29"/>
  <c r="T93" i="40"/>
  <c r="F49" i="43"/>
  <c r="T40" i="40"/>
  <c r="H67" i="39"/>
  <c r="BV26" i="29"/>
  <c r="U151" i="27"/>
  <c r="U144" i="27"/>
  <c r="T85" i="32"/>
  <c r="U23" i="32"/>
  <c r="I53" i="39"/>
  <c r="U58" i="43"/>
  <c r="AA39" i="32"/>
  <c r="H46" i="32"/>
  <c r="AA104" i="32"/>
  <c r="AA78" i="43"/>
  <c r="V6" i="40"/>
  <c r="AA34" i="39"/>
  <c r="I29" i="40"/>
  <c r="F100" i="32"/>
  <c r="V45" i="43"/>
  <c r="H73" i="43"/>
  <c r="G37" i="43"/>
  <c r="N37" i="43"/>
  <c r="F83" i="32"/>
  <c r="H7" i="39"/>
  <c r="U38" i="40"/>
  <c r="U85" i="39"/>
  <c r="G16" i="40"/>
  <c r="I27" i="32"/>
  <c r="V94" i="32"/>
  <c r="F87" i="43"/>
  <c r="BX33" i="29"/>
  <c r="V349" i="44"/>
  <c r="S34" i="39"/>
  <c r="U28" i="40"/>
  <c r="U50" i="40"/>
  <c r="I143" i="27"/>
  <c r="N151" i="27"/>
  <c r="S68" i="39"/>
  <c r="V64" i="43"/>
  <c r="F53" i="35"/>
  <c r="N72" i="43"/>
  <c r="U86" i="43"/>
  <c r="I118" i="32"/>
  <c r="AA73" i="39"/>
  <c r="H10" i="43"/>
  <c r="G102" i="39"/>
  <c r="T103" i="39"/>
  <c r="H145" i="27"/>
  <c r="K63" i="29"/>
  <c r="G83" i="40"/>
  <c r="H50" i="40"/>
  <c r="I28" i="43"/>
  <c r="G91" i="40"/>
  <c r="I33" i="32"/>
  <c r="S107" i="32"/>
  <c r="BX31" i="29"/>
  <c r="V65" i="43"/>
  <c r="F80" i="32"/>
  <c r="T84" i="32"/>
  <c r="H28" i="43"/>
  <c r="I62" i="43"/>
  <c r="T78" i="39"/>
  <c r="I45" i="43"/>
  <c r="AB222" i="27"/>
  <c r="AA45" i="43"/>
  <c r="AA20" i="32"/>
  <c r="D27" i="37"/>
  <c r="N39" i="32"/>
  <c r="N7" i="32"/>
  <c r="H86" i="43"/>
  <c r="H38" i="40"/>
  <c r="S79" i="39"/>
  <c r="U112" i="32"/>
  <c r="N59" i="32"/>
  <c r="L231" i="27"/>
  <c r="E232" i="27"/>
  <c r="G51" i="25"/>
  <c r="F28" i="32"/>
  <c r="AA19" i="32"/>
  <c r="H112" i="32"/>
  <c r="BW53" i="29"/>
  <c r="T15" i="43"/>
  <c r="V104" i="32"/>
  <c r="F37" i="32"/>
  <c r="W217" i="27"/>
  <c r="W232" i="27"/>
  <c r="I34" i="32"/>
  <c r="AA78" i="40"/>
  <c r="V61" i="39"/>
  <c r="T63" i="40"/>
  <c r="I72" i="32"/>
  <c r="AA12" i="39"/>
  <c r="N69" i="40"/>
  <c r="I64" i="40"/>
  <c r="T55" i="40"/>
  <c r="G347" i="44"/>
  <c r="K58" i="29"/>
  <c r="AA5" i="32"/>
  <c r="K233" i="27"/>
  <c r="E39" i="43"/>
  <c r="E93" i="43"/>
  <c r="E52" i="39"/>
  <c r="W155" i="27"/>
  <c r="H80" i="39"/>
  <c r="G14" i="32"/>
  <c r="I56" i="40"/>
  <c r="E78" i="43"/>
  <c r="BP40" i="29"/>
  <c r="W156" i="27"/>
  <c r="E148" i="27"/>
  <c r="N91" i="32"/>
  <c r="N92" i="40"/>
  <c r="H68" i="32"/>
  <c r="H14" i="37"/>
  <c r="U40" i="32"/>
  <c r="Y147" i="27"/>
  <c r="V22" i="39"/>
  <c r="E76" i="39"/>
  <c r="E49" i="40"/>
  <c r="E12" i="32"/>
  <c r="L54" i="32"/>
  <c r="U25" i="39"/>
  <c r="K152" i="27"/>
  <c r="E72" i="43"/>
  <c r="T75" i="39"/>
  <c r="U20" i="32"/>
  <c r="H21" i="43"/>
  <c r="BR63" i="29"/>
  <c r="G44" i="40"/>
  <c r="E87" i="39"/>
  <c r="E78" i="39"/>
  <c r="U80" i="39"/>
  <c r="E78" i="40"/>
  <c r="E14" i="39"/>
  <c r="U22" i="39"/>
  <c r="H86" i="32"/>
  <c r="BV51" i="29"/>
  <c r="E107" i="32"/>
  <c r="E133" i="27"/>
  <c r="U48" i="35"/>
  <c r="J39" i="29"/>
  <c r="AA33" i="32"/>
  <c r="I87" i="43"/>
  <c r="V29" i="37"/>
  <c r="S98" i="32"/>
  <c r="U219" i="27"/>
  <c r="AA77" i="39"/>
  <c r="U17" i="43"/>
  <c r="U106" i="32"/>
  <c r="H84" i="32"/>
  <c r="V54" i="32"/>
  <c r="N52" i="39"/>
  <c r="I14" i="39"/>
  <c r="G49" i="40"/>
  <c r="H35" i="39"/>
  <c r="K146" i="27"/>
  <c r="H231" i="27"/>
  <c r="E69" i="40"/>
  <c r="U93" i="43"/>
  <c r="G33" i="39"/>
  <c r="S134" i="27"/>
  <c r="H52" i="35"/>
  <c r="Y10" i="37"/>
  <c r="AA69" i="43"/>
  <c r="U69" i="43"/>
  <c r="E34" i="32"/>
  <c r="U92" i="32"/>
  <c r="L50" i="32"/>
  <c r="E15" i="40"/>
  <c r="E61" i="39"/>
  <c r="J9" i="37"/>
  <c r="N82" i="32"/>
  <c r="J7" i="37"/>
  <c r="U59" i="32"/>
  <c r="V223" i="27"/>
  <c r="G52" i="39"/>
  <c r="T62" i="43"/>
  <c r="V19" i="32"/>
  <c r="F16" i="43"/>
  <c r="S77" i="43"/>
  <c r="K150" i="27"/>
  <c r="Y159" i="27"/>
  <c r="AA68" i="40"/>
  <c r="E35" i="39"/>
  <c r="N22" i="40"/>
  <c r="G68" i="40"/>
  <c r="U46" i="39"/>
  <c r="G69" i="43"/>
  <c r="K227" i="27"/>
  <c r="H64" i="40"/>
  <c r="V20" i="32"/>
  <c r="H65" i="32"/>
  <c r="U68" i="40"/>
  <c r="S58" i="32"/>
  <c r="M53" i="35"/>
  <c r="V145" i="27"/>
  <c r="I23" i="43"/>
  <c r="H66" i="39"/>
  <c r="G94" i="40"/>
  <c r="V85" i="39"/>
  <c r="T20" i="32"/>
  <c r="V84" i="32"/>
  <c r="G86" i="39"/>
  <c r="U24" i="32"/>
  <c r="F63" i="40"/>
  <c r="I148" i="27"/>
  <c r="F77" i="39"/>
  <c r="O64" i="25"/>
  <c r="D21" i="47"/>
  <c r="U83" i="40"/>
  <c r="U218" i="27"/>
  <c r="F19" i="39"/>
  <c r="F86" i="43"/>
  <c r="V49" i="35"/>
  <c r="G62" i="25"/>
  <c r="V60" i="39"/>
  <c r="I99" i="32"/>
  <c r="H60" i="25"/>
  <c r="S231" i="27"/>
  <c r="N28" i="43"/>
  <c r="U52" i="35"/>
  <c r="N12" i="39"/>
  <c r="S11" i="43"/>
  <c r="U85" i="43"/>
  <c r="I152" i="27"/>
  <c r="S56" i="40"/>
  <c r="U21" i="39"/>
  <c r="AA23" i="43"/>
  <c r="H218" i="27"/>
  <c r="AD6" i="10"/>
  <c r="D20" i="47"/>
  <c r="K62" i="25"/>
  <c r="J6" i="37"/>
  <c r="E95" i="43"/>
  <c r="E74" i="39"/>
  <c r="E66" i="39"/>
  <c r="K226" i="27"/>
  <c r="F21" i="43"/>
  <c r="I63" i="40"/>
  <c r="E22" i="43"/>
  <c r="U86" i="32"/>
  <c r="N28" i="40"/>
  <c r="N66" i="32"/>
  <c r="H20" i="39"/>
  <c r="U147" i="27"/>
  <c r="AA75" i="39"/>
  <c r="E56" i="40"/>
  <c r="E65" i="32"/>
  <c r="I155" i="27"/>
  <c r="Y153" i="27"/>
  <c r="E79" i="39"/>
  <c r="E22" i="39"/>
  <c r="E98" i="39"/>
  <c r="U23" i="43"/>
  <c r="G79" i="43"/>
  <c r="I233" i="27"/>
  <c r="E85" i="43"/>
  <c r="AA81" i="32"/>
  <c r="S112" i="32"/>
  <c r="W9" i="10"/>
  <c r="H100" i="32"/>
  <c r="G44" i="35"/>
  <c r="E84" i="40"/>
  <c r="Y226" i="27"/>
  <c r="E62" i="39"/>
  <c r="E49" i="32"/>
  <c r="S135" i="27"/>
  <c r="E17" i="40"/>
  <c r="BU55" i="29"/>
  <c r="AC30" i="37"/>
  <c r="U155" i="27"/>
  <c r="K225" i="27"/>
  <c r="N16" i="40"/>
  <c r="G36" i="39"/>
  <c r="M50" i="35"/>
  <c r="K56" i="29"/>
  <c r="H28" i="40"/>
  <c r="S5" i="39"/>
  <c r="V44" i="35"/>
  <c r="S60" i="39"/>
  <c r="I93" i="39"/>
  <c r="U148" i="27"/>
  <c r="S349" i="44"/>
  <c r="H80" i="43"/>
  <c r="U90" i="32"/>
  <c r="E81" i="32"/>
  <c r="G85" i="32"/>
  <c r="S86" i="40"/>
  <c r="V35" i="32"/>
  <c r="E75" i="32"/>
  <c r="Y7" i="37"/>
  <c r="H66" i="32"/>
  <c r="Y150" i="27"/>
  <c r="N94" i="43"/>
  <c r="E40" i="32"/>
  <c r="E90" i="32"/>
  <c r="V152" i="27"/>
  <c r="M48" i="35"/>
  <c r="S97" i="39"/>
  <c r="S14" i="39"/>
  <c r="T60" i="39"/>
  <c r="F69" i="39"/>
  <c r="I37" i="29"/>
  <c r="N85" i="43"/>
  <c r="G93" i="43"/>
  <c r="AA54" i="39"/>
  <c r="N88" i="43"/>
  <c r="AA80" i="43"/>
  <c r="V44" i="43"/>
  <c r="U41" i="32"/>
  <c r="G40" i="39"/>
  <c r="L37" i="29"/>
  <c r="H57" i="43"/>
  <c r="H22" i="40"/>
  <c r="W227" i="27"/>
  <c r="F10" i="43"/>
  <c r="T40" i="39"/>
  <c r="V85" i="40"/>
  <c r="U222" i="27"/>
  <c r="G27" i="37"/>
  <c r="T27" i="43"/>
  <c r="G13" i="39"/>
  <c r="U38" i="43"/>
  <c r="I53" i="29"/>
  <c r="S29" i="43"/>
  <c r="T96" i="43"/>
  <c r="T73" i="32"/>
  <c r="Y100" i="32"/>
  <c r="AA21" i="32"/>
  <c r="H34" i="39"/>
  <c r="U28" i="37"/>
  <c r="V222" i="27"/>
  <c r="I78" i="39"/>
  <c r="I63" i="43"/>
  <c r="G12" i="39"/>
  <c r="V66" i="32"/>
  <c r="I53" i="25"/>
  <c r="H53" i="39"/>
  <c r="W154" i="27"/>
  <c r="V155" i="27"/>
  <c r="Y144" i="27"/>
  <c r="E11" i="40"/>
  <c r="Y148" i="27"/>
  <c r="E79" i="43"/>
  <c r="D63" i="29"/>
  <c r="G45" i="39"/>
  <c r="T18" i="32"/>
  <c r="V48" i="14"/>
  <c r="E37" i="40"/>
  <c r="V9" i="10"/>
  <c r="H151" i="27"/>
  <c r="I75" i="39"/>
  <c r="F6" i="10"/>
  <c r="L230" i="27"/>
  <c r="T97" i="39"/>
  <c r="X8" i="37"/>
  <c r="E80" i="32"/>
  <c r="E103" i="39"/>
  <c r="E7" i="39"/>
  <c r="E67" i="32"/>
  <c r="E69" i="43"/>
  <c r="G34" i="32"/>
  <c r="T40" i="43"/>
  <c r="H233" i="27"/>
  <c r="D48" i="14"/>
  <c r="E64" i="25"/>
  <c r="I69" i="43"/>
  <c r="F63" i="29"/>
  <c r="W347" i="44"/>
  <c r="S32" i="39"/>
  <c r="E13" i="32"/>
  <c r="E24" i="39"/>
  <c r="Y157" i="27"/>
  <c r="E50" i="40"/>
  <c r="K223" i="27"/>
  <c r="U39" i="39"/>
  <c r="T23" i="32"/>
  <c r="Y25" i="39"/>
  <c r="N156" i="27"/>
  <c r="AB149" i="27"/>
  <c r="V12" i="32"/>
  <c r="F45" i="39"/>
  <c r="S61" i="32"/>
  <c r="I5" i="40"/>
  <c r="E39" i="39"/>
  <c r="E66" i="32"/>
  <c r="E106" i="32"/>
  <c r="S93" i="40"/>
  <c r="D46" i="35"/>
  <c r="I149" i="27"/>
  <c r="E76" i="40"/>
  <c r="E93" i="40"/>
  <c r="E51" i="43"/>
  <c r="F52" i="39"/>
  <c r="K157" i="27"/>
  <c r="AA91" i="32"/>
  <c r="L38" i="39"/>
  <c r="J30" i="29"/>
  <c r="N87" i="43"/>
  <c r="L48" i="14"/>
  <c r="T37" i="32"/>
  <c r="I11" i="43"/>
  <c r="E17" i="43"/>
  <c r="H33" i="39"/>
  <c r="N97" i="43"/>
  <c r="E8" i="32"/>
  <c r="F48" i="14"/>
  <c r="BP64" i="29"/>
  <c r="E33" i="40"/>
  <c r="E225" i="27"/>
  <c r="Y217" i="27"/>
  <c r="V30" i="37"/>
  <c r="H62" i="43"/>
  <c r="Z157" i="27"/>
  <c r="AD7" i="10"/>
  <c r="U71" i="43"/>
  <c r="U223" i="27"/>
  <c r="T83" i="40"/>
  <c r="I65" i="43"/>
  <c r="AA39" i="40"/>
  <c r="F7" i="32"/>
  <c r="D51" i="35"/>
  <c r="I74" i="39"/>
  <c r="V232" i="27"/>
  <c r="F54" i="40"/>
  <c r="AA86" i="40"/>
  <c r="Y87" i="43"/>
  <c r="AA51" i="35"/>
  <c r="F32" i="32"/>
  <c r="V81" i="32"/>
  <c r="R53" i="35"/>
  <c r="N144" i="27"/>
  <c r="U7" i="32"/>
  <c r="N36" i="39"/>
  <c r="N49" i="40"/>
  <c r="AA66" i="39"/>
  <c r="V15" i="43"/>
  <c r="G84" i="40"/>
  <c r="BV30" i="29"/>
  <c r="F37" i="40"/>
  <c r="AA65" i="32"/>
  <c r="F117" i="32"/>
  <c r="I220" i="27"/>
  <c r="S18" i="32"/>
  <c r="H149" i="27"/>
  <c r="U67" i="32"/>
  <c r="I54" i="32"/>
  <c r="H87" i="43"/>
  <c r="E60" i="25"/>
  <c r="G19" i="32"/>
  <c r="AA68" i="39"/>
  <c r="I93" i="40"/>
  <c r="E94" i="40"/>
  <c r="E14" i="32"/>
  <c r="E104" i="32"/>
  <c r="E45" i="39"/>
  <c r="E56" i="43"/>
  <c r="Y146" i="27"/>
  <c r="E92" i="40"/>
  <c r="I19" i="32"/>
  <c r="N227" i="27"/>
  <c r="E90" i="40"/>
  <c r="E54" i="39"/>
  <c r="G33" i="43"/>
  <c r="S37" i="40"/>
  <c r="I27" i="29"/>
  <c r="BX28" i="29"/>
  <c r="E37" i="29"/>
  <c r="Y227" i="27"/>
  <c r="E79" i="32"/>
  <c r="K148" i="27"/>
  <c r="E28" i="40"/>
  <c r="E58" i="43"/>
  <c r="E108" i="32"/>
  <c r="E38" i="39"/>
  <c r="V72" i="43"/>
  <c r="E102" i="39"/>
  <c r="I36" i="32"/>
  <c r="BX34" i="29"/>
  <c r="N78" i="43"/>
  <c r="T12" i="39"/>
  <c r="H103" i="39"/>
  <c r="U22" i="43"/>
  <c r="G64" i="25"/>
  <c r="K156" i="27"/>
  <c r="E55" i="40"/>
  <c r="Y218" i="27"/>
  <c r="E71" i="40"/>
  <c r="U8" i="39"/>
  <c r="G155" i="27"/>
  <c r="BW26" i="29"/>
  <c r="U30" i="37"/>
  <c r="V8" i="39"/>
  <c r="K158" i="27"/>
  <c r="S48" i="39"/>
  <c r="H12" i="32"/>
  <c r="G106" i="32"/>
  <c r="I36" i="29"/>
  <c r="F33" i="43"/>
  <c r="E223" i="27"/>
  <c r="I80" i="43"/>
  <c r="N76" i="39"/>
  <c r="AA44" i="39"/>
  <c r="M46" i="35"/>
  <c r="U57" i="40"/>
  <c r="V85" i="43"/>
  <c r="G27" i="43"/>
  <c r="E72" i="40"/>
  <c r="H49" i="43"/>
  <c r="J34" i="29"/>
  <c r="T63" i="43"/>
  <c r="K60" i="25"/>
  <c r="E86" i="32"/>
  <c r="I33" i="43"/>
  <c r="F75" i="32"/>
  <c r="F44" i="39"/>
  <c r="E59" i="39"/>
  <c r="X48" i="14"/>
  <c r="E28" i="32"/>
  <c r="S5" i="40"/>
  <c r="I54" i="39"/>
  <c r="H144" i="27"/>
  <c r="V68" i="39"/>
  <c r="T16" i="40"/>
  <c r="H13" i="39"/>
  <c r="N107" i="32"/>
  <c r="U349" i="44"/>
  <c r="O62" i="25"/>
  <c r="V88" i="43"/>
  <c r="G55" i="25"/>
  <c r="H30" i="37"/>
  <c r="H21" i="39"/>
  <c r="U145" i="27"/>
  <c r="F81" i="43"/>
  <c r="H83" i="40"/>
  <c r="T47" i="35"/>
  <c r="H40" i="39"/>
  <c r="D9" i="10"/>
  <c r="H16" i="40"/>
  <c r="V22" i="43"/>
  <c r="I158" i="27"/>
  <c r="F71" i="43"/>
  <c r="H44" i="43"/>
  <c r="U18" i="39"/>
  <c r="G5" i="43"/>
  <c r="H63" i="25"/>
  <c r="I60" i="39"/>
  <c r="F8" i="10"/>
  <c r="G145" i="27"/>
  <c r="S17" i="43"/>
  <c r="N39" i="43"/>
  <c r="N85" i="39"/>
  <c r="E53" i="25"/>
  <c r="G45" i="40"/>
  <c r="T70" i="40"/>
  <c r="H118" i="32"/>
  <c r="N99" i="32"/>
  <c r="AA71" i="40"/>
  <c r="H11" i="40"/>
  <c r="O63" i="25"/>
  <c r="K54" i="29"/>
  <c r="E21" i="39"/>
  <c r="K153" i="27"/>
  <c r="I8" i="37"/>
  <c r="E10" i="40"/>
  <c r="E97" i="43"/>
  <c r="U36" i="32"/>
  <c r="T14" i="39"/>
  <c r="V60" i="32"/>
  <c r="E6" i="43"/>
  <c r="E10" i="43"/>
  <c r="U10" i="40"/>
  <c r="V76" i="39"/>
  <c r="S64" i="43"/>
  <c r="F88" i="43"/>
  <c r="S39" i="43"/>
  <c r="D38" i="29"/>
  <c r="J13" i="37"/>
  <c r="E83" i="32"/>
  <c r="Y145" i="27"/>
  <c r="E33" i="32"/>
  <c r="K143" i="27"/>
  <c r="K147" i="27"/>
  <c r="F62" i="40"/>
  <c r="F68" i="32"/>
  <c r="E20" i="39"/>
  <c r="E33" i="39"/>
  <c r="N30" i="37"/>
  <c r="T39" i="43"/>
  <c r="F73" i="39"/>
  <c r="S93" i="39"/>
  <c r="L158" i="27"/>
  <c r="E41" i="32"/>
  <c r="E85" i="39"/>
  <c r="E93" i="32"/>
  <c r="W150" i="27"/>
  <c r="E53" i="39"/>
  <c r="K221" i="27"/>
  <c r="G220" i="27"/>
  <c r="F348" i="44"/>
  <c r="E20" i="32"/>
  <c r="Y231" i="27"/>
  <c r="H113" i="32"/>
  <c r="G54" i="25"/>
  <c r="N70" i="40"/>
  <c r="G73" i="39"/>
  <c r="BU36" i="29"/>
  <c r="F91" i="32"/>
  <c r="BU31" i="29"/>
  <c r="E38" i="29"/>
  <c r="F86" i="39"/>
  <c r="G57" i="40"/>
  <c r="H79" i="39"/>
  <c r="H37" i="43"/>
  <c r="L347" i="44"/>
  <c r="S157" i="27"/>
  <c r="U47" i="32"/>
  <c r="E92" i="32"/>
  <c r="E68" i="40"/>
  <c r="W226" i="27"/>
  <c r="E74" i="32"/>
  <c r="F57" i="43"/>
  <c r="G85" i="43"/>
  <c r="E24" i="32"/>
  <c r="V58" i="32"/>
  <c r="E31" i="39"/>
  <c r="U15" i="43"/>
  <c r="I19" i="39"/>
  <c r="E21" i="40"/>
  <c r="K64" i="25"/>
  <c r="BU40" i="29"/>
  <c r="E23" i="39"/>
  <c r="E21" i="43"/>
  <c r="E38" i="43"/>
  <c r="N71" i="43"/>
  <c r="E60" i="32"/>
  <c r="T48" i="35"/>
  <c r="AA76" i="39"/>
  <c r="F15" i="43"/>
  <c r="G232" i="27"/>
  <c r="I105" i="32"/>
  <c r="S50" i="32"/>
  <c r="E151" i="27"/>
  <c r="W9" i="37"/>
  <c r="H9" i="37"/>
  <c r="E84" i="32"/>
  <c r="V90" i="40"/>
  <c r="E42" i="32"/>
  <c r="V86" i="32"/>
  <c r="T61" i="39"/>
  <c r="E94" i="32"/>
  <c r="AA54" i="40"/>
  <c r="V48" i="32"/>
  <c r="E77" i="40"/>
  <c r="I159" i="27"/>
  <c r="E59" i="32"/>
  <c r="K149" i="27"/>
  <c r="E28" i="43"/>
  <c r="H39" i="32"/>
  <c r="V82" i="32"/>
  <c r="G72" i="43"/>
  <c r="BU33" i="29"/>
  <c r="I79" i="43"/>
  <c r="S152" i="27"/>
  <c r="G21" i="40"/>
  <c r="I224" i="27"/>
  <c r="Y220" i="27"/>
  <c r="F10" i="10"/>
  <c r="I86" i="32"/>
  <c r="Y39" i="32"/>
  <c r="E65" i="43"/>
  <c r="E62" i="40"/>
  <c r="V27" i="37"/>
  <c r="E83" i="40"/>
  <c r="U13" i="32"/>
  <c r="J50" i="29"/>
  <c r="H39" i="40"/>
  <c r="V21" i="40"/>
  <c r="I37" i="39"/>
  <c r="I90" i="40"/>
  <c r="S65" i="43"/>
  <c r="I12" i="39"/>
  <c r="F5" i="43"/>
  <c r="W148" i="27"/>
  <c r="M49" i="35"/>
  <c r="V33" i="32"/>
  <c r="F21" i="47"/>
  <c r="T100" i="32"/>
  <c r="BU34" i="29"/>
  <c r="I72" i="40"/>
  <c r="T78" i="43"/>
  <c r="G23" i="32"/>
  <c r="U17" i="40"/>
  <c r="BW27" i="29"/>
  <c r="S13" i="39"/>
  <c r="G52" i="25"/>
  <c r="H46" i="35"/>
  <c r="AA86" i="43"/>
  <c r="G19" i="39"/>
  <c r="S12" i="32"/>
  <c r="G12" i="32"/>
  <c r="F55" i="43"/>
  <c r="Z156" i="27"/>
  <c r="V50" i="35"/>
  <c r="Y64" i="43"/>
  <c r="AB157" i="27"/>
  <c r="I16" i="43"/>
  <c r="H27" i="37"/>
  <c r="I154" i="27"/>
  <c r="T87" i="39"/>
  <c r="G147" i="27"/>
  <c r="J56" i="29"/>
  <c r="G21" i="43"/>
  <c r="AA5" i="43"/>
  <c r="U45" i="40"/>
  <c r="E54" i="32"/>
  <c r="E81" i="43"/>
  <c r="J15" i="37"/>
  <c r="K218" i="27"/>
  <c r="K145" i="27"/>
  <c r="E6" i="32"/>
  <c r="E94" i="43"/>
  <c r="T66" i="39"/>
  <c r="E69" i="39"/>
  <c r="E49" i="43"/>
  <c r="BP63" i="29"/>
  <c r="Y94" i="40"/>
  <c r="V62" i="40"/>
  <c r="AA54" i="32"/>
  <c r="G15" i="40"/>
  <c r="G55" i="40"/>
  <c r="E86" i="39"/>
  <c r="E80" i="43"/>
  <c r="E40" i="39"/>
  <c r="E87" i="43"/>
  <c r="K155" i="27"/>
  <c r="E98" i="32"/>
  <c r="N51" i="43"/>
  <c r="F18" i="39"/>
  <c r="H26" i="39"/>
  <c r="E11" i="43"/>
  <c r="H53" i="35"/>
  <c r="F72" i="40"/>
  <c r="F73" i="32"/>
  <c r="G53" i="25"/>
  <c r="S84" i="39"/>
  <c r="H18" i="39"/>
  <c r="E47" i="39"/>
  <c r="V36" i="32"/>
  <c r="Y219" i="27"/>
  <c r="E6" i="39"/>
  <c r="G48" i="14"/>
  <c r="J8" i="37"/>
  <c r="S54" i="40"/>
  <c r="I31" i="29"/>
  <c r="E33" i="43"/>
  <c r="E50" i="32"/>
  <c r="U85" i="40"/>
  <c r="F29" i="40"/>
  <c r="U22" i="32"/>
  <c r="S50" i="43"/>
  <c r="I23" i="39"/>
  <c r="D347" i="44"/>
  <c r="AC28" i="37"/>
  <c r="N20" i="32"/>
  <c r="N145" i="27"/>
  <c r="U29" i="40"/>
  <c r="F44" i="40"/>
  <c r="F23" i="32"/>
  <c r="E64" i="43"/>
  <c r="E88" i="39"/>
  <c r="E35" i="32"/>
  <c r="I60" i="29"/>
  <c r="U102" i="39"/>
  <c r="H224" i="27"/>
  <c r="E5" i="43"/>
  <c r="I98" i="39"/>
  <c r="S57" i="40"/>
  <c r="AA60" i="39"/>
  <c r="Y221" i="27"/>
  <c r="E73" i="39"/>
  <c r="K151" i="27"/>
  <c r="F64" i="40"/>
  <c r="N223" i="27"/>
  <c r="F24" i="32"/>
  <c r="G86" i="43"/>
  <c r="U72" i="32"/>
  <c r="T97" i="43"/>
  <c r="I85" i="40"/>
  <c r="V6" i="43"/>
  <c r="S93" i="43"/>
  <c r="AA21" i="43"/>
  <c r="S91" i="32"/>
  <c r="V51" i="35"/>
  <c r="H76" i="40"/>
  <c r="U226" i="27"/>
  <c r="BU30" i="29"/>
  <c r="V92" i="40"/>
  <c r="I67" i="32"/>
  <c r="U44" i="40"/>
  <c r="AA79" i="40"/>
  <c r="S81" i="43"/>
  <c r="F84" i="40"/>
  <c r="I51" i="25"/>
  <c r="BU29" i="29"/>
  <c r="AA72" i="43"/>
  <c r="F94" i="32"/>
  <c r="U12" i="32"/>
  <c r="I10" i="43"/>
  <c r="I62" i="39"/>
  <c r="S149" i="27"/>
  <c r="N75" i="39"/>
  <c r="F78" i="43"/>
  <c r="S70" i="43"/>
  <c r="V221" i="27"/>
  <c r="AA83" i="40"/>
  <c r="J57" i="29"/>
  <c r="H6" i="40"/>
  <c r="H225" i="27"/>
  <c r="G10" i="40"/>
  <c r="S58" i="43"/>
  <c r="BQ37" i="29"/>
  <c r="S5" i="43"/>
  <c r="E38" i="32"/>
  <c r="E45" i="43"/>
  <c r="V159" i="27"/>
  <c r="E29" i="43"/>
  <c r="E68" i="32"/>
  <c r="E50" i="43"/>
  <c r="E79" i="40"/>
  <c r="K55" i="29"/>
  <c r="V79" i="39"/>
  <c r="E63" i="43"/>
  <c r="U26" i="39"/>
  <c r="S45" i="40"/>
  <c r="V157" i="27"/>
  <c r="N40" i="39"/>
  <c r="AA93" i="40"/>
  <c r="G40" i="43"/>
  <c r="E32" i="39"/>
  <c r="H48" i="32"/>
  <c r="I35" i="39"/>
  <c r="E77" i="39"/>
  <c r="E27" i="43"/>
  <c r="Y155" i="27"/>
  <c r="K219" i="27"/>
  <c r="H15" i="40"/>
  <c r="E44" i="39"/>
  <c r="E25" i="39"/>
  <c r="H37" i="39"/>
  <c r="AA53" i="35"/>
  <c r="I44" i="43"/>
  <c r="I55" i="43"/>
  <c r="S94" i="43"/>
  <c r="G65" i="43"/>
  <c r="E55" i="43"/>
  <c r="E7" i="32"/>
  <c r="K144" i="27"/>
  <c r="S21" i="40"/>
  <c r="E36" i="32"/>
  <c r="G13" i="32"/>
  <c r="I62" i="40"/>
  <c r="L156" i="27"/>
  <c r="H154" i="27"/>
  <c r="S67" i="39"/>
  <c r="U14" i="39"/>
  <c r="S74" i="32"/>
  <c r="H22" i="32"/>
  <c r="G85" i="39"/>
  <c r="E68" i="39"/>
  <c r="H65" i="43"/>
  <c r="U38" i="39"/>
  <c r="D37" i="29"/>
  <c r="W21" i="47"/>
  <c r="G77" i="43"/>
  <c r="H40" i="32"/>
  <c r="E37" i="32"/>
  <c r="E19" i="39"/>
  <c r="H70" i="40"/>
  <c r="E80" i="39"/>
  <c r="U158" i="27"/>
  <c r="U113" i="32"/>
  <c r="BU57" i="29"/>
  <c r="F10" i="40"/>
  <c r="D44" i="35"/>
  <c r="AA36" i="39"/>
  <c r="L155" i="27"/>
  <c r="I113" i="32"/>
  <c r="E27" i="39"/>
  <c r="E75" i="39"/>
  <c r="E58" i="32"/>
  <c r="K217" i="27"/>
  <c r="AA14" i="32"/>
  <c r="V26" i="39"/>
  <c r="E118" i="32"/>
  <c r="E36" i="39"/>
  <c r="G46" i="35"/>
  <c r="F112" i="32"/>
  <c r="T90" i="40"/>
  <c r="V53" i="35"/>
  <c r="T94" i="40"/>
  <c r="I82" i="32"/>
  <c r="U93" i="32"/>
  <c r="I54" i="40"/>
  <c r="W157" i="27"/>
  <c r="I44" i="39"/>
  <c r="AA70" i="40"/>
  <c r="S78" i="40"/>
  <c r="F68" i="40"/>
  <c r="G11" i="40"/>
  <c r="X7" i="10"/>
  <c r="BV64" i="29"/>
  <c r="Y54" i="40"/>
  <c r="S54" i="32"/>
  <c r="T7" i="32"/>
  <c r="G91" i="32"/>
  <c r="N79" i="39"/>
  <c r="T105" i="32"/>
  <c r="V92" i="39"/>
  <c r="BW39" i="29"/>
  <c r="T49" i="35"/>
  <c r="F55" i="39"/>
  <c r="BV50" i="29"/>
  <c r="BX40" i="29"/>
  <c r="F7" i="10"/>
  <c r="V12" i="39"/>
  <c r="N28" i="32"/>
  <c r="V98" i="32"/>
  <c r="T21" i="40"/>
  <c r="N29" i="43"/>
  <c r="V88" i="39"/>
  <c r="N44" i="43"/>
  <c r="AC349" i="44"/>
  <c r="AB218" i="27"/>
  <c r="S22" i="40"/>
  <c r="G9" i="10"/>
  <c r="K47" i="35"/>
  <c r="H230" i="27"/>
  <c r="E48" i="32"/>
  <c r="BP39" i="29"/>
  <c r="E45" i="40"/>
  <c r="E40" i="43"/>
  <c r="E54" i="40"/>
  <c r="K224" i="27"/>
  <c r="T93" i="39"/>
  <c r="N32" i="32"/>
  <c r="E88" i="43"/>
  <c r="Y151" i="27"/>
  <c r="U7" i="39"/>
  <c r="J52" i="29"/>
  <c r="W30" i="37"/>
  <c r="H5" i="39"/>
  <c r="N94" i="40"/>
  <c r="F84" i="39"/>
  <c r="E85" i="40"/>
  <c r="E55" i="39"/>
  <c r="Y154" i="27"/>
  <c r="E5" i="39"/>
  <c r="H46" i="39"/>
  <c r="E29" i="40"/>
  <c r="F59" i="32"/>
  <c r="U29" i="43"/>
  <c r="E27" i="32"/>
  <c r="E64" i="40"/>
  <c r="I60" i="25"/>
  <c r="T62" i="40"/>
  <c r="N6" i="32"/>
  <c r="S21" i="43"/>
  <c r="I104" i="32"/>
  <c r="E82" i="32"/>
  <c r="E18" i="39"/>
  <c r="Y222" i="27"/>
  <c r="V80" i="39"/>
  <c r="E113" i="32"/>
  <c r="U48" i="32"/>
  <c r="K61" i="25"/>
  <c r="N104" i="32"/>
  <c r="V40" i="32"/>
  <c r="E25" i="32"/>
  <c r="E23" i="43"/>
  <c r="F76" i="39"/>
  <c r="N44" i="40"/>
  <c r="N86" i="43"/>
  <c r="N92" i="39"/>
  <c r="I33" i="40"/>
  <c r="F46" i="35"/>
  <c r="E152" i="27"/>
  <c r="S105" i="32"/>
  <c r="S16" i="40"/>
  <c r="BW64" i="29"/>
  <c r="L42" i="32"/>
  <c r="T52" i="39"/>
  <c r="BP37" i="29"/>
  <c r="E73" i="32"/>
  <c r="E92" i="43"/>
  <c r="AA76" i="40"/>
  <c r="Y230" i="27"/>
  <c r="E46" i="39"/>
  <c r="Y6" i="37"/>
  <c r="E40" i="40"/>
  <c r="E61" i="25"/>
  <c r="E86" i="40"/>
  <c r="E57" i="43"/>
  <c r="S40" i="43"/>
  <c r="E27" i="40"/>
  <c r="U74" i="32"/>
  <c r="G20" i="47"/>
  <c r="I38" i="32"/>
  <c r="G29" i="37"/>
  <c r="O61" i="25"/>
  <c r="H39" i="43"/>
  <c r="V26" i="32"/>
  <c r="U94" i="32"/>
  <c r="N39" i="40"/>
  <c r="T33" i="39"/>
  <c r="I33" i="39"/>
  <c r="T57" i="40"/>
  <c r="W158" i="27"/>
  <c r="S31" i="39"/>
  <c r="F64" i="29"/>
  <c r="H5" i="40"/>
  <c r="H79" i="40"/>
  <c r="G39" i="40"/>
  <c r="N95" i="43"/>
  <c r="U42" i="32"/>
  <c r="V57" i="43"/>
  <c r="N62" i="43"/>
  <c r="U56" i="43"/>
  <c r="BX39" i="29"/>
  <c r="G22" i="40"/>
  <c r="T64" i="43"/>
  <c r="AA19" i="39"/>
  <c r="AA56" i="40"/>
  <c r="G7" i="39"/>
  <c r="G148" i="27"/>
  <c r="N85" i="40"/>
  <c r="U72" i="43"/>
  <c r="S33" i="43"/>
  <c r="L157" i="27"/>
  <c r="S61" i="39"/>
  <c r="H49" i="35"/>
  <c r="V91" i="32"/>
  <c r="S104" i="32"/>
  <c r="BX36" i="29"/>
  <c r="AA72" i="32"/>
  <c r="H11" i="43"/>
  <c r="E5" i="32"/>
  <c r="H36" i="32"/>
  <c r="V39" i="39"/>
  <c r="E47" i="32"/>
  <c r="Y8" i="37"/>
  <c r="E8" i="39"/>
  <c r="G54" i="32"/>
  <c r="F67" i="39"/>
  <c r="E22" i="40"/>
  <c r="E73" i="43"/>
  <c r="E57" i="40"/>
  <c r="L28" i="32"/>
  <c r="F67" i="32"/>
  <c r="L32" i="29"/>
  <c r="I144" i="27"/>
  <c r="G56" i="43"/>
  <c r="Y223" i="27"/>
  <c r="I80" i="39"/>
  <c r="H155" i="27"/>
  <c r="E38" i="40"/>
  <c r="E86" i="43"/>
  <c r="E93" i="39"/>
  <c r="I45" i="39"/>
  <c r="H222" i="27"/>
  <c r="E134" i="27"/>
  <c r="E77" i="43"/>
  <c r="N84" i="39"/>
  <c r="U39" i="40"/>
  <c r="U61" i="39"/>
  <c r="U76" i="40"/>
  <c r="I69" i="39"/>
  <c r="E26" i="32"/>
  <c r="X9" i="37"/>
  <c r="G52" i="35"/>
  <c r="Y149" i="27"/>
  <c r="K220" i="27"/>
  <c r="E15" i="43"/>
  <c r="W48" i="14"/>
  <c r="S99" i="32"/>
  <c r="N77" i="40"/>
  <c r="V46" i="39"/>
  <c r="D40" i="29"/>
  <c r="N13" i="39"/>
  <c r="H24" i="32"/>
  <c r="H85" i="32"/>
  <c r="I44" i="40"/>
  <c r="U88" i="43"/>
  <c r="L25" i="32"/>
  <c r="H61" i="25"/>
  <c r="N54" i="40"/>
  <c r="J53" i="29"/>
  <c r="AA90" i="32"/>
  <c r="V55" i="43"/>
  <c r="G226" i="27"/>
  <c r="H15" i="43"/>
  <c r="N92" i="43"/>
  <c r="E32" i="32"/>
  <c r="H48" i="14"/>
  <c r="E112" i="32"/>
  <c r="E100" i="32"/>
  <c r="U157" i="27"/>
  <c r="N88" i="39"/>
  <c r="K63" i="25"/>
  <c r="I22" i="32"/>
  <c r="U5" i="43"/>
  <c r="H23" i="43"/>
  <c r="F65" i="32"/>
  <c r="H56" i="40"/>
  <c r="I26" i="39"/>
  <c r="H26" i="32"/>
  <c r="E91" i="32"/>
  <c r="E23" i="40"/>
  <c r="V35" i="39"/>
  <c r="E26" i="39"/>
  <c r="F6" i="32"/>
  <c r="I46" i="39"/>
  <c r="T25" i="39"/>
  <c r="V39" i="40"/>
  <c r="F83" i="40"/>
  <c r="F65" i="43"/>
  <c r="I40" i="40"/>
  <c r="T23" i="39"/>
  <c r="S45" i="43"/>
  <c r="G49" i="43"/>
  <c r="Y156" i="27"/>
  <c r="E85" i="32"/>
  <c r="Y13" i="37"/>
  <c r="BU58" i="29"/>
  <c r="I40" i="32"/>
  <c r="G72" i="32"/>
  <c r="K34" i="29"/>
  <c r="K230" i="27"/>
  <c r="U21" i="47"/>
  <c r="Z155" i="27"/>
  <c r="BR38" i="29"/>
  <c r="T48" i="14"/>
  <c r="BP38" i="29"/>
  <c r="AB48" i="14"/>
  <c r="AC21" i="47"/>
  <c r="S155" i="27"/>
  <c r="BQ38" i="29"/>
  <c r="BU163" i="29" l="1"/>
  <c r="X23" i="40"/>
  <c r="J26" i="32"/>
  <c r="J56" i="40"/>
  <c r="J23" i="43"/>
  <c r="W5" i="43"/>
  <c r="L63" i="25"/>
  <c r="O88" i="39"/>
  <c r="X100" i="32"/>
  <c r="K100" i="32"/>
  <c r="O92" i="43"/>
  <c r="J15" i="43"/>
  <c r="O54" i="40"/>
  <c r="J61" i="25"/>
  <c r="M25" i="32"/>
  <c r="W88" i="43"/>
  <c r="J24" i="32"/>
  <c r="O13" i="39"/>
  <c r="E252" i="29"/>
  <c r="O77" i="40"/>
  <c r="Y48" i="14"/>
  <c r="Y49" i="14" s="1"/>
  <c r="W76" i="40"/>
  <c r="W61" i="39"/>
  <c r="W39" i="40"/>
  <c r="O84" i="39"/>
  <c r="J222" i="27"/>
  <c r="X38" i="40"/>
  <c r="J155" i="27"/>
  <c r="H130" i="29"/>
  <c r="M28" i="32"/>
  <c r="X57" i="40"/>
  <c r="X22" i="40"/>
  <c r="J36" i="32"/>
  <c r="K5" i="32"/>
  <c r="J11" i="43"/>
  <c r="BW187" i="29"/>
  <c r="AB61" i="39"/>
  <c r="M157" i="27"/>
  <c r="W72" i="43"/>
  <c r="O85" i="40"/>
  <c r="AB56" i="40"/>
  <c r="AB19" i="39"/>
  <c r="BW251" i="29"/>
  <c r="W56" i="43"/>
  <c r="O62" i="43"/>
  <c r="W42" i="32"/>
  <c r="O95" i="43"/>
  <c r="J79" i="40"/>
  <c r="J5" i="40"/>
  <c r="O39" i="40"/>
  <c r="J39" i="43"/>
  <c r="P61" i="25"/>
  <c r="I29" i="37"/>
  <c r="I20" i="47"/>
  <c r="W74" i="32"/>
  <c r="X27" i="40"/>
  <c r="K57" i="43"/>
  <c r="X86" i="40"/>
  <c r="X40" i="40"/>
  <c r="AB76" i="40"/>
  <c r="BT219" i="29"/>
  <c r="M42" i="32"/>
  <c r="O92" i="39"/>
  <c r="O86" i="43"/>
  <c r="O44" i="40"/>
  <c r="O104" i="32"/>
  <c r="W48" i="32"/>
  <c r="O6" i="32"/>
  <c r="X64" i="40"/>
  <c r="W29" i="43"/>
  <c r="X29" i="40"/>
  <c r="J46" i="39"/>
  <c r="K85" i="40"/>
  <c r="X85" i="40"/>
  <c r="O94" i="40"/>
  <c r="J5" i="39"/>
  <c r="W7" i="39"/>
  <c r="O32" i="32"/>
  <c r="X54" i="40"/>
  <c r="X45" i="40"/>
  <c r="BT251" i="29"/>
  <c r="J230" i="27"/>
  <c r="L47" i="35"/>
  <c r="AC218" i="27"/>
  <c r="AD349" i="44"/>
  <c r="O44" i="43"/>
  <c r="O29" i="43"/>
  <c r="O28" i="32"/>
  <c r="BW252" i="29"/>
  <c r="O55" i="39"/>
  <c r="O79" i="39"/>
  <c r="AB70" i="40"/>
  <c r="K234" i="27"/>
  <c r="N155" i="27"/>
  <c r="O155" i="27" s="1"/>
  <c r="M155" i="27"/>
  <c r="AB36" i="39"/>
  <c r="BU136" i="29"/>
  <c r="W113" i="32"/>
  <c r="J70" i="40"/>
  <c r="J40" i="32"/>
  <c r="E219" i="29"/>
  <c r="W38" i="39"/>
  <c r="J65" i="43"/>
  <c r="J22" i="32"/>
  <c r="W14" i="39"/>
  <c r="J154" i="27"/>
  <c r="M156" i="27"/>
  <c r="J37" i="39"/>
  <c r="J15" i="40"/>
  <c r="J48" i="32"/>
  <c r="AB93" i="40"/>
  <c r="O40" i="39"/>
  <c r="X157" i="27"/>
  <c r="W26" i="39"/>
  <c r="X79" i="40"/>
  <c r="X159" i="27"/>
  <c r="J225" i="27"/>
  <c r="J6" i="40"/>
  <c r="AB83" i="40"/>
  <c r="X221" i="27"/>
  <c r="O75" i="39"/>
  <c r="BU131" i="29"/>
  <c r="AB79" i="40"/>
  <c r="W44" i="40"/>
  <c r="BU127" i="29"/>
  <c r="J76" i="40"/>
  <c r="W72" i="32"/>
  <c r="O223" i="27"/>
  <c r="AB60" i="39"/>
  <c r="J224" i="27"/>
  <c r="W102" i="39"/>
  <c r="F191" i="29"/>
  <c r="K64" i="43"/>
  <c r="X64" i="43"/>
  <c r="W29" i="40"/>
  <c r="O145" i="27"/>
  <c r="O20" i="32"/>
  <c r="AD28" i="37"/>
  <c r="K347" i="44"/>
  <c r="W22" i="32"/>
  <c r="W85" i="40"/>
  <c r="F126" i="29"/>
  <c r="I48" i="14"/>
  <c r="I49" i="14" s="1"/>
  <c r="J18" i="39"/>
  <c r="J26" i="39"/>
  <c r="O51" i="43"/>
  <c r="K87" i="43"/>
  <c r="X87" i="43"/>
  <c r="Z94" i="40"/>
  <c r="BT255" i="29"/>
  <c r="W45" i="40"/>
  <c r="AC157" i="27"/>
  <c r="Z64" i="43"/>
  <c r="AA156" i="27"/>
  <c r="W17" i="40"/>
  <c r="BU157" i="29"/>
  <c r="N49" i="35"/>
  <c r="J39" i="40"/>
  <c r="X83" i="40"/>
  <c r="X27" i="37"/>
  <c r="X62" i="40"/>
  <c r="Z39" i="32"/>
  <c r="BU125" i="29"/>
  <c r="J39" i="32"/>
  <c r="X77" i="40"/>
  <c r="AB54" i="40"/>
  <c r="X42" i="32"/>
  <c r="K42" i="32"/>
  <c r="K9" i="37"/>
  <c r="L9" i="37" s="1"/>
  <c r="M9" i="37" s="1"/>
  <c r="Z9" i="37"/>
  <c r="AA9" i="37" s="1"/>
  <c r="AB9" i="37" s="1"/>
  <c r="AB76" i="39"/>
  <c r="O71" i="43"/>
  <c r="BU252" i="29"/>
  <c r="X21" i="40"/>
  <c r="W15" i="43"/>
  <c r="X68" i="40"/>
  <c r="W47" i="32"/>
  <c r="M347" i="44"/>
  <c r="J37" i="43"/>
  <c r="J79" i="39"/>
  <c r="BU126" i="29"/>
  <c r="BU187" i="29"/>
  <c r="O70" i="40"/>
  <c r="J113" i="32"/>
  <c r="M158" i="27"/>
  <c r="AB93" i="39"/>
  <c r="O30" i="37"/>
  <c r="K160" i="27"/>
  <c r="E220" i="29"/>
  <c r="W10" i="40"/>
  <c r="W36" i="32"/>
  <c r="X10" i="40"/>
  <c r="P63" i="25"/>
  <c r="J11" i="40"/>
  <c r="AB71" i="40"/>
  <c r="O99" i="32"/>
  <c r="J118" i="32"/>
  <c r="O85" i="39"/>
  <c r="O39" i="43"/>
  <c r="J63" i="25"/>
  <c r="W18" i="39"/>
  <c r="J44" i="43"/>
  <c r="J16" i="40"/>
  <c r="J40" i="39"/>
  <c r="J83" i="40"/>
  <c r="J21" i="39"/>
  <c r="P62" i="25"/>
  <c r="O107" i="32"/>
  <c r="J13" i="39"/>
  <c r="J144" i="27"/>
  <c r="K28" i="32"/>
  <c r="X28" i="32"/>
  <c r="K65" i="25"/>
  <c r="J49" i="43"/>
  <c r="X72" i="40"/>
  <c r="W57" i="40"/>
  <c r="N46" i="35"/>
  <c r="AB44" i="39"/>
  <c r="O76" i="39"/>
  <c r="F187" i="29"/>
  <c r="AB48" i="39"/>
  <c r="W8" i="39"/>
  <c r="X71" i="40"/>
  <c r="X55" i="40"/>
  <c r="W22" i="43"/>
  <c r="J103" i="39"/>
  <c r="O78" i="43"/>
  <c r="BW157" i="29"/>
  <c r="X28" i="40"/>
  <c r="BW128" i="29"/>
  <c r="F129" i="29"/>
  <c r="X90" i="40"/>
  <c r="O227" i="27"/>
  <c r="X92" i="40"/>
  <c r="X104" i="32"/>
  <c r="X94" i="40"/>
  <c r="K94" i="40"/>
  <c r="AB68" i="39"/>
  <c r="J87" i="43"/>
  <c r="W67" i="32"/>
  <c r="J149" i="27"/>
  <c r="AB66" i="39"/>
  <c r="O49" i="40"/>
  <c r="O36" i="39"/>
  <c r="W7" i="32"/>
  <c r="O144" i="27"/>
  <c r="Z87" i="43"/>
  <c r="AB86" i="40"/>
  <c r="X232" i="27"/>
  <c r="AB39" i="40"/>
  <c r="W71" i="43"/>
  <c r="AE7" i="10"/>
  <c r="AA157" i="27"/>
  <c r="J62" i="43"/>
  <c r="X30" i="37"/>
  <c r="Y234" i="27"/>
  <c r="X33" i="40"/>
  <c r="BT256" i="29"/>
  <c r="O97" i="43"/>
  <c r="J33" i="39"/>
  <c r="N48" i="14"/>
  <c r="O48" i="14" s="1"/>
  <c r="O49" i="14" s="1"/>
  <c r="M48" i="14"/>
  <c r="O87" i="43"/>
  <c r="M38" i="39"/>
  <c r="X93" i="40"/>
  <c r="X76" i="40"/>
  <c r="AC149" i="27"/>
  <c r="O156" i="27"/>
  <c r="Z25" i="39"/>
  <c r="W39" i="39"/>
  <c r="X50" i="40"/>
  <c r="J233" i="27"/>
  <c r="M230" i="27"/>
  <c r="J151" i="27"/>
  <c r="X37" i="40"/>
  <c r="E255" i="29"/>
  <c r="X11" i="40"/>
  <c r="X155" i="27"/>
  <c r="J53" i="39"/>
  <c r="X222" i="27"/>
  <c r="J34" i="39"/>
  <c r="Z100" i="32"/>
  <c r="F142" i="29"/>
  <c r="W38" i="43"/>
  <c r="I27" i="37"/>
  <c r="J22" i="40"/>
  <c r="J57" i="43"/>
  <c r="H219" i="29"/>
  <c r="W41" i="32"/>
  <c r="O88" i="43"/>
  <c r="AB54" i="39"/>
  <c r="O85" i="43"/>
  <c r="F219" i="29"/>
  <c r="AB14" i="39"/>
  <c r="N48" i="35"/>
  <c r="X152" i="27"/>
  <c r="O94" i="43"/>
  <c r="J80" i="43"/>
  <c r="J28" i="40"/>
  <c r="N50" i="35"/>
  <c r="O16" i="40"/>
  <c r="AD30" i="37"/>
  <c r="BU137" i="29"/>
  <c r="X17" i="40"/>
  <c r="X84" i="40"/>
  <c r="J100" i="32"/>
  <c r="W23" i="43"/>
  <c r="X56" i="40"/>
  <c r="AB75" i="39"/>
  <c r="J20" i="39"/>
  <c r="O66" i="32"/>
  <c r="O28" i="40"/>
  <c r="W86" i="32"/>
  <c r="O20" i="47"/>
  <c r="AE6" i="10"/>
  <c r="J218" i="27"/>
  <c r="W21" i="39"/>
  <c r="W85" i="43"/>
  <c r="O12" i="39"/>
  <c r="W52" i="35"/>
  <c r="O28" i="43"/>
  <c r="J60" i="25"/>
  <c r="W83" i="40"/>
  <c r="P64" i="25"/>
  <c r="W24" i="32"/>
  <c r="J66" i="39"/>
  <c r="X145" i="27"/>
  <c r="N53" i="35"/>
  <c r="W68" i="40"/>
  <c r="J64" i="40"/>
  <c r="W46" i="39"/>
  <c r="O22" i="40"/>
  <c r="AB68" i="40"/>
  <c r="X223" i="27"/>
  <c r="O82" i="32"/>
  <c r="X15" i="40"/>
  <c r="M50" i="32"/>
  <c r="W92" i="32"/>
  <c r="W69" i="43"/>
  <c r="W93" i="43"/>
  <c r="X69" i="40"/>
  <c r="J231" i="27"/>
  <c r="J35" i="39"/>
  <c r="O52" i="39"/>
  <c r="W106" i="32"/>
  <c r="W17" i="43"/>
  <c r="AB77" i="39"/>
  <c r="X29" i="37"/>
  <c r="E136" i="27"/>
  <c r="F134" i="27" s="1"/>
  <c r="J86" i="32"/>
  <c r="W22" i="39"/>
  <c r="X78" i="40"/>
  <c r="W80" i="39"/>
  <c r="J21" i="43"/>
  <c r="W25" i="39"/>
  <c r="M54" i="32"/>
  <c r="M55" i="32" s="1"/>
  <c r="X49" i="40"/>
  <c r="W40" i="32"/>
  <c r="J68" i="32"/>
  <c r="O92" i="40"/>
  <c r="O91" i="32"/>
  <c r="BT252" i="29"/>
  <c r="J80" i="39"/>
  <c r="I347" i="44"/>
  <c r="O69" i="40"/>
  <c r="AB12" i="39"/>
  <c r="AB78" i="40"/>
  <c r="J112" i="32"/>
  <c r="O232" i="27"/>
  <c r="M231" i="27"/>
  <c r="O59" i="32"/>
  <c r="W112" i="32"/>
  <c r="J38" i="40"/>
  <c r="J86" i="43"/>
  <c r="O7" i="32"/>
  <c r="O39" i="32"/>
  <c r="AC222" i="27"/>
  <c r="J28" i="43"/>
  <c r="BW126" i="29"/>
  <c r="J50" i="40"/>
  <c r="J145" i="27"/>
  <c r="J10" i="43"/>
  <c r="AB73" i="39"/>
  <c r="W86" i="43"/>
  <c r="O72" i="43"/>
  <c r="O151" i="27"/>
  <c r="W50" i="40"/>
  <c r="W28" i="40"/>
  <c r="X349" i="44"/>
  <c r="BW125" i="29"/>
  <c r="W85" i="39"/>
  <c r="W38" i="40"/>
  <c r="J7" i="39"/>
  <c r="O37" i="43"/>
  <c r="J73" i="43"/>
  <c r="AB34" i="39"/>
  <c r="AB104" i="32"/>
  <c r="AB39" i="32"/>
  <c r="W58" i="43"/>
  <c r="W23" i="32"/>
  <c r="J67" i="39"/>
  <c r="M48" i="39"/>
  <c r="AB25" i="39"/>
  <c r="O33" i="39"/>
  <c r="W78" i="40"/>
  <c r="AB57" i="40"/>
  <c r="X226" i="27"/>
  <c r="W60" i="39"/>
  <c r="J62" i="39"/>
  <c r="F131" i="29"/>
  <c r="O25" i="32"/>
  <c r="J220" i="27"/>
  <c r="AC154" i="27"/>
  <c r="O5" i="39"/>
  <c r="AA230" i="27"/>
  <c r="O37" i="39"/>
  <c r="AB65" i="43"/>
  <c r="M154" i="27"/>
  <c r="O44" i="39"/>
  <c r="W80" i="43"/>
  <c r="BU138" i="29"/>
  <c r="J70" i="43"/>
  <c r="X153" i="27"/>
  <c r="O68" i="40"/>
  <c r="J143" i="27"/>
  <c r="W21" i="32"/>
  <c r="J63" i="40"/>
  <c r="X70" i="40"/>
  <c r="J156" i="27"/>
  <c r="X6" i="40"/>
  <c r="K96" i="43"/>
  <c r="X96" i="43"/>
  <c r="O220" i="27"/>
  <c r="J146" i="27"/>
  <c r="W16" i="40"/>
  <c r="J104" i="32"/>
  <c r="F125" i="29"/>
  <c r="AB117" i="32"/>
  <c r="W26" i="32"/>
  <c r="O37" i="32"/>
  <c r="BW129" i="29"/>
  <c r="M39" i="32"/>
  <c r="O69" i="39"/>
  <c r="AB24" i="39"/>
  <c r="H127" i="29"/>
  <c r="J38" i="39"/>
  <c r="J40" i="43"/>
  <c r="P52" i="25"/>
  <c r="W5" i="32"/>
  <c r="O58" i="43"/>
  <c r="X147" i="27"/>
  <c r="O94" i="32"/>
  <c r="J91" i="40"/>
  <c r="O65" i="43"/>
  <c r="J227" i="27"/>
  <c r="J48" i="39"/>
  <c r="AC217" i="27"/>
  <c r="O50" i="40"/>
  <c r="P53" i="25"/>
  <c r="H131" i="29"/>
  <c r="AB20" i="39"/>
  <c r="N21" i="47"/>
  <c r="O21" i="47" s="1"/>
  <c r="M21" i="47"/>
  <c r="O158" i="27"/>
  <c r="AB91" i="40"/>
  <c r="O41" i="32"/>
  <c r="W108" i="32"/>
  <c r="Z68" i="32"/>
  <c r="I6" i="10"/>
  <c r="O75" i="32"/>
  <c r="O54" i="39"/>
  <c r="M25" i="39"/>
  <c r="AA154" i="27"/>
  <c r="O27" i="39"/>
  <c r="AC231" i="27"/>
  <c r="Z96" i="43"/>
  <c r="J92" i="39"/>
  <c r="W67" i="39"/>
  <c r="J71" i="40"/>
  <c r="J78" i="43"/>
  <c r="W5" i="40"/>
  <c r="X220" i="27"/>
  <c r="O62" i="40"/>
  <c r="X144" i="27"/>
  <c r="X230" i="27"/>
  <c r="O34" i="39"/>
  <c r="J21" i="32"/>
  <c r="BW124" i="29"/>
  <c r="O27" i="32"/>
  <c r="W68" i="32"/>
  <c r="O79" i="32"/>
  <c r="J54" i="39"/>
  <c r="J17" i="43"/>
  <c r="W90" i="40"/>
  <c r="W32" i="39"/>
  <c r="O64" i="40"/>
  <c r="O25" i="39"/>
  <c r="O221" i="27"/>
  <c r="J6" i="43"/>
  <c r="L51" i="25"/>
  <c r="W15" i="40"/>
  <c r="W33" i="40"/>
  <c r="W34" i="40" s="1"/>
  <c r="H126" i="29"/>
  <c r="E256" i="29"/>
  <c r="O29" i="37"/>
  <c r="X16" i="40"/>
  <c r="I8" i="10"/>
  <c r="O108" i="32"/>
  <c r="O61" i="39"/>
  <c r="M68" i="32"/>
  <c r="W13" i="39"/>
  <c r="O81" i="43"/>
  <c r="E251" i="29"/>
  <c r="O38" i="32"/>
  <c r="X91" i="40"/>
  <c r="AB77" i="40"/>
  <c r="Y160" i="27"/>
  <c r="O74" i="39"/>
  <c r="W40" i="43"/>
  <c r="J39" i="39"/>
  <c r="X44" i="40"/>
  <c r="J159" i="27"/>
  <c r="O85" i="32"/>
  <c r="X39" i="40"/>
  <c r="X37" i="39"/>
  <c r="S136" i="27"/>
  <c r="T133" i="27" s="1"/>
  <c r="W35" i="39"/>
  <c r="J29" i="43"/>
  <c r="H251" i="29"/>
  <c r="O102" i="39"/>
  <c r="AB84" i="40"/>
  <c r="O21" i="32"/>
  <c r="BU251" i="29"/>
  <c r="O17" i="43"/>
  <c r="O76" i="40"/>
  <c r="I28" i="37"/>
  <c r="J61" i="32"/>
  <c r="AB37" i="40"/>
  <c r="AB5" i="39"/>
  <c r="W57" i="43"/>
  <c r="H125" i="29"/>
  <c r="F137" i="29"/>
  <c r="I30" i="37"/>
  <c r="W94" i="40"/>
  <c r="J88" i="43"/>
  <c r="BW219" i="29"/>
  <c r="O149" i="27"/>
  <c r="W27" i="43"/>
  <c r="AB100" i="32"/>
  <c r="AC226" i="27"/>
  <c r="J53" i="25"/>
  <c r="AA6" i="10"/>
  <c r="W49" i="43"/>
  <c r="W5" i="39"/>
  <c r="O23" i="39"/>
  <c r="AA147" i="27"/>
  <c r="W14" i="32"/>
  <c r="O83" i="40"/>
  <c r="O22" i="43"/>
  <c r="J85" i="39"/>
  <c r="Y8" i="10"/>
  <c r="J59" i="39"/>
  <c r="W97" i="39"/>
  <c r="W40" i="39"/>
  <c r="AB52" i="39"/>
  <c r="O103" i="39"/>
  <c r="BU191" i="29"/>
  <c r="W31" i="39"/>
  <c r="O348" i="44"/>
  <c r="J10" i="40"/>
  <c r="O21" i="43"/>
  <c r="W39" i="32"/>
  <c r="W47" i="39"/>
  <c r="J45" i="40"/>
  <c r="O77" i="39"/>
  <c r="J152" i="27"/>
  <c r="W117" i="32"/>
  <c r="W55" i="43"/>
  <c r="O37" i="40"/>
  <c r="O23" i="40"/>
  <c r="J55" i="39"/>
  <c r="AB21" i="39"/>
  <c r="AC219" i="27"/>
  <c r="AB47" i="39"/>
  <c r="J8" i="39"/>
  <c r="AB23" i="40"/>
  <c r="O146" i="27"/>
  <c r="X95" i="40"/>
  <c r="AC143" i="27"/>
  <c r="J55" i="40"/>
  <c r="O68" i="32"/>
  <c r="BW127" i="29"/>
  <c r="X61" i="40"/>
  <c r="X63" i="40"/>
  <c r="K63" i="40"/>
  <c r="X5" i="40"/>
  <c r="AB69" i="40"/>
  <c r="AC145" i="27"/>
  <c r="J88" i="39"/>
  <c r="J14" i="39"/>
  <c r="M62" i="39"/>
  <c r="J62" i="25"/>
  <c r="O97" i="39"/>
  <c r="J45" i="39"/>
  <c r="W21" i="40"/>
  <c r="BW130" i="29"/>
  <c r="J71" i="43"/>
  <c r="J31" i="39"/>
  <c r="J86" i="39"/>
  <c r="W79" i="39"/>
  <c r="W92" i="40"/>
  <c r="X219" i="27"/>
  <c r="L54" i="25"/>
  <c r="AC148" i="27"/>
  <c r="O154" i="27"/>
  <c r="O98" i="39"/>
  <c r="M47" i="14"/>
  <c r="W78" i="39"/>
  <c r="AB11" i="40"/>
  <c r="J42" i="32"/>
  <c r="O11" i="43"/>
  <c r="W88" i="39"/>
  <c r="W34" i="39"/>
  <c r="O47" i="32"/>
  <c r="J61" i="40"/>
  <c r="AB88" i="39"/>
  <c r="J69" i="39"/>
  <c r="AB28" i="32"/>
  <c r="W44" i="39"/>
  <c r="M100" i="32"/>
  <c r="AB74" i="39"/>
  <c r="O40" i="43"/>
  <c r="W78" i="43"/>
  <c r="AB107" i="32"/>
  <c r="O218" i="27"/>
  <c r="AB72" i="40"/>
  <c r="AC221" i="27"/>
  <c r="O79" i="43"/>
  <c r="AB33" i="39"/>
  <c r="W118" i="32"/>
  <c r="W37" i="40"/>
  <c r="O55" i="43"/>
  <c r="J94" i="40"/>
  <c r="J50" i="43"/>
  <c r="O46" i="32"/>
  <c r="J7" i="32"/>
  <c r="W83" i="32"/>
  <c r="W27" i="39"/>
  <c r="W54" i="40"/>
  <c r="AB5" i="40"/>
  <c r="J96" i="43"/>
  <c r="W23" i="40"/>
  <c r="W104" i="32"/>
  <c r="W97" i="43"/>
  <c r="J62" i="40"/>
  <c r="F136" i="29"/>
  <c r="H128" i="29"/>
  <c r="J72" i="43"/>
  <c r="AC158" i="27"/>
  <c r="AB92" i="39"/>
  <c r="AB94" i="39" s="1"/>
  <c r="O68" i="39"/>
  <c r="O117" i="32"/>
  <c r="O225" i="27"/>
  <c r="O78" i="40"/>
  <c r="W61" i="32"/>
  <c r="J51" i="25"/>
  <c r="O27" i="37"/>
  <c r="W66" i="39"/>
  <c r="J14" i="32"/>
  <c r="O32" i="39"/>
  <c r="J22" i="43"/>
  <c r="O33" i="43"/>
  <c r="O34" i="43" s="1"/>
  <c r="BU141" i="29"/>
  <c r="J84" i="39"/>
  <c r="J19" i="39"/>
  <c r="O18" i="32"/>
  <c r="J23" i="39"/>
  <c r="O59" i="39"/>
  <c r="AB94" i="32"/>
  <c r="W103" i="39"/>
  <c r="W104" i="39" s="1"/>
  <c r="AB94" i="40"/>
  <c r="J25" i="32"/>
  <c r="Y6" i="10"/>
  <c r="J32" i="32"/>
  <c r="Z62" i="39"/>
  <c r="J60" i="39"/>
  <c r="O48" i="39"/>
  <c r="AA232" i="27"/>
  <c r="W12" i="39"/>
  <c r="O93" i="43"/>
  <c r="W50" i="43"/>
  <c r="J158" i="27"/>
  <c r="J72" i="32"/>
  <c r="AB108" i="32"/>
  <c r="O21" i="40"/>
  <c r="W16" i="43"/>
  <c r="AB25" i="32"/>
  <c r="J54" i="25"/>
  <c r="J94" i="43"/>
  <c r="J21" i="40"/>
  <c r="AB16" i="40"/>
  <c r="W81" i="43"/>
  <c r="P54" i="25"/>
  <c r="X151" i="27"/>
  <c r="W70" i="40"/>
  <c r="O222" i="27"/>
  <c r="X217" i="27"/>
  <c r="AB97" i="39"/>
  <c r="J97" i="39"/>
  <c r="W77" i="43"/>
  <c r="O63" i="43"/>
  <c r="O78" i="39"/>
  <c r="O217" i="27"/>
  <c r="O17" i="40"/>
  <c r="J93" i="43"/>
  <c r="BU128" i="29"/>
  <c r="O349" i="44"/>
  <c r="O66" i="39"/>
  <c r="AB106" i="32"/>
  <c r="O80" i="43"/>
  <c r="X225" i="27"/>
  <c r="W96" i="43"/>
  <c r="J92" i="32"/>
  <c r="J69" i="40"/>
  <c r="O67" i="32"/>
  <c r="Z25" i="32"/>
  <c r="P55" i="25"/>
  <c r="W10" i="43"/>
  <c r="O35" i="32"/>
  <c r="H187" i="29"/>
  <c r="O6" i="40"/>
  <c r="AB112" i="32"/>
  <c r="O24" i="39"/>
  <c r="BU129" i="29"/>
  <c r="O6" i="43"/>
  <c r="AB90" i="40"/>
  <c r="O153" i="27"/>
  <c r="J92" i="43"/>
  <c r="J38" i="32"/>
  <c r="O11" i="40"/>
  <c r="O219" i="27"/>
  <c r="O65" i="32"/>
  <c r="Z38" i="39"/>
  <c r="F140" i="29"/>
  <c r="AB28" i="40"/>
  <c r="N51" i="35"/>
  <c r="O152" i="27"/>
  <c r="AC151" i="27"/>
  <c r="W55" i="39"/>
  <c r="AB6" i="40"/>
  <c r="J68" i="39"/>
  <c r="AB63" i="40"/>
  <c r="W44" i="43"/>
  <c r="O64" i="43"/>
  <c r="O5" i="40"/>
  <c r="Z85" i="40"/>
  <c r="F139" i="29"/>
  <c r="BU135" i="29"/>
  <c r="AA158" i="27"/>
  <c r="O18" i="39"/>
  <c r="J69" i="43"/>
  <c r="W33" i="43"/>
  <c r="W34" i="43" s="1"/>
  <c r="J29" i="40"/>
  <c r="O29" i="40"/>
  <c r="J82" i="32"/>
  <c r="W39" i="43"/>
  <c r="J23" i="40"/>
  <c r="O14" i="32"/>
  <c r="J153" i="27"/>
  <c r="O5" i="32"/>
  <c r="J22" i="39"/>
  <c r="O6" i="39"/>
  <c r="J28" i="32"/>
  <c r="X156" i="27"/>
  <c r="O53" i="39"/>
  <c r="J45" i="43"/>
  <c r="J46" i="43" s="1"/>
  <c r="W22" i="40"/>
  <c r="AB23" i="39"/>
  <c r="J85" i="43"/>
  <c r="N44" i="35"/>
  <c r="AB59" i="39"/>
  <c r="O90" i="40"/>
  <c r="W74" i="39"/>
  <c r="M232" i="27"/>
  <c r="J219" i="27"/>
  <c r="AB53" i="39"/>
  <c r="O93" i="40"/>
  <c r="O67" i="39"/>
  <c r="O70" i="39" s="1"/>
  <c r="W87" i="43"/>
  <c r="W89" i="43" s="1"/>
  <c r="AB24" i="32"/>
  <c r="AB67" i="39"/>
  <c r="J52" i="39"/>
  <c r="J56" i="39" s="1"/>
  <c r="O38" i="39"/>
  <c r="AB45" i="39"/>
  <c r="AB98" i="32"/>
  <c r="X149" i="27"/>
  <c r="J232" i="27"/>
  <c r="J32" i="39"/>
  <c r="AB38" i="40"/>
  <c r="AB84" i="39"/>
  <c r="O84" i="32"/>
  <c r="P51" i="25"/>
  <c r="J148" i="27"/>
  <c r="W64" i="40"/>
  <c r="O20" i="39"/>
  <c r="O83" i="32"/>
  <c r="F163" i="29"/>
  <c r="W37" i="43"/>
  <c r="W41" i="43" s="1"/>
  <c r="AB97" i="43"/>
  <c r="F124" i="29"/>
  <c r="J17" i="40"/>
  <c r="W93" i="40"/>
  <c r="AC225" i="27"/>
  <c r="I349" i="44"/>
  <c r="J6" i="39"/>
  <c r="O231" i="27"/>
  <c r="O24" i="32"/>
  <c r="O50" i="43"/>
  <c r="AB79" i="39"/>
  <c r="AB347" i="44"/>
  <c r="J25" i="39"/>
  <c r="AB33" i="40"/>
  <c r="AB34" i="40" s="1"/>
  <c r="J58" i="43"/>
  <c r="O14" i="39"/>
  <c r="O15" i="39" s="1"/>
  <c r="J77" i="39"/>
  <c r="O23" i="32"/>
  <c r="Z48" i="39"/>
  <c r="W28" i="43"/>
  <c r="AB18" i="39"/>
  <c r="AB55" i="40"/>
  <c r="AB58" i="40" s="1"/>
  <c r="J55" i="25"/>
  <c r="J27" i="43"/>
  <c r="J30" i="43" s="1"/>
  <c r="J221" i="27"/>
  <c r="O33" i="32"/>
  <c r="N47" i="35"/>
  <c r="O9" i="10"/>
  <c r="X231" i="27"/>
  <c r="O80" i="32"/>
  <c r="AC223" i="27"/>
  <c r="J35" i="32"/>
  <c r="W73" i="43"/>
  <c r="W6" i="43"/>
  <c r="J75" i="39"/>
  <c r="W33" i="39"/>
  <c r="W41" i="39" s="1"/>
  <c r="X146" i="27"/>
  <c r="BU130" i="29"/>
  <c r="O31" i="39"/>
  <c r="O93" i="39"/>
  <c r="BU124" i="29"/>
  <c r="O19" i="39"/>
  <c r="W70" i="43"/>
  <c r="X348" i="44"/>
  <c r="AC156" i="27"/>
  <c r="BU255" i="29"/>
  <c r="W76" i="39"/>
  <c r="AB69" i="39"/>
  <c r="AC147" i="27"/>
  <c r="AB61" i="40"/>
  <c r="O347" i="44"/>
  <c r="AB92" i="40"/>
  <c r="J36" i="39"/>
  <c r="J74" i="32"/>
  <c r="W25" i="32"/>
  <c r="W93" i="39"/>
  <c r="AE9" i="10"/>
  <c r="AB86" i="39"/>
  <c r="J12" i="39"/>
  <c r="BU140" i="29"/>
  <c r="BW131" i="29"/>
  <c r="O10" i="40"/>
  <c r="BU142" i="29"/>
  <c r="J57" i="40"/>
  <c r="J49" i="32"/>
  <c r="AC146" i="27"/>
  <c r="W11" i="40"/>
  <c r="AB50" i="32"/>
  <c r="O28" i="37"/>
  <c r="W77" i="39"/>
  <c r="W63" i="40"/>
  <c r="O79" i="40"/>
  <c r="J33" i="43"/>
  <c r="J34" i="43" s="1"/>
  <c r="W44" i="35"/>
  <c r="O8" i="10"/>
  <c r="J47" i="39"/>
  <c r="AA231" i="27"/>
  <c r="W59" i="39"/>
  <c r="J61" i="39"/>
  <c r="O73" i="43"/>
  <c r="BU139" i="29"/>
  <c r="F157" i="29"/>
  <c r="X218" i="27"/>
  <c r="AB29" i="40"/>
  <c r="J49" i="40"/>
  <c r="W63" i="43"/>
  <c r="O7" i="39"/>
  <c r="J64" i="43"/>
  <c r="AB31" i="39"/>
  <c r="J37" i="40"/>
  <c r="J147" i="27"/>
  <c r="AB64" i="40"/>
  <c r="W107" i="32"/>
  <c r="W84" i="40"/>
  <c r="W53" i="39"/>
  <c r="O148" i="27"/>
  <c r="W64" i="43"/>
  <c r="O157" i="27"/>
  <c r="AB103" i="39"/>
  <c r="O7" i="10"/>
  <c r="J27" i="39"/>
  <c r="O113" i="32"/>
  <c r="AC227" i="27"/>
  <c r="O86" i="39"/>
  <c r="X143" i="27"/>
  <c r="AB27" i="40"/>
  <c r="J8" i="32"/>
  <c r="O143" i="27"/>
  <c r="AB50" i="40"/>
  <c r="O45" i="43"/>
  <c r="X28" i="37"/>
  <c r="O69" i="43"/>
  <c r="J93" i="40"/>
  <c r="O95" i="40"/>
  <c r="X227" i="27"/>
  <c r="O34" i="32"/>
  <c r="J83" i="32"/>
  <c r="AD348" i="44"/>
  <c r="O71" i="40"/>
  <c r="J106" i="32"/>
  <c r="W75" i="39"/>
  <c r="W55" i="40"/>
  <c r="O21" i="39"/>
  <c r="J108" i="32"/>
  <c r="J64" i="25"/>
  <c r="W87" i="39"/>
  <c r="O96" i="43"/>
  <c r="AD27" i="37"/>
  <c r="O15" i="43"/>
  <c r="F141" i="29"/>
  <c r="J81" i="43"/>
  <c r="W79" i="43"/>
  <c r="W82" i="43" s="1"/>
  <c r="AC152" i="27"/>
  <c r="AB42" i="32"/>
  <c r="O16" i="43"/>
  <c r="O40" i="40"/>
  <c r="J56" i="43"/>
  <c r="AD347" i="44"/>
  <c r="X347" i="44"/>
  <c r="AB6" i="39"/>
  <c r="AC153" i="27"/>
  <c r="W98" i="32"/>
  <c r="W40" i="40"/>
  <c r="AB78" i="39"/>
  <c r="O38" i="43"/>
  <c r="J86" i="40"/>
  <c r="AC220" i="27"/>
  <c r="W86" i="39"/>
  <c r="H129" i="29"/>
  <c r="O45" i="40"/>
  <c r="W71" i="40"/>
  <c r="W62" i="43"/>
  <c r="W62" i="39"/>
  <c r="J44" i="39"/>
  <c r="AB27" i="39"/>
  <c r="O12" i="32"/>
  <c r="J54" i="40"/>
  <c r="O61" i="40"/>
  <c r="J117" i="32"/>
  <c r="J119" i="32" s="1"/>
  <c r="J68" i="40"/>
  <c r="O56" i="43"/>
  <c r="W27" i="40"/>
  <c r="J50" i="32"/>
  <c r="K6" i="10"/>
  <c r="W84" i="39"/>
  <c r="AB38" i="39"/>
  <c r="J157" i="27"/>
  <c r="O50" i="32"/>
  <c r="AB21" i="40"/>
  <c r="W56" i="40"/>
  <c r="O13" i="32"/>
  <c r="W38" i="32"/>
  <c r="W69" i="40"/>
  <c r="Z63" i="40"/>
  <c r="O81" i="32"/>
  <c r="J76" i="39"/>
  <c r="O61" i="32"/>
  <c r="J79" i="43"/>
  <c r="I21" i="47"/>
  <c r="I22" i="47" s="1"/>
  <c r="J77" i="43"/>
  <c r="J82" i="43" s="1"/>
  <c r="O47" i="39"/>
  <c r="J78" i="40"/>
  <c r="O49" i="43"/>
  <c r="O73" i="32"/>
  <c r="O147" i="27"/>
  <c r="W6" i="40"/>
  <c r="W7" i="40" s="1"/>
  <c r="W50" i="32"/>
  <c r="AB13" i="39"/>
  <c r="F130" i="29"/>
  <c r="Z28" i="32"/>
  <c r="W27" i="32"/>
  <c r="J23" i="32"/>
  <c r="F252" i="29"/>
  <c r="J47" i="32"/>
  <c r="AB49" i="40"/>
  <c r="AB51" i="40" s="1"/>
  <c r="F256" i="29"/>
  <c r="O72" i="40"/>
  <c r="BU219" i="29"/>
  <c r="O57" i="43"/>
  <c r="J72" i="40"/>
  <c r="W20" i="39"/>
  <c r="O72" i="32"/>
  <c r="N45" i="35"/>
  <c r="W92" i="43"/>
  <c r="O60" i="39"/>
  <c r="W62" i="40"/>
  <c r="AB113" i="32"/>
  <c r="AB22" i="40"/>
  <c r="AB24" i="40" s="1"/>
  <c r="J107" i="32"/>
  <c r="J73" i="39"/>
  <c r="W35" i="32"/>
  <c r="O105" i="32"/>
  <c r="O86" i="40"/>
  <c r="O15" i="40"/>
  <c r="AB95" i="40"/>
  <c r="AB98" i="39"/>
  <c r="O55" i="40"/>
  <c r="O19" i="32"/>
  <c r="W37" i="32"/>
  <c r="W45" i="39"/>
  <c r="W61" i="40"/>
  <c r="J99" i="32"/>
  <c r="J51" i="43"/>
  <c r="J52" i="43" s="1"/>
  <c r="AB15" i="40"/>
  <c r="BU256" i="29"/>
  <c r="J78" i="39"/>
  <c r="W95" i="40"/>
  <c r="J98" i="32"/>
  <c r="H157" i="29"/>
  <c r="W72" i="40"/>
  <c r="J5" i="43"/>
  <c r="J7" i="43" s="1"/>
  <c r="O118" i="32"/>
  <c r="O119" i="32" s="1"/>
  <c r="F127" i="29"/>
  <c r="AB10" i="40"/>
  <c r="AB12" i="40" s="1"/>
  <c r="P60" i="25"/>
  <c r="J55" i="43"/>
  <c r="J59" i="43" s="1"/>
  <c r="J52" i="25"/>
  <c r="AB32" i="39"/>
  <c r="J63" i="43"/>
  <c r="X158" i="27"/>
  <c r="W79" i="40"/>
  <c r="O38" i="40"/>
  <c r="AB62" i="39"/>
  <c r="J223" i="27"/>
  <c r="W28" i="32"/>
  <c r="W99" i="32"/>
  <c r="AC144" i="27"/>
  <c r="AB55" i="39"/>
  <c r="AB56" i="39" s="1"/>
  <c r="AB40" i="40"/>
  <c r="J44" i="40"/>
  <c r="AB87" i="39"/>
  <c r="W105" i="32"/>
  <c r="AB85" i="39"/>
  <c r="O58" i="32"/>
  <c r="O74" i="32"/>
  <c r="I348" i="44"/>
  <c r="I350" i="44" s="1"/>
  <c r="O230" i="27"/>
  <c r="W91" i="40"/>
  <c r="O62" i="39"/>
  <c r="W52" i="39"/>
  <c r="J77" i="40"/>
  <c r="X148" i="27"/>
  <c r="AC232" i="27"/>
  <c r="O91" i="40"/>
  <c r="O96" i="40" s="1"/>
  <c r="O63" i="40"/>
  <c r="Z42" i="32"/>
  <c r="F255" i="29"/>
  <c r="W95" i="43"/>
  <c r="J85" i="40"/>
  <c r="O27" i="43"/>
  <c r="O30" i="43" s="1"/>
  <c r="AB85" i="40"/>
  <c r="J40" i="40"/>
  <c r="J41" i="40" s="1"/>
  <c r="W6" i="39"/>
  <c r="AB17" i="40"/>
  <c r="O84" i="40"/>
  <c r="O106" i="32"/>
  <c r="O112" i="32"/>
  <c r="O27" i="40"/>
  <c r="AB68" i="32"/>
  <c r="AB7" i="39"/>
  <c r="W48" i="39"/>
  <c r="J95" i="40"/>
  <c r="W94" i="43"/>
  <c r="W21" i="43"/>
  <c r="W24" i="43" s="1"/>
  <c r="W11" i="43"/>
  <c r="W45" i="43"/>
  <c r="W46" i="43" s="1"/>
  <c r="W86" i="40"/>
  <c r="J95" i="43"/>
  <c r="AB62" i="40"/>
  <c r="W49" i="32"/>
  <c r="J74" i="39"/>
  <c r="F135" i="29"/>
  <c r="AD29" i="37"/>
  <c r="J84" i="40"/>
  <c r="J24" i="39"/>
  <c r="H252" i="29"/>
  <c r="F251" i="29"/>
  <c r="J37" i="32"/>
  <c r="J87" i="39"/>
  <c r="W23" i="39"/>
  <c r="O23" i="43"/>
  <c r="O54" i="32"/>
  <c r="O55" i="32" s="1"/>
  <c r="J27" i="40"/>
  <c r="J30" i="40" s="1"/>
  <c r="J92" i="40"/>
  <c r="O56" i="40"/>
  <c r="O10" i="43"/>
  <c r="O92" i="32"/>
  <c r="AA221" i="27"/>
  <c r="J217" i="27"/>
  <c r="J41" i="32"/>
  <c r="W82" i="32"/>
  <c r="X154" i="27"/>
  <c r="O73" i="39"/>
  <c r="J105" i="32"/>
  <c r="O226" i="27"/>
  <c r="O49" i="32"/>
  <c r="J226" i="27"/>
  <c r="Z347" i="44"/>
  <c r="O57" i="40"/>
  <c r="O100" i="32"/>
  <c r="J90" i="40"/>
  <c r="W92" i="39"/>
  <c r="AB88" i="43"/>
  <c r="W98" i="39"/>
  <c r="W99" i="39" s="1"/>
  <c r="AB40" i="39"/>
  <c r="J38" i="43"/>
  <c r="AB102" i="39"/>
  <c r="O70" i="43"/>
  <c r="J33" i="40"/>
  <c r="J34" i="40" s="1"/>
  <c r="J98" i="39"/>
  <c r="W49" i="40"/>
  <c r="W51" i="40" s="1"/>
  <c r="AC230" i="27"/>
  <c r="J93" i="39"/>
  <c r="W73" i="39"/>
  <c r="O45" i="39"/>
  <c r="W69" i="39"/>
  <c r="AB81" i="43"/>
  <c r="O93" i="32"/>
  <c r="O98" i="32"/>
  <c r="W77" i="40"/>
  <c r="W80" i="40" s="1"/>
  <c r="J27" i="32"/>
  <c r="O5" i="43"/>
  <c r="O7" i="43" s="1"/>
  <c r="J16" i="43"/>
  <c r="AE8" i="10"/>
  <c r="AE12" i="10" s="1"/>
  <c r="O90" i="32"/>
  <c r="W19" i="39"/>
  <c r="W100" i="32"/>
  <c r="AB44" i="40"/>
  <c r="O60" i="32"/>
  <c r="O42" i="32"/>
  <c r="J102" i="39"/>
  <c r="J104" i="39" s="1"/>
  <c r="W51" i="43"/>
  <c r="W52" i="43" s="1"/>
  <c r="F138" i="29"/>
  <c r="Z50" i="32"/>
  <c r="O77" i="43"/>
  <c r="O87" i="39"/>
  <c r="O89" i="39" s="1"/>
  <c r="J67" i="32"/>
  <c r="AB105" i="32"/>
  <c r="F128" i="29"/>
  <c r="J97" i="43"/>
  <c r="W65" i="43"/>
  <c r="W68" i="39"/>
  <c r="AB45" i="40"/>
  <c r="O33" i="40"/>
  <c r="O34" i="40" s="1"/>
  <c r="W54" i="39"/>
  <c r="O24" i="43"/>
  <c r="O114" i="32"/>
  <c r="W30" i="40"/>
  <c r="AB73" i="40"/>
  <c r="AB30" i="40"/>
  <c r="O41" i="43"/>
  <c r="J99" i="39"/>
  <c r="AD350" i="44"/>
  <c r="J46" i="40"/>
  <c r="O350" i="44"/>
  <c r="AB7" i="40"/>
  <c r="J63" i="39"/>
  <c r="W59" i="43"/>
  <c r="J89" i="39"/>
  <c r="W18" i="43"/>
  <c r="P65" i="25"/>
  <c r="J9" i="39"/>
  <c r="O73" i="40"/>
  <c r="J24" i="40"/>
  <c r="J18" i="40"/>
  <c r="O56" i="39"/>
  <c r="W30" i="43"/>
  <c r="W74" i="43"/>
  <c r="J12" i="40"/>
  <c r="J114" i="32"/>
  <c r="W18" i="40"/>
  <c r="W46" i="40"/>
  <c r="J74" i="43"/>
  <c r="W87" i="40"/>
  <c r="J94" i="39"/>
  <c r="J66" i="43"/>
  <c r="J18" i="43"/>
  <c r="J89" i="43"/>
  <c r="O18" i="43"/>
  <c r="O94" i="39"/>
  <c r="P56" i="25"/>
  <c r="J87" i="40"/>
  <c r="AB63" i="39"/>
  <c r="O82" i="43"/>
  <c r="X234" i="27"/>
  <c r="O63" i="39"/>
  <c r="O18" i="40"/>
  <c r="O32" i="37"/>
  <c r="W73" i="40"/>
  <c r="AB104" i="39"/>
  <c r="W109" i="32"/>
  <c r="O87" i="40"/>
  <c r="O58" i="40"/>
  <c r="J65" i="40"/>
  <c r="J24" i="43"/>
  <c r="W12" i="40"/>
  <c r="O52" i="43"/>
  <c r="J15" i="39"/>
  <c r="J70" i="39"/>
  <c r="I32" i="37"/>
  <c r="O66" i="43"/>
  <c r="W58" i="40"/>
  <c r="J65" i="25"/>
  <c r="O62" i="32"/>
  <c r="AB80" i="40"/>
  <c r="AB41" i="40"/>
  <c r="J51" i="40"/>
  <c r="O12" i="43"/>
  <c r="J28" i="39"/>
  <c r="W9" i="39"/>
  <c r="AB87" i="40"/>
  <c r="W41" i="40"/>
  <c r="W63" i="39"/>
  <c r="O24" i="40"/>
  <c r="O65" i="40"/>
  <c r="J12" i="43"/>
  <c r="O59" i="43"/>
  <c r="W24" i="40"/>
  <c r="W7" i="43"/>
  <c r="W81" i="39"/>
  <c r="W114" i="32"/>
  <c r="J80" i="40"/>
  <c r="O51" i="40"/>
  <c r="BT220" i="29"/>
  <c r="X65" i="40"/>
  <c r="T135" i="27"/>
  <c r="X17" i="23" s="1"/>
  <c r="T134" i="27"/>
  <c r="X16" i="23" s="1"/>
  <c r="J160" i="27"/>
  <c r="AD21" i="47"/>
  <c r="AE21" i="47"/>
  <c r="AF21" i="47" s="1"/>
  <c r="AF22" i="47" s="1"/>
  <c r="AD48" i="14"/>
  <c r="AE48" i="14" s="1"/>
  <c r="AE49" i="14" s="1"/>
  <c r="AC48" i="14"/>
  <c r="AB155" i="27"/>
  <c r="AC155" i="27" s="1"/>
  <c r="AA155" i="27"/>
  <c r="AJ97" i="21"/>
  <c r="AI97" i="21"/>
  <c r="AH97" i="21"/>
  <c r="J41" i="39"/>
  <c r="F133" i="27"/>
  <c r="X15" i="23"/>
  <c r="X18" i="40"/>
  <c r="F135" i="27"/>
  <c r="F17" i="23" s="1"/>
  <c r="X30" i="40"/>
  <c r="S33" i="14"/>
  <c r="S29" i="14"/>
  <c r="S28" i="14"/>
  <c r="S27" i="14"/>
  <c r="S26" i="14"/>
  <c r="B34" i="14"/>
  <c r="B33" i="14"/>
  <c r="B32" i="14"/>
  <c r="B30" i="14"/>
  <c r="B29" i="14"/>
  <c r="B28" i="14"/>
  <c r="B27" i="14"/>
  <c r="B26" i="14"/>
  <c r="O15" i="32" l="1"/>
  <c r="J98" i="43"/>
  <c r="W98" i="43"/>
  <c r="O76" i="32"/>
  <c r="W66" i="43"/>
  <c r="O99" i="39"/>
  <c r="J7" i="40"/>
  <c r="W89" i="39"/>
  <c r="W119" i="32"/>
  <c r="AB46" i="40"/>
  <c r="J96" i="40"/>
  <c r="W70" i="39"/>
  <c r="W28" i="39"/>
  <c r="W56" i="39"/>
  <c r="J234" i="27"/>
  <c r="AB18" i="40"/>
  <c r="W49" i="39"/>
  <c r="O109" i="32"/>
  <c r="J81" i="39"/>
  <c r="J73" i="40"/>
  <c r="J109" i="32"/>
  <c r="O74" i="43"/>
  <c r="J49" i="39"/>
  <c r="W94" i="39"/>
  <c r="W96" i="40"/>
  <c r="W65" i="40"/>
  <c r="AB89" i="39"/>
  <c r="X160" i="27"/>
  <c r="O30" i="40"/>
  <c r="AB65" i="40"/>
  <c r="O12" i="40"/>
  <c r="W12" i="43"/>
  <c r="AB96" i="40"/>
  <c r="AB99" i="39"/>
  <c r="O80" i="40"/>
  <c r="O89" i="43"/>
  <c r="O101" i="32"/>
  <c r="X350" i="44"/>
  <c r="J56" i="25"/>
  <c r="AB70" i="39"/>
  <c r="O7" i="40"/>
  <c r="W15" i="39"/>
  <c r="X32" i="37"/>
  <c r="J41" i="43"/>
  <c r="O95" i="32"/>
  <c r="W101" i="32"/>
  <c r="O41" i="40"/>
  <c r="J101" i="32"/>
  <c r="O69" i="32"/>
  <c r="O98" i="43"/>
  <c r="O104" i="39"/>
  <c r="AB15" i="39"/>
  <c r="O22" i="47"/>
  <c r="O46" i="43"/>
  <c r="AD32" i="37"/>
  <c r="J58" i="40"/>
  <c r="O46" i="40"/>
  <c r="X24" i="23"/>
  <c r="T136" i="27"/>
  <c r="F136" i="27"/>
  <c r="F10" i="21"/>
  <c r="E10" i="21"/>
  <c r="F9" i="21"/>
  <c r="E9" i="21"/>
  <c r="E8" i="21"/>
  <c r="F8" i="21"/>
  <c r="F7" i="21"/>
  <c r="E7" i="21"/>
  <c r="E11" i="21" l="1"/>
  <c r="T8" i="21"/>
  <c r="S8" i="21"/>
  <c r="R8" i="21"/>
  <c r="S9" i="21"/>
  <c r="R9" i="21"/>
  <c r="T9" i="21"/>
  <c r="E12" i="21"/>
  <c r="S10" i="21"/>
  <c r="R10" i="21"/>
  <c r="T10" i="21"/>
  <c r="R7" i="21"/>
  <c r="S7" i="21"/>
  <c r="T7" i="21"/>
  <c r="K98" i="39"/>
  <c r="K27" i="39"/>
  <c r="K40" i="39"/>
  <c r="K41" i="32"/>
  <c r="K27" i="32"/>
  <c r="K113" i="32"/>
  <c r="V8" i="21"/>
  <c r="V11" i="21" s="1"/>
  <c r="F11" i="21"/>
  <c r="V10" i="21"/>
  <c r="V12" i="21" s="1"/>
  <c r="F12" i="21"/>
  <c r="U10" i="21"/>
  <c r="U8" i="21"/>
  <c r="U7" i="21"/>
  <c r="U9" i="21"/>
  <c r="I44" i="35"/>
  <c r="V7" i="21"/>
  <c r="V9" i="21"/>
  <c r="X15" i="37"/>
  <c r="H15" i="37"/>
  <c r="I15" i="37"/>
  <c r="K15" i="37" l="1"/>
  <c r="L15" i="37" s="1"/>
  <c r="M15" i="37" s="1"/>
  <c r="J30" i="37" s="1"/>
  <c r="K30" i="37" s="1"/>
  <c r="AJ9" i="21"/>
  <c r="AH9" i="21"/>
  <c r="AI9" i="21"/>
  <c r="AJ7" i="21"/>
  <c r="AH7" i="21"/>
  <c r="AI7" i="21"/>
  <c r="U11" i="21"/>
  <c r="AJ8" i="21"/>
  <c r="AJ11" i="21" s="1"/>
  <c r="AH8" i="21"/>
  <c r="AH11" i="21" s="1"/>
  <c r="AI8" i="21"/>
  <c r="AI11" i="21" s="1"/>
  <c r="U12" i="21"/>
  <c r="AI10" i="21"/>
  <c r="AI12" i="21" s="1"/>
  <c r="AJ10" i="21"/>
  <c r="AJ12" i="21" s="1"/>
  <c r="AH10" i="21"/>
  <c r="AH12" i="21" s="1"/>
  <c r="AB41" i="32"/>
  <c r="AB27" i="32"/>
  <c r="X113" i="32"/>
  <c r="X27" i="32"/>
  <c r="X41" i="32"/>
  <c r="X40" i="39"/>
  <c r="X98" i="39"/>
  <c r="X27" i="39"/>
  <c r="A52" i="35"/>
  <c r="A51" i="35"/>
  <c r="A50" i="35"/>
  <c r="A49" i="35"/>
  <c r="A48" i="35"/>
  <c r="A44" i="35"/>
  <c r="V27" i="35"/>
  <c r="H27" i="35"/>
  <c r="V26" i="35"/>
  <c r="H26" i="35"/>
  <c r="V25" i="35"/>
  <c r="H25" i="35"/>
  <c r="V24" i="35"/>
  <c r="H24" i="35"/>
  <c r="V23" i="35"/>
  <c r="H23" i="35"/>
  <c r="V22" i="35"/>
  <c r="H22" i="35"/>
  <c r="V21" i="35"/>
  <c r="H21" i="35"/>
  <c r="V20" i="35"/>
  <c r="H20" i="35"/>
  <c r="V19" i="35"/>
  <c r="H19" i="35"/>
  <c r="V18" i="35"/>
  <c r="H18" i="35"/>
  <c r="V17" i="35"/>
  <c r="H17" i="35"/>
  <c r="V16" i="35"/>
  <c r="H16" i="35"/>
  <c r="V15" i="35"/>
  <c r="H15" i="35"/>
  <c r="V14" i="35"/>
  <c r="H14" i="35"/>
  <c r="V13" i="35"/>
  <c r="H13" i="35"/>
  <c r="V12" i="35"/>
  <c r="H12" i="35"/>
  <c r="V11" i="35"/>
  <c r="H11" i="35"/>
  <c r="V10" i="35"/>
  <c r="H10" i="35"/>
  <c r="V9" i="35"/>
  <c r="H9" i="35"/>
  <c r="V8" i="35"/>
  <c r="H8" i="35"/>
  <c r="V7" i="35"/>
  <c r="H7" i="35"/>
  <c r="V6" i="35"/>
  <c r="H6" i="35"/>
  <c r="V5" i="35"/>
  <c r="H5" i="35"/>
  <c r="BR50" i="29"/>
  <c r="Z217" i="27"/>
  <c r="AA30" i="37"/>
  <c r="Y113" i="32"/>
  <c r="Y44" i="35"/>
  <c r="BQ50" i="29"/>
  <c r="Y98" i="39"/>
  <c r="W15" i="37"/>
  <c r="BP26" i="29"/>
  <c r="Y27" i="32"/>
  <c r="Y27" i="39"/>
  <c r="BQ26" i="29"/>
  <c r="Y40" i="39"/>
  <c r="Y41" i="32"/>
  <c r="Z143" i="27"/>
  <c r="BR26" i="29"/>
  <c r="BT124" i="29" l="1"/>
  <c r="Z27" i="32"/>
  <c r="Z113" i="32"/>
  <c r="AA143" i="27"/>
  <c r="Z41" i="32"/>
  <c r="AB30" i="37"/>
  <c r="Z15" i="37"/>
  <c r="AA15" i="37" s="1"/>
  <c r="AB15" i="37" s="1"/>
  <c r="Y30" i="37" s="1"/>
  <c r="Z30" i="37" s="1"/>
  <c r="Z98" i="39"/>
  <c r="AA217" i="27"/>
  <c r="Z27" i="39"/>
  <c r="Z40" i="39"/>
  <c r="AI13" i="21"/>
  <c r="AH13" i="21"/>
  <c r="AJ13" i="21"/>
  <c r="AB44" i="35"/>
  <c r="Z44" i="35"/>
  <c r="V28" i="35"/>
  <c r="W14" i="35" s="1"/>
  <c r="H28" i="35"/>
  <c r="I6" i="35" s="1"/>
  <c r="J45" i="35" s="1"/>
  <c r="W27" i="35" l="1"/>
  <c r="W17" i="35"/>
  <c r="X47" i="35" s="1"/>
  <c r="W10" i="35"/>
  <c r="W25" i="35"/>
  <c r="X52" i="35" s="1"/>
  <c r="W13" i="35"/>
  <c r="R37" i="35" s="1"/>
  <c r="W22" i="35"/>
  <c r="X49" i="35" s="1"/>
  <c r="W6" i="35"/>
  <c r="X45" i="35" s="1"/>
  <c r="W21" i="35"/>
  <c r="X48" i="35" s="1"/>
  <c r="W11" i="35"/>
  <c r="X46" i="35" s="1"/>
  <c r="W18" i="35"/>
  <c r="W5" i="35"/>
  <c r="X44" i="35" s="1"/>
  <c r="W19" i="35"/>
  <c r="W9" i="35"/>
  <c r="W8" i="35"/>
  <c r="I7" i="35"/>
  <c r="I16" i="35"/>
  <c r="W26" i="35"/>
  <c r="X53" i="35" s="1"/>
  <c r="W16" i="35"/>
  <c r="W20" i="35"/>
  <c r="W23" i="35"/>
  <c r="X50" i="35" s="1"/>
  <c r="W15" i="35"/>
  <c r="W7" i="35"/>
  <c r="W24" i="35"/>
  <c r="X51" i="35" s="1"/>
  <c r="W12" i="35"/>
  <c r="I24" i="35"/>
  <c r="J51" i="35" s="1"/>
  <c r="I12" i="35"/>
  <c r="I23" i="35"/>
  <c r="J50" i="35" s="1"/>
  <c r="I11" i="35"/>
  <c r="J46" i="35" s="1"/>
  <c r="I20" i="35"/>
  <c r="I19" i="35"/>
  <c r="I22" i="35"/>
  <c r="J49" i="35" s="1"/>
  <c r="I8" i="35"/>
  <c r="D38" i="35" s="1"/>
  <c r="I21" i="35"/>
  <c r="J48" i="35" s="1"/>
  <c r="I9" i="35"/>
  <c r="I14" i="35"/>
  <c r="D37" i="35" s="1"/>
  <c r="I13" i="35"/>
  <c r="I18" i="35"/>
  <c r="I27" i="35"/>
  <c r="I17" i="35"/>
  <c r="J47" i="35" s="1"/>
  <c r="I5" i="35"/>
  <c r="J44" i="35" s="1"/>
  <c r="I10" i="35"/>
  <c r="I25" i="35"/>
  <c r="J52" i="35" s="1"/>
  <c r="I15" i="35"/>
  <c r="I26" i="35"/>
  <c r="J53" i="35" s="1"/>
  <c r="R38" i="35" l="1"/>
  <c r="R36" i="35"/>
  <c r="D36" i="35"/>
  <c r="D39" i="35" s="1"/>
  <c r="E38" i="35" s="1"/>
  <c r="W28" i="35"/>
  <c r="I28" i="35"/>
  <c r="R39" i="35" l="1"/>
  <c r="S38" i="35" s="1"/>
  <c r="V18" i="23" s="1"/>
  <c r="E37" i="35"/>
  <c r="E36" i="35"/>
  <c r="S37" i="35" l="1"/>
  <c r="V17" i="23" s="1"/>
  <c r="S36" i="35"/>
  <c r="V15" i="23" s="1"/>
  <c r="E39" i="35"/>
  <c r="V24" i="23" l="1"/>
  <c r="S39" i="35"/>
  <c r="C13" i="29"/>
  <c r="P24" i="29" s="1"/>
  <c r="P48" i="29" l="1"/>
  <c r="W57" i="21"/>
  <c r="W60" i="21" s="1"/>
  <c r="W58" i="21"/>
  <c r="W59" i="21"/>
  <c r="W61" i="21" s="1"/>
  <c r="W56" i="21"/>
  <c r="V57" i="21"/>
  <c r="V60" i="21" s="1"/>
  <c r="V58" i="21"/>
  <c r="V59" i="21"/>
  <c r="V61" i="21" s="1"/>
  <c r="V56" i="21"/>
  <c r="U57" i="21"/>
  <c r="U58" i="21"/>
  <c r="U59" i="21"/>
  <c r="U56" i="21"/>
  <c r="AI56" i="21" l="1"/>
  <c r="AH56" i="21"/>
  <c r="AJ56" i="21"/>
  <c r="U61" i="21"/>
  <c r="AJ59" i="21"/>
  <c r="AJ61" i="21" s="1"/>
  <c r="AH59" i="21"/>
  <c r="AH61" i="21" s="1"/>
  <c r="AI59" i="21"/>
  <c r="AI61" i="21" s="1"/>
  <c r="AH58" i="21"/>
  <c r="AI58" i="21"/>
  <c r="AJ58" i="21"/>
  <c r="U60" i="21"/>
  <c r="AH57" i="21"/>
  <c r="AH60" i="21" s="1"/>
  <c r="AJ57" i="21"/>
  <c r="AJ60" i="21" s="1"/>
  <c r="AI57" i="21"/>
  <c r="AI60" i="21" s="1"/>
  <c r="Y8" i="32"/>
  <c r="S8" i="39"/>
  <c r="S22" i="39"/>
  <c r="S48" i="32"/>
  <c r="Y8" i="39"/>
  <c r="BQ35" i="29"/>
  <c r="S224" i="27"/>
  <c r="S150" i="27"/>
  <c r="BQ59" i="29"/>
  <c r="Z224" i="27"/>
  <c r="S22" i="32"/>
  <c r="Y22" i="39"/>
  <c r="Y35" i="39"/>
  <c r="S46" i="39"/>
  <c r="Y48" i="32"/>
  <c r="Z150" i="27"/>
  <c r="S36" i="32"/>
  <c r="S35" i="39"/>
  <c r="BR35" i="29"/>
  <c r="BR59" i="29"/>
  <c r="Y36" i="32"/>
  <c r="Y46" i="39"/>
  <c r="BP35" i="29"/>
  <c r="Y22" i="32"/>
  <c r="BP59" i="29"/>
  <c r="BT162" i="29" l="1"/>
  <c r="BT156" i="29"/>
  <c r="AA224" i="27"/>
  <c r="AB224" i="27"/>
  <c r="AC224" i="27" s="1"/>
  <c r="AA35" i="39"/>
  <c r="AB35" i="39" s="1"/>
  <c r="Z35" i="39"/>
  <c r="AA46" i="39"/>
  <c r="AB46" i="39" s="1"/>
  <c r="AB49" i="39" s="1"/>
  <c r="Z46" i="39"/>
  <c r="AA22" i="39"/>
  <c r="AB22" i="39" s="1"/>
  <c r="Z22" i="39"/>
  <c r="AA8" i="39"/>
  <c r="AB8" i="39" s="1"/>
  <c r="AB9" i="39" s="1"/>
  <c r="Z8" i="39"/>
  <c r="AA48" i="32"/>
  <c r="AB48" i="32" s="1"/>
  <c r="Z48" i="32"/>
  <c r="AB150" i="27"/>
  <c r="AC150" i="27" s="1"/>
  <c r="AA150" i="27"/>
  <c r="AA22" i="32"/>
  <c r="AB22" i="32" s="1"/>
  <c r="Z22" i="32"/>
  <c r="AA8" i="32"/>
  <c r="AA36" i="32"/>
  <c r="AB36" i="32" s="1"/>
  <c r="Z36" i="32"/>
  <c r="X8" i="39"/>
  <c r="X35" i="39"/>
  <c r="X46" i="39"/>
  <c r="X22" i="39"/>
  <c r="X22" i="32"/>
  <c r="X48" i="32"/>
  <c r="X36" i="32"/>
  <c r="AI62" i="21"/>
  <c r="AJ62" i="21"/>
  <c r="AH62" i="21"/>
  <c r="F57" i="21" l="1"/>
  <c r="F60" i="21" s="1"/>
  <c r="F58" i="21"/>
  <c r="F59" i="21"/>
  <c r="F61" i="21" s="1"/>
  <c r="F56" i="21"/>
  <c r="E57" i="21"/>
  <c r="E58" i="21"/>
  <c r="E59" i="21"/>
  <c r="E56" i="21"/>
  <c r="E60" i="21" l="1"/>
  <c r="R57" i="21"/>
  <c r="T57" i="21"/>
  <c r="S57" i="21"/>
  <c r="R56" i="21"/>
  <c r="T56" i="21"/>
  <c r="S56" i="21"/>
  <c r="E61" i="21"/>
  <c r="S59" i="21"/>
  <c r="T59" i="21"/>
  <c r="R59" i="21"/>
  <c r="S58" i="21"/>
  <c r="T58" i="21"/>
  <c r="R58" i="21"/>
  <c r="S61" i="21"/>
  <c r="R61" i="21"/>
  <c r="T61" i="21"/>
  <c r="T60" i="21"/>
  <c r="S60" i="21"/>
  <c r="R60" i="21"/>
  <c r="E59" i="29"/>
  <c r="F35" i="39"/>
  <c r="F59" i="29"/>
  <c r="S8" i="32"/>
  <c r="L46" i="39"/>
  <c r="L8" i="39"/>
  <c r="L22" i="39"/>
  <c r="F48" i="32"/>
  <c r="L224" i="27"/>
  <c r="L36" i="32"/>
  <c r="F8" i="39"/>
  <c r="L150" i="27"/>
  <c r="F36" i="32"/>
  <c r="E150" i="27"/>
  <c r="L48" i="32"/>
  <c r="D59" i="29"/>
  <c r="F22" i="32"/>
  <c r="L35" i="39"/>
  <c r="F8" i="32"/>
  <c r="E35" i="29"/>
  <c r="E224" i="27"/>
  <c r="F35" i="29"/>
  <c r="F46" i="39"/>
  <c r="F22" i="39"/>
  <c r="L8" i="32"/>
  <c r="L22" i="32"/>
  <c r="E162" i="29" l="1"/>
  <c r="N8" i="32"/>
  <c r="O8" i="32" s="1"/>
  <c r="O9" i="32" s="1"/>
  <c r="M8" i="32"/>
  <c r="N150" i="27"/>
  <c r="O150" i="27" s="1"/>
  <c r="M150" i="27"/>
  <c r="N48" i="32"/>
  <c r="O48" i="32" s="1"/>
  <c r="O51" i="32" s="1"/>
  <c r="M48" i="32"/>
  <c r="N36" i="32"/>
  <c r="O36" i="32" s="1"/>
  <c r="M36" i="32"/>
  <c r="N22" i="32"/>
  <c r="O22" i="32" s="1"/>
  <c r="M22" i="32"/>
  <c r="K8" i="39"/>
  <c r="K22" i="39"/>
  <c r="K46" i="39"/>
  <c r="K35" i="39"/>
  <c r="N35" i="39"/>
  <c r="O35" i="39" s="1"/>
  <c r="M35" i="39"/>
  <c r="N224" i="27"/>
  <c r="O224" i="27" s="1"/>
  <c r="M224" i="27"/>
  <c r="N46" i="39"/>
  <c r="O46" i="39" s="1"/>
  <c r="O49" i="39" s="1"/>
  <c r="M46" i="39"/>
  <c r="N8" i="39"/>
  <c r="O8" i="39" s="1"/>
  <c r="O9" i="39" s="1"/>
  <c r="M8" i="39"/>
  <c r="N22" i="39"/>
  <c r="O22" i="39" s="1"/>
  <c r="M22" i="39"/>
  <c r="X8" i="32"/>
  <c r="Z8" i="32"/>
  <c r="AB8" i="32"/>
  <c r="K8" i="32"/>
  <c r="K36" i="32"/>
  <c r="K22" i="32"/>
  <c r="K48" i="32"/>
  <c r="N56" i="32"/>
  <c r="S62" i="21"/>
  <c r="R62" i="21"/>
  <c r="T62" i="21"/>
  <c r="D35" i="29"/>
  <c r="E156" i="29" l="1"/>
  <c r="AB50" i="35"/>
  <c r="AB47" i="35"/>
  <c r="Z50" i="35"/>
  <c r="Z47" i="35"/>
  <c r="W51" i="35"/>
  <c r="W45" i="35"/>
  <c r="W48" i="35"/>
  <c r="W49" i="35"/>
  <c r="W53" i="35"/>
  <c r="W50" i="35"/>
  <c r="W47" i="35"/>
  <c r="W46" i="35"/>
  <c r="I45" i="35"/>
  <c r="J81" i="32"/>
  <c r="J12" i="32"/>
  <c r="J54" i="32"/>
  <c r="J55" i="32" s="1"/>
  <c r="J6" i="32"/>
  <c r="J59" i="32"/>
  <c r="J34" i="32"/>
  <c r="J93" i="32"/>
  <c r="J73" i="32"/>
  <c r="J65" i="32"/>
  <c r="J20" i="32"/>
  <c r="J46" i="32"/>
  <c r="J51" i="32" s="1"/>
  <c r="I51" i="35"/>
  <c r="J85" i="32"/>
  <c r="I9" i="10"/>
  <c r="W59" i="32"/>
  <c r="W81" i="32"/>
  <c r="W54" i="32"/>
  <c r="W55" i="32" s="1"/>
  <c r="W12" i="32"/>
  <c r="W93" i="32"/>
  <c r="W65" i="32"/>
  <c r="W6" i="32"/>
  <c r="W9" i="32" s="1"/>
  <c r="W20" i="32"/>
  <c r="W46" i="32"/>
  <c r="W51" i="32" s="1"/>
  <c r="W73" i="32"/>
  <c r="W34" i="32"/>
  <c r="W85" i="32"/>
  <c r="Y9" i="10"/>
  <c r="J84" i="32"/>
  <c r="J60" i="32"/>
  <c r="J66" i="32"/>
  <c r="J94" i="32"/>
  <c r="J75" i="32"/>
  <c r="J13" i="32"/>
  <c r="I52" i="35"/>
  <c r="I46" i="35"/>
  <c r="W60" i="32"/>
  <c r="W66" i="32"/>
  <c r="W75" i="32"/>
  <c r="W13" i="32"/>
  <c r="W84" i="32"/>
  <c r="W94" i="32"/>
  <c r="I48" i="35"/>
  <c r="J5" i="32"/>
  <c r="J19" i="32"/>
  <c r="J80" i="32"/>
  <c r="J33" i="32"/>
  <c r="J91" i="32"/>
  <c r="J58" i="32"/>
  <c r="I7" i="10"/>
  <c r="I49" i="35"/>
  <c r="J79" i="32"/>
  <c r="J90" i="32"/>
  <c r="J18" i="32"/>
  <c r="I53" i="35"/>
  <c r="I50" i="35"/>
  <c r="I47" i="35"/>
  <c r="W33" i="32"/>
  <c r="W58" i="32"/>
  <c r="W91" i="32"/>
  <c r="W80" i="32"/>
  <c r="W19" i="32"/>
  <c r="Y7" i="10"/>
  <c r="W32" i="32"/>
  <c r="W90" i="32"/>
  <c r="W79" i="32"/>
  <c r="W18" i="32"/>
  <c r="Y12" i="10" l="1"/>
  <c r="W54" i="35"/>
  <c r="I54" i="35"/>
  <c r="W15" i="32"/>
  <c r="W62" i="32"/>
  <c r="W95" i="32"/>
  <c r="W87" i="32"/>
  <c r="W76" i="32"/>
  <c r="W69" i="32"/>
  <c r="W43" i="32"/>
  <c r="W29" i="32"/>
  <c r="J9" i="32"/>
  <c r="J87" i="32"/>
  <c r="J76" i="32"/>
  <c r="J62" i="32"/>
  <c r="J95" i="32"/>
  <c r="J69" i="32"/>
  <c r="J43" i="32"/>
  <c r="J29" i="32"/>
  <c r="J15" i="32"/>
  <c r="I12" i="10"/>
  <c r="C9" i="23"/>
  <c r="F13" i="23" l="1"/>
  <c r="X13" i="23"/>
  <c r="C5" i="29" l="1"/>
  <c r="H24" i="29" s="1"/>
  <c r="C11" i="29"/>
  <c r="C10" i="29"/>
  <c r="C12" i="29"/>
  <c r="C17" i="29"/>
  <c r="C14" i="29"/>
  <c r="C15" i="29"/>
  <c r="C4" i="29"/>
  <c r="D24" i="29" s="1"/>
  <c r="CF48" i="29" l="1"/>
  <c r="CF24" i="29"/>
  <c r="R24" i="29"/>
  <c r="CD24" i="29"/>
  <c r="CD48" i="29"/>
  <c r="T48" i="29"/>
  <c r="T24" i="29"/>
  <c r="CA24" i="29"/>
  <c r="O24" i="29"/>
  <c r="BP24" i="29"/>
  <c r="M24" i="29"/>
  <c r="BY24" i="29"/>
  <c r="BZ24" i="29"/>
  <c r="N24" i="29"/>
  <c r="Q24" i="29"/>
  <c r="CC24" i="29"/>
  <c r="BT24" i="29"/>
  <c r="Q48" i="29"/>
  <c r="CC48" i="29"/>
  <c r="N48" i="29"/>
  <c r="BZ48" i="29"/>
  <c r="H48" i="29"/>
  <c r="BT48" i="29"/>
  <c r="CA48" i="29"/>
  <c r="O48" i="29"/>
  <c r="D48" i="29"/>
  <c r="BP48" i="29"/>
  <c r="R48" i="29"/>
  <c r="M48" i="29"/>
  <c r="BY48" i="29"/>
  <c r="W15" i="23"/>
  <c r="W17" i="23"/>
  <c r="W16" i="23"/>
  <c r="W24" i="23" l="1"/>
  <c r="F15" i="23"/>
  <c r="F16" i="23"/>
  <c r="F24" i="23" l="1"/>
  <c r="C8" i="28" l="1"/>
  <c r="B8" i="28"/>
  <c r="D7" i="28"/>
  <c r="D6" i="28"/>
  <c r="Y349" i="44" l="1"/>
  <c r="X39" i="32"/>
  <c r="X62" i="39"/>
  <c r="X25" i="32"/>
  <c r="X68" i="32"/>
  <c r="X48" i="39"/>
  <c r="X25" i="39"/>
  <c r="X50" i="32"/>
  <c r="X38" i="39"/>
  <c r="J349" i="44"/>
  <c r="K38" i="39"/>
  <c r="K39" i="32"/>
  <c r="K62" i="39"/>
  <c r="K25" i="39"/>
  <c r="K68" i="32"/>
  <c r="K48" i="39"/>
  <c r="K25" i="32"/>
  <c r="K50" i="32"/>
  <c r="K54" i="32"/>
  <c r="R40" i="21"/>
  <c r="S40" i="21"/>
  <c r="T39" i="21"/>
  <c r="T40" i="21"/>
  <c r="R39" i="21"/>
  <c r="S39" i="21"/>
  <c r="S12" i="21"/>
  <c r="R11" i="21"/>
  <c r="R12" i="21"/>
  <c r="T11" i="21"/>
  <c r="T12" i="21"/>
  <c r="S11" i="21"/>
  <c r="D8" i="28"/>
  <c r="L85" i="40"/>
  <c r="L96" i="43"/>
  <c r="L94" i="40"/>
  <c r="L63" i="40"/>
  <c r="L147" i="27"/>
  <c r="F50" i="29"/>
  <c r="L40" i="39"/>
  <c r="E26" i="29"/>
  <c r="L217" i="27"/>
  <c r="E54" i="29"/>
  <c r="L41" i="32"/>
  <c r="L87" i="43"/>
  <c r="E50" i="29"/>
  <c r="L143" i="27"/>
  <c r="K50" i="35"/>
  <c r="L221" i="27"/>
  <c r="L27" i="32"/>
  <c r="F54" i="29"/>
  <c r="L27" i="39"/>
  <c r="K44" i="35"/>
  <c r="L98" i="39"/>
  <c r="F26" i="29"/>
  <c r="M63" i="25"/>
  <c r="M54" i="25"/>
  <c r="L30" i="37"/>
  <c r="F30" i="29"/>
  <c r="L64" i="43"/>
  <c r="E30" i="29"/>
  <c r="L113" i="32"/>
  <c r="M217" i="27" l="1"/>
  <c r="M27" i="39"/>
  <c r="M40" i="39"/>
  <c r="M98" i="39"/>
  <c r="N54" i="25"/>
  <c r="L50" i="35"/>
  <c r="M147" i="27"/>
  <c r="M96" i="43"/>
  <c r="M64" i="43"/>
  <c r="M87" i="43"/>
  <c r="M41" i="32"/>
  <c r="M113" i="32"/>
  <c r="M143" i="27"/>
  <c r="M27" i="32"/>
  <c r="L44" i="35"/>
  <c r="M30" i="37"/>
  <c r="M221" i="27"/>
  <c r="N63" i="25"/>
  <c r="M63" i="40"/>
  <c r="M94" i="40"/>
  <c r="M85" i="40"/>
  <c r="K55" i="32"/>
  <c r="P54" i="32" s="1"/>
  <c r="R54" i="32" s="1"/>
  <c r="T41" i="21"/>
  <c r="T13" i="21"/>
  <c r="R41" i="21"/>
  <c r="S13" i="21"/>
  <c r="R13" i="21"/>
  <c r="S41" i="21"/>
  <c r="J350" i="44"/>
  <c r="Y350" i="44"/>
  <c r="C6" i="23"/>
  <c r="B13" i="23" s="1"/>
  <c r="C7" i="23"/>
  <c r="C8" i="23"/>
  <c r="C5" i="23"/>
  <c r="D50" i="29"/>
  <c r="BP50" i="29"/>
  <c r="BP30" i="29"/>
  <c r="D30" i="29"/>
  <c r="D54" i="29"/>
  <c r="BP54" i="29"/>
  <c r="BT138" i="29" l="1"/>
  <c r="BT135" i="29"/>
  <c r="BT127" i="29"/>
  <c r="E138" i="29"/>
  <c r="E135" i="29"/>
  <c r="E127" i="29"/>
  <c r="P55" i="32"/>
  <c r="T13" i="23"/>
  <c r="C13" i="23"/>
  <c r="E13" i="23"/>
  <c r="W13" i="23"/>
  <c r="D13" i="23"/>
  <c r="V13" i="23"/>
  <c r="U13" i="23"/>
  <c r="W27" i="14"/>
  <c r="X27" i="14"/>
  <c r="W28" i="14"/>
  <c r="X28" i="14"/>
  <c r="W29" i="14"/>
  <c r="X29" i="14"/>
  <c r="T27" i="14"/>
  <c r="U27" i="14" s="1"/>
  <c r="T28" i="14"/>
  <c r="U28" i="14" s="1"/>
  <c r="F27" i="14"/>
  <c r="G27" i="14"/>
  <c r="F28" i="14"/>
  <c r="G28" i="14"/>
  <c r="C28" i="14"/>
  <c r="C27" i="14"/>
  <c r="W34" i="14"/>
  <c r="X34" i="14"/>
  <c r="T34" i="14"/>
  <c r="U34" i="14" s="1"/>
  <c r="W31" i="14"/>
  <c r="X31" i="14"/>
  <c r="T31" i="14"/>
  <c r="U31" i="14" s="1"/>
  <c r="T26" i="14"/>
  <c r="F26" i="14"/>
  <c r="G26" i="14"/>
  <c r="C26" i="14"/>
  <c r="U26" i="14" l="1"/>
  <c r="D27" i="14"/>
  <c r="D28" i="14"/>
  <c r="D26" i="14"/>
  <c r="Y29" i="14"/>
  <c r="Z29" i="14" s="1"/>
  <c r="Y27" i="14"/>
  <c r="H27" i="14"/>
  <c r="Z27" i="14" l="1"/>
  <c r="I27" i="14"/>
  <c r="X33" i="14"/>
  <c r="X35" i="14" s="1"/>
  <c r="W33" i="14"/>
  <c r="W35" i="14" s="1"/>
  <c r="T33" i="14"/>
  <c r="U33" i="14" s="1"/>
  <c r="T29" i="14"/>
  <c r="G33" i="14"/>
  <c r="G32" i="14"/>
  <c r="G30" i="14"/>
  <c r="G34" i="14"/>
  <c r="G29" i="14"/>
  <c r="F33" i="14"/>
  <c r="F32" i="14"/>
  <c r="F30" i="14"/>
  <c r="F34" i="14"/>
  <c r="F29" i="14"/>
  <c r="C33" i="14"/>
  <c r="C32" i="14"/>
  <c r="C30" i="14"/>
  <c r="C34" i="14"/>
  <c r="C29" i="14"/>
  <c r="U29" i="14" l="1"/>
  <c r="T35" i="14"/>
  <c r="C35" i="14"/>
  <c r="F35" i="14"/>
  <c r="D30" i="14"/>
  <c r="G35" i="14"/>
  <c r="D29" i="14"/>
  <c r="D33" i="14"/>
  <c r="D34" i="14"/>
  <c r="D32" i="14"/>
  <c r="Y33" i="14"/>
  <c r="Z33" i="14" s="1"/>
  <c r="Y34" i="14"/>
  <c r="Z34" i="14" s="1"/>
  <c r="Y28" i="14"/>
  <c r="Y31" i="14"/>
  <c r="Z31" i="14" s="1"/>
  <c r="H30" i="14"/>
  <c r="H29" i="14"/>
  <c r="H26" i="14"/>
  <c r="H32" i="14"/>
  <c r="H28" i="14"/>
  <c r="H33" i="14"/>
  <c r="H34" i="14"/>
  <c r="U35" i="14" l="1"/>
  <c r="V29" i="14" s="1"/>
  <c r="Z28" i="14"/>
  <c r="Y35" i="14"/>
  <c r="D35" i="14"/>
  <c r="E33" i="14" s="1"/>
  <c r="I33" i="14"/>
  <c r="H35" i="14"/>
  <c r="I26" i="14"/>
  <c r="I28" i="14"/>
  <c r="I29" i="14"/>
  <c r="I32" i="14"/>
  <c r="I30" i="14"/>
  <c r="I34" i="14"/>
  <c r="D15" i="23"/>
  <c r="D18" i="23"/>
  <c r="D17" i="23"/>
  <c r="D24" i="23" l="1"/>
  <c r="Z35" i="14"/>
  <c r="E34" i="14"/>
  <c r="E30" i="14"/>
  <c r="E32" i="14"/>
  <c r="V34" i="14"/>
  <c r="V28" i="14"/>
  <c r="V31" i="14"/>
  <c r="V27" i="14"/>
  <c r="V26" i="14"/>
  <c r="V33" i="14"/>
  <c r="I35" i="14"/>
  <c r="J27" i="14" s="1"/>
  <c r="E27" i="14"/>
  <c r="E26" i="14"/>
  <c r="E28" i="14"/>
  <c r="E29" i="14"/>
  <c r="J30" i="14" l="1"/>
  <c r="K30" i="14" s="1"/>
  <c r="B19" i="23" s="1"/>
  <c r="J29" i="14"/>
  <c r="AA26" i="14"/>
  <c r="AA29" i="14"/>
  <c r="AB29" i="14" s="1"/>
  <c r="T18" i="23" s="1"/>
  <c r="AA27" i="14"/>
  <c r="AB27" i="14" s="1"/>
  <c r="AA34" i="14"/>
  <c r="AB34" i="14" s="1"/>
  <c r="T23" i="23" s="1"/>
  <c r="AA31" i="14"/>
  <c r="AB31" i="14" s="1"/>
  <c r="T20" i="23" s="1"/>
  <c r="AA33" i="14"/>
  <c r="AB33" i="14" s="1"/>
  <c r="T22" i="23" s="1"/>
  <c r="K29" i="14"/>
  <c r="B18" i="23" s="1"/>
  <c r="J33" i="14"/>
  <c r="K33" i="14" s="1"/>
  <c r="B22" i="23" s="1"/>
  <c r="K27" i="14"/>
  <c r="J26" i="14"/>
  <c r="K26" i="14" s="1"/>
  <c r="J28" i="14"/>
  <c r="K28" i="14" s="1"/>
  <c r="AA28" i="14"/>
  <c r="AB28" i="14" s="1"/>
  <c r="V35" i="14"/>
  <c r="J32" i="14"/>
  <c r="K32" i="14" s="1"/>
  <c r="B21" i="23" s="1"/>
  <c r="J34" i="14"/>
  <c r="K34" i="14" s="1"/>
  <c r="B23" i="23" s="1"/>
  <c r="E35" i="14"/>
  <c r="V80" i="21"/>
  <c r="V79" i="21"/>
  <c r="V78" i="21"/>
  <c r="V77" i="21"/>
  <c r="V73" i="21"/>
  <c r="V75" i="21" s="1"/>
  <c r="U73" i="21"/>
  <c r="V72" i="21"/>
  <c r="U72" i="21"/>
  <c r="V71" i="21"/>
  <c r="V74" i="21" s="1"/>
  <c r="U71" i="21"/>
  <c r="V70" i="21"/>
  <c r="U70" i="21"/>
  <c r="W122" i="21"/>
  <c r="W124" i="21" s="1"/>
  <c r="V122" i="21"/>
  <c r="V124" i="21" s="1"/>
  <c r="U122" i="21"/>
  <c r="U121" i="21"/>
  <c r="W120" i="21"/>
  <c r="W123" i="21" s="1"/>
  <c r="V120" i="21"/>
  <c r="V123" i="21" s="1"/>
  <c r="U120" i="21"/>
  <c r="U119" i="21"/>
  <c r="W66" i="21"/>
  <c r="W68" i="21" s="1"/>
  <c r="V66" i="21"/>
  <c r="V68" i="21" s="1"/>
  <c r="U66" i="21"/>
  <c r="W65" i="21"/>
  <c r="V65" i="21"/>
  <c r="U65" i="21"/>
  <c r="W64" i="21"/>
  <c r="W67" i="21" s="1"/>
  <c r="V64" i="21"/>
  <c r="V67" i="21" s="1"/>
  <c r="U64" i="21"/>
  <c r="W63" i="21"/>
  <c r="V63" i="21"/>
  <c r="U63" i="21"/>
  <c r="V52" i="21"/>
  <c r="V54" i="21" s="1"/>
  <c r="U52" i="21"/>
  <c r="V51" i="21"/>
  <c r="U51" i="21"/>
  <c r="V50" i="21"/>
  <c r="V53" i="21" s="1"/>
  <c r="U50" i="21"/>
  <c r="V49" i="21"/>
  <c r="U49" i="21"/>
  <c r="V45" i="21"/>
  <c r="V47" i="21" s="1"/>
  <c r="U45" i="21"/>
  <c r="V44" i="21"/>
  <c r="U44" i="21"/>
  <c r="V43" i="21"/>
  <c r="V46" i="21" s="1"/>
  <c r="U43" i="21"/>
  <c r="V42" i="21"/>
  <c r="U42" i="21"/>
  <c r="U31" i="21"/>
  <c r="U30" i="21"/>
  <c r="U29" i="21"/>
  <c r="U28" i="21"/>
  <c r="V17" i="21"/>
  <c r="V19" i="21" s="1"/>
  <c r="U17" i="21"/>
  <c r="V16" i="21"/>
  <c r="U16" i="21"/>
  <c r="V15" i="21"/>
  <c r="V18" i="21" s="1"/>
  <c r="U15" i="21"/>
  <c r="V14" i="21"/>
  <c r="U14" i="21"/>
  <c r="V24" i="21"/>
  <c r="V26" i="21" s="1"/>
  <c r="U24" i="21"/>
  <c r="V23" i="21"/>
  <c r="U23" i="21"/>
  <c r="V22" i="21"/>
  <c r="V25" i="21" s="1"/>
  <c r="U22" i="21"/>
  <c r="V21" i="21"/>
  <c r="U21" i="21"/>
  <c r="X6" i="37"/>
  <c r="X13" i="37"/>
  <c r="X10" i="37"/>
  <c r="Y12" i="37"/>
  <c r="T80" i="39"/>
  <c r="X11" i="37"/>
  <c r="T26" i="32"/>
  <c r="T86" i="32"/>
  <c r="U233" i="27"/>
  <c r="T39" i="39"/>
  <c r="T26" i="39"/>
  <c r="T52" i="35"/>
  <c r="T40" i="32"/>
  <c r="Y11" i="37"/>
  <c r="X7" i="37"/>
  <c r="X12" i="37"/>
  <c r="U159" i="27"/>
  <c r="U19" i="21" l="1"/>
  <c r="AJ17" i="21"/>
  <c r="AJ19" i="21" s="1"/>
  <c r="AH17" i="21"/>
  <c r="AH19" i="21" s="1"/>
  <c r="AI17" i="21"/>
  <c r="AI19" i="21" s="1"/>
  <c r="U46" i="21"/>
  <c r="AJ43" i="21"/>
  <c r="AJ46" i="21" s="1"/>
  <c r="AH43" i="21"/>
  <c r="AH46" i="21" s="1"/>
  <c r="AI43" i="21"/>
  <c r="AI46" i="21" s="1"/>
  <c r="U53" i="21"/>
  <c r="AH50" i="21"/>
  <c r="AH53" i="21" s="1"/>
  <c r="AJ50" i="21"/>
  <c r="AJ53" i="21" s="1"/>
  <c r="AI50" i="21"/>
  <c r="AI53" i="21" s="1"/>
  <c r="U75" i="21"/>
  <c r="AI73" i="21"/>
  <c r="AI75" i="21" s="1"/>
  <c r="AJ73" i="21"/>
  <c r="AJ75" i="21" s="1"/>
  <c r="AH73" i="21"/>
  <c r="AH75" i="21" s="1"/>
  <c r="AJ44" i="21"/>
  <c r="AH44" i="21"/>
  <c r="AI44" i="21"/>
  <c r="AJ70" i="21"/>
  <c r="AI70" i="21"/>
  <c r="AH70" i="21"/>
  <c r="AH77" i="21"/>
  <c r="AI77" i="21"/>
  <c r="AJ77" i="21"/>
  <c r="AI21" i="21"/>
  <c r="AH21" i="21"/>
  <c r="AJ21" i="21"/>
  <c r="U123" i="21"/>
  <c r="AI120" i="21"/>
  <c r="AI123" i="21" s="1"/>
  <c r="AJ120" i="21"/>
  <c r="AJ123" i="21" s="1"/>
  <c r="AH120" i="21"/>
  <c r="AH123" i="21" s="1"/>
  <c r="AI78" i="21"/>
  <c r="AI81" i="21" s="1"/>
  <c r="AH78" i="21"/>
  <c r="AH81" i="21" s="1"/>
  <c r="AJ78" i="21"/>
  <c r="AJ81" i="21" s="1"/>
  <c r="U26" i="21"/>
  <c r="AH24" i="21"/>
  <c r="AH26" i="21" s="1"/>
  <c r="AI24" i="21"/>
  <c r="AI26" i="21" s="1"/>
  <c r="AJ24" i="21"/>
  <c r="AJ26" i="21" s="1"/>
  <c r="U67" i="21"/>
  <c r="AH64" i="21"/>
  <c r="AH67" i="21" s="1"/>
  <c r="AJ64" i="21"/>
  <c r="AJ67" i="21" s="1"/>
  <c r="AI64" i="21"/>
  <c r="AI67" i="21" s="1"/>
  <c r="AI14" i="21"/>
  <c r="AH14" i="21"/>
  <c r="AJ14" i="21"/>
  <c r="U25" i="21"/>
  <c r="AJ22" i="21"/>
  <c r="AJ25" i="21" s="1"/>
  <c r="AH22" i="21"/>
  <c r="AH25" i="21" s="1"/>
  <c r="AI22" i="21"/>
  <c r="AI25" i="21" s="1"/>
  <c r="U47" i="21"/>
  <c r="AH45" i="21"/>
  <c r="AH47" i="21" s="1"/>
  <c r="AI45" i="21"/>
  <c r="AI47" i="21" s="1"/>
  <c r="AJ45" i="21"/>
  <c r="AJ47" i="21" s="1"/>
  <c r="AJ65" i="21"/>
  <c r="AI65" i="21"/>
  <c r="AH65" i="21"/>
  <c r="U74" i="21"/>
  <c r="AI71" i="21"/>
  <c r="AI74" i="21" s="1"/>
  <c r="AJ71" i="21"/>
  <c r="AJ74" i="21" s="1"/>
  <c r="AH71" i="21"/>
  <c r="AH74" i="21" s="1"/>
  <c r="AH79" i="21"/>
  <c r="AJ79" i="21"/>
  <c r="AI79" i="21"/>
  <c r="AH80" i="21"/>
  <c r="AH82" i="21" s="1"/>
  <c r="AI80" i="21"/>
  <c r="AI82" i="21" s="1"/>
  <c r="AJ80" i="21"/>
  <c r="AJ82" i="21" s="1"/>
  <c r="AJ28" i="21"/>
  <c r="AI28" i="21"/>
  <c r="AH28" i="21"/>
  <c r="AJ30" i="21"/>
  <c r="AH30" i="21"/>
  <c r="AI30" i="21"/>
  <c r="U54" i="21"/>
  <c r="AI52" i="21"/>
  <c r="AI54" i="21" s="1"/>
  <c r="AJ52" i="21"/>
  <c r="AJ54" i="21" s="1"/>
  <c r="AH52" i="21"/>
  <c r="AH54" i="21" s="1"/>
  <c r="U33" i="21"/>
  <c r="AI31" i="21"/>
  <c r="AI33" i="21" s="1"/>
  <c r="AJ31" i="21"/>
  <c r="AJ33" i="21" s="1"/>
  <c r="AH31" i="21"/>
  <c r="AH33" i="21" s="1"/>
  <c r="AI23" i="21"/>
  <c r="AJ23" i="21"/>
  <c r="AH23" i="21"/>
  <c r="AH16" i="21"/>
  <c r="AI16" i="21"/>
  <c r="AJ16" i="21"/>
  <c r="AH42" i="21"/>
  <c r="AJ42" i="21"/>
  <c r="AI42" i="21"/>
  <c r="AI49" i="21"/>
  <c r="AH49" i="21"/>
  <c r="AJ49" i="21"/>
  <c r="AJ63" i="21"/>
  <c r="AH63" i="21"/>
  <c r="AI63" i="21"/>
  <c r="AH72" i="21"/>
  <c r="AI72" i="21"/>
  <c r="AJ72" i="21"/>
  <c r="AH51" i="21"/>
  <c r="AJ51" i="21"/>
  <c r="AI51" i="21"/>
  <c r="U32" i="21"/>
  <c r="AJ29" i="21"/>
  <c r="AJ32" i="21" s="1"/>
  <c r="AH29" i="21"/>
  <c r="AH32" i="21" s="1"/>
  <c r="AI29" i="21"/>
  <c r="AI32" i="21" s="1"/>
  <c r="U18" i="21"/>
  <c r="AH15" i="21"/>
  <c r="AH18" i="21" s="1"/>
  <c r="AI15" i="21"/>
  <c r="AI18" i="21" s="1"/>
  <c r="AJ15" i="21"/>
  <c r="AJ18" i="21" s="1"/>
  <c r="U68" i="21"/>
  <c r="AH66" i="21"/>
  <c r="AH68" i="21" s="1"/>
  <c r="AI66" i="21"/>
  <c r="AI68" i="21" s="1"/>
  <c r="AJ66" i="21"/>
  <c r="AJ68" i="21" s="1"/>
  <c r="U124" i="21"/>
  <c r="AJ122" i="21"/>
  <c r="AJ124" i="21" s="1"/>
  <c r="AH122" i="21"/>
  <c r="AH124" i="21" s="1"/>
  <c r="AI122" i="21"/>
  <c r="AI124" i="21" s="1"/>
  <c r="AB35" i="32"/>
  <c r="AB21" i="32"/>
  <c r="AB114" i="32"/>
  <c r="AB23" i="32"/>
  <c r="AB47" i="32"/>
  <c r="AB72" i="32"/>
  <c r="AB82" i="32"/>
  <c r="AB74" i="32"/>
  <c r="AB37" i="32"/>
  <c r="AB92" i="32"/>
  <c r="AB83" i="32"/>
  <c r="AB73" i="43"/>
  <c r="AB58" i="43"/>
  <c r="AB51" i="43"/>
  <c r="AB16" i="43"/>
  <c r="AB92" i="43"/>
  <c r="AB77" i="43"/>
  <c r="AB69" i="43"/>
  <c r="AB55" i="43"/>
  <c r="AB37" i="43"/>
  <c r="AB27" i="43"/>
  <c r="AB21" i="43"/>
  <c r="AB15" i="43"/>
  <c r="AB95" i="43"/>
  <c r="AB86" i="43"/>
  <c r="AB80" i="43"/>
  <c r="AB72" i="43"/>
  <c r="AB63" i="43"/>
  <c r="AB57" i="43"/>
  <c r="AB50" i="43"/>
  <c r="AB45" i="43"/>
  <c r="AB40" i="43"/>
  <c r="AB29" i="43"/>
  <c r="AB11" i="43"/>
  <c r="AB94" i="43"/>
  <c r="AB85" i="43"/>
  <c r="AB79" i="43"/>
  <c r="AB71" i="43"/>
  <c r="AB62" i="43"/>
  <c r="AB56" i="43"/>
  <c r="AB49" i="43"/>
  <c r="AB44" i="43"/>
  <c r="AB39" i="43"/>
  <c r="AB33" i="43"/>
  <c r="AB34" i="43" s="1"/>
  <c r="AB28" i="43"/>
  <c r="AB23" i="43"/>
  <c r="AB17" i="43"/>
  <c r="AB10" i="43"/>
  <c r="AB6" i="43"/>
  <c r="AB93" i="43"/>
  <c r="AB78" i="43"/>
  <c r="AB70" i="43"/>
  <c r="AB38" i="43"/>
  <c r="AB22" i="43"/>
  <c r="AB5" i="43"/>
  <c r="X72" i="32"/>
  <c r="X78" i="43"/>
  <c r="X38" i="43"/>
  <c r="X22" i="43"/>
  <c r="X93" i="43"/>
  <c r="X5" i="43"/>
  <c r="X16" i="43"/>
  <c r="X105" i="32"/>
  <c r="X70" i="43"/>
  <c r="X11" i="43"/>
  <c r="X95" i="43"/>
  <c r="X98" i="32"/>
  <c r="X35" i="32"/>
  <c r="X50" i="43"/>
  <c r="X29" i="43"/>
  <c r="X57" i="43"/>
  <c r="X72" i="43"/>
  <c r="X21" i="32"/>
  <c r="X80" i="43"/>
  <c r="X40" i="43"/>
  <c r="X45" i="43"/>
  <c r="X86" i="43"/>
  <c r="X63" i="43"/>
  <c r="X107" i="32"/>
  <c r="X60" i="39"/>
  <c r="X92" i="39"/>
  <c r="X21" i="39"/>
  <c r="X34" i="39"/>
  <c r="X54" i="39"/>
  <c r="X78" i="39"/>
  <c r="X88" i="39"/>
  <c r="X69" i="39"/>
  <c r="X13" i="39"/>
  <c r="X19" i="39"/>
  <c r="X32" i="39"/>
  <c r="X74" i="39"/>
  <c r="X52" i="39"/>
  <c r="X85" i="39"/>
  <c r="X66" i="39"/>
  <c r="Z349" i="44"/>
  <c r="X56" i="43"/>
  <c r="X6" i="43"/>
  <c r="X85" i="43"/>
  <c r="X28" i="43"/>
  <c r="X71" i="43"/>
  <c r="X94" i="43"/>
  <c r="X39" i="43"/>
  <c r="X44" i="43"/>
  <c r="X92" i="32"/>
  <c r="X23" i="43"/>
  <c r="X49" i="43"/>
  <c r="X82" i="32"/>
  <c r="X79" i="43"/>
  <c r="X62" i="43"/>
  <c r="X47" i="32"/>
  <c r="X117" i="32"/>
  <c r="X83" i="32"/>
  <c r="X33" i="43"/>
  <c r="X112" i="32"/>
  <c r="X17" i="43"/>
  <c r="X74" i="32"/>
  <c r="X10" i="43"/>
  <c r="X106" i="32"/>
  <c r="AA8" i="10"/>
  <c r="X58" i="43"/>
  <c r="X73" i="43"/>
  <c r="X37" i="32"/>
  <c r="X23" i="32"/>
  <c r="X51" i="43"/>
  <c r="X31" i="39"/>
  <c r="X18" i="39"/>
  <c r="X5" i="39"/>
  <c r="X84" i="39"/>
  <c r="X73" i="39"/>
  <c r="X15" i="43"/>
  <c r="X77" i="43"/>
  <c r="X55" i="43"/>
  <c r="X27" i="43"/>
  <c r="X69" i="43"/>
  <c r="X92" i="43"/>
  <c r="X37" i="43"/>
  <c r="X21" i="43"/>
  <c r="X20" i="39"/>
  <c r="X102" i="39"/>
  <c r="X67" i="39"/>
  <c r="X12" i="39"/>
  <c r="X87" i="39"/>
  <c r="X68" i="39"/>
  <c r="X97" i="39"/>
  <c r="X45" i="39"/>
  <c r="X75" i="39"/>
  <c r="X44" i="39"/>
  <c r="X59" i="39"/>
  <c r="X76" i="39"/>
  <c r="X6" i="39"/>
  <c r="X33" i="39"/>
  <c r="X77" i="39"/>
  <c r="X53" i="39"/>
  <c r="X86" i="39"/>
  <c r="X79" i="39"/>
  <c r="X36" i="39"/>
  <c r="X23" i="39"/>
  <c r="W80" i="21"/>
  <c r="W82" i="21" s="1"/>
  <c r="V82" i="21"/>
  <c r="W78" i="21"/>
  <c r="W81" i="21" s="1"/>
  <c r="V81" i="21"/>
  <c r="J48" i="14"/>
  <c r="K48" i="14" s="1"/>
  <c r="B17" i="23"/>
  <c r="E25" i="23"/>
  <c r="F25" i="23"/>
  <c r="Z47" i="14"/>
  <c r="AA47" i="14" s="1"/>
  <c r="T16" i="23"/>
  <c r="J46" i="14"/>
  <c r="K46" i="14" s="1"/>
  <c r="B15" i="23"/>
  <c r="W25" i="23"/>
  <c r="X25" i="23"/>
  <c r="J47" i="14"/>
  <c r="K47" i="14" s="1"/>
  <c r="B16" i="23"/>
  <c r="Z48" i="14"/>
  <c r="AA48" i="14" s="1"/>
  <c r="T17" i="23"/>
  <c r="AB26" i="14"/>
  <c r="T15" i="23" s="1"/>
  <c r="AA35" i="14"/>
  <c r="W79" i="21"/>
  <c r="W77" i="21"/>
  <c r="BP52" i="29"/>
  <c r="Y112" i="32"/>
  <c r="Y22" i="43"/>
  <c r="R52" i="35"/>
  <c r="BQ32" i="29"/>
  <c r="Y5" i="32"/>
  <c r="Y33" i="43"/>
  <c r="S233" i="27"/>
  <c r="Y39" i="39"/>
  <c r="Y88" i="39"/>
  <c r="Y52" i="35"/>
  <c r="Z219" i="27"/>
  <c r="Y24" i="39"/>
  <c r="Z218" i="27"/>
  <c r="Y76" i="40"/>
  <c r="Y99" i="32"/>
  <c r="Y95" i="40"/>
  <c r="Y31" i="39"/>
  <c r="BR58" i="29"/>
  <c r="Y79" i="39"/>
  <c r="Y7" i="32"/>
  <c r="Z153" i="27"/>
  <c r="W13" i="37"/>
  <c r="Y23" i="39"/>
  <c r="Y75" i="39"/>
  <c r="Y38" i="40"/>
  <c r="Y58" i="32"/>
  <c r="Z220" i="27"/>
  <c r="Y78" i="43"/>
  <c r="Y68" i="39"/>
  <c r="Y45" i="43"/>
  <c r="Y108" i="32"/>
  <c r="BP65" i="29"/>
  <c r="Y5" i="39"/>
  <c r="Y66" i="32"/>
  <c r="BR51" i="29"/>
  <c r="S26" i="32"/>
  <c r="BQ57" i="29"/>
  <c r="Y11" i="40"/>
  <c r="Y77" i="40"/>
  <c r="Y51" i="43"/>
  <c r="Y54" i="39"/>
  <c r="Y80" i="39"/>
  <c r="Y91" i="32"/>
  <c r="Y95" i="43"/>
  <c r="Y71" i="43"/>
  <c r="Y12" i="39"/>
  <c r="Y61" i="40"/>
  <c r="Y91" i="40"/>
  <c r="Z159" i="27"/>
  <c r="Y78" i="39"/>
  <c r="Y45" i="39"/>
  <c r="Y12" i="32"/>
  <c r="BR56" i="29"/>
  <c r="Y14" i="32"/>
  <c r="Y85" i="43"/>
  <c r="Y37" i="39"/>
  <c r="S159" i="27"/>
  <c r="BQ36" i="29"/>
  <c r="Y33" i="40"/>
  <c r="Y66" i="39"/>
  <c r="BQ65" i="29"/>
  <c r="Z222" i="27"/>
  <c r="Y23" i="40"/>
  <c r="Y14" i="39"/>
  <c r="Y77" i="39"/>
  <c r="S26" i="39"/>
  <c r="AB8" i="10"/>
  <c r="Y80" i="43"/>
  <c r="Y58" i="43"/>
  <c r="Y67" i="39"/>
  <c r="Y79" i="32"/>
  <c r="Y72" i="40"/>
  <c r="W7" i="37"/>
  <c r="Y90" i="32"/>
  <c r="Y6" i="40"/>
  <c r="S39" i="39"/>
  <c r="Y15" i="40"/>
  <c r="Y61" i="32"/>
  <c r="Y27" i="40"/>
  <c r="Z148" i="27"/>
  <c r="Y63" i="43"/>
  <c r="BR36" i="29"/>
  <c r="Y24" i="32"/>
  <c r="Y69" i="40"/>
  <c r="Z226" i="27"/>
  <c r="Y93" i="39"/>
  <c r="Y73" i="43"/>
  <c r="BQ27" i="29"/>
  <c r="Y17" i="40"/>
  <c r="Y10" i="40"/>
  <c r="Y26" i="39"/>
  <c r="Y45" i="40"/>
  <c r="Y49" i="32"/>
  <c r="Y97" i="39"/>
  <c r="Y117" i="32"/>
  <c r="Y87" i="39"/>
  <c r="Y79" i="43"/>
  <c r="Y23" i="43"/>
  <c r="Z152" i="27"/>
  <c r="Y70" i="43"/>
  <c r="Z227" i="27"/>
  <c r="BQ41" i="29"/>
  <c r="BR65" i="29"/>
  <c r="Y47" i="39"/>
  <c r="Y98" i="32"/>
  <c r="Y76" i="39"/>
  <c r="Y56" i="40"/>
  <c r="BR60" i="29"/>
  <c r="Y104" i="32"/>
  <c r="Y5" i="43"/>
  <c r="Y32" i="39"/>
  <c r="BR57" i="29"/>
  <c r="Y72" i="43"/>
  <c r="Y75" i="32"/>
  <c r="Y21" i="40"/>
  <c r="Y5" i="40"/>
  <c r="BQ51" i="29"/>
  <c r="W10" i="37"/>
  <c r="BQ55" i="29"/>
  <c r="Y81" i="43"/>
  <c r="BR34" i="29"/>
  <c r="Y47" i="32"/>
  <c r="Y37" i="43"/>
  <c r="Y29" i="43"/>
  <c r="Y18" i="39"/>
  <c r="Y55" i="43"/>
  <c r="Y93" i="32"/>
  <c r="X14" i="37"/>
  <c r="Y64" i="40"/>
  <c r="AB46" i="14"/>
  <c r="Y6" i="32"/>
  <c r="Y67" i="32"/>
  <c r="BP28" i="29"/>
  <c r="Y16" i="43"/>
  <c r="W11" i="37"/>
  <c r="Y74" i="39"/>
  <c r="Y13" i="32"/>
  <c r="Y32" i="32"/>
  <c r="Y44" i="40"/>
  <c r="AB7" i="10"/>
  <c r="Y44" i="39"/>
  <c r="Y17" i="43"/>
  <c r="W6" i="37"/>
  <c r="Y50" i="43"/>
  <c r="Y69" i="39"/>
  <c r="Y97" i="43"/>
  <c r="Y48" i="35"/>
  <c r="Y45" i="35"/>
  <c r="Y72" i="32"/>
  <c r="BR53" i="29"/>
  <c r="BR29" i="29"/>
  <c r="Y56" i="43"/>
  <c r="BQ60" i="29"/>
  <c r="Y94" i="32"/>
  <c r="AA27" i="37"/>
  <c r="BR27" i="29"/>
  <c r="Y19" i="32"/>
  <c r="BQ33" i="29"/>
  <c r="BQ29" i="29"/>
  <c r="Y93" i="43"/>
  <c r="Y37" i="40"/>
  <c r="BR41" i="29"/>
  <c r="Y21" i="39"/>
  <c r="Y20" i="32"/>
  <c r="Y49" i="40"/>
  <c r="BR28" i="29"/>
  <c r="AB6" i="10"/>
  <c r="AA29" i="37"/>
  <c r="Z146" i="27"/>
  <c r="Y53" i="35"/>
  <c r="BQ28" i="29"/>
  <c r="Y10" i="43"/>
  <c r="Y26" i="32"/>
  <c r="Y28" i="43"/>
  <c r="Y55" i="39"/>
  <c r="Y23" i="32"/>
  <c r="Y21" i="32"/>
  <c r="Y40" i="43"/>
  <c r="Y60" i="39"/>
  <c r="BP27" i="29"/>
  <c r="Y85" i="32"/>
  <c r="Y118" i="32"/>
  <c r="Y85" i="39"/>
  <c r="Y39" i="43"/>
  <c r="Y51" i="35"/>
  <c r="Y102" i="39"/>
  <c r="Y103" i="39"/>
  <c r="S40" i="32"/>
  <c r="Y38" i="43"/>
  <c r="Y14" i="37"/>
  <c r="Y90" i="40"/>
  <c r="BR55" i="29"/>
  <c r="BP57" i="29"/>
  <c r="S86" i="32"/>
  <c r="Y21" i="43"/>
  <c r="Y6" i="39"/>
  <c r="BR33" i="29"/>
  <c r="Y53" i="39"/>
  <c r="Y19" i="39"/>
  <c r="Y46" i="32"/>
  <c r="Y92" i="32"/>
  <c r="Y73" i="39"/>
  <c r="Y82" i="32"/>
  <c r="Y92" i="40"/>
  <c r="Y65" i="32"/>
  <c r="Y62" i="40"/>
  <c r="AC20" i="47"/>
  <c r="AA28" i="37"/>
  <c r="Y29" i="40"/>
  <c r="BR52" i="29"/>
  <c r="Y39" i="40"/>
  <c r="Y80" i="32"/>
  <c r="AA349" i="44"/>
  <c r="Y84" i="39"/>
  <c r="W8" i="37"/>
  <c r="BR32" i="29"/>
  <c r="Y84" i="32"/>
  <c r="BQ34" i="29"/>
  <c r="Y49" i="43"/>
  <c r="BQ56" i="29"/>
  <c r="BR31" i="29"/>
  <c r="Y92" i="39"/>
  <c r="Y37" i="32"/>
  <c r="Y77" i="43"/>
  <c r="BQ58" i="29"/>
  <c r="Y36" i="39"/>
  <c r="Y34" i="32"/>
  <c r="BQ53" i="29"/>
  <c r="Y59" i="32"/>
  <c r="Y18" i="32"/>
  <c r="Y57" i="43"/>
  <c r="Y93" i="40"/>
  <c r="Y79" i="40"/>
  <c r="Y6" i="43"/>
  <c r="Z151" i="27"/>
  <c r="S80" i="39"/>
  <c r="Y84" i="40"/>
  <c r="Y65" i="43"/>
  <c r="Y61" i="39"/>
  <c r="Y71" i="40"/>
  <c r="Y78" i="40"/>
  <c r="Z149" i="27"/>
  <c r="Z233" i="27"/>
  <c r="Y38" i="32"/>
  <c r="Y86" i="40"/>
  <c r="Y16" i="40"/>
  <c r="AA348" i="44"/>
  <c r="Y88" i="43"/>
  <c r="Y28" i="40"/>
  <c r="Y7" i="39"/>
  <c r="Y35" i="32"/>
  <c r="Y83" i="40"/>
  <c r="Y73" i="32"/>
  <c r="BP53" i="29"/>
  <c r="Y83" i="32"/>
  <c r="Y86" i="32"/>
  <c r="Y92" i="43"/>
  <c r="Y86" i="43"/>
  <c r="Y50" i="40"/>
  <c r="BQ52" i="29"/>
  <c r="AB9" i="10"/>
  <c r="Y13" i="39"/>
  <c r="Y81" i="32"/>
  <c r="Y49" i="35"/>
  <c r="Y33" i="32"/>
  <c r="Y22" i="40"/>
  <c r="Z223" i="27"/>
  <c r="Y62" i="43"/>
  <c r="Y59" i="39"/>
  <c r="Y11" i="43"/>
  <c r="Y74" i="32"/>
  <c r="Y15" i="43"/>
  <c r="Y20" i="39"/>
  <c r="Z225" i="27"/>
  <c r="Z144" i="27"/>
  <c r="Y107" i="32"/>
  <c r="Y86" i="39"/>
  <c r="Y27" i="43"/>
  <c r="W12" i="37"/>
  <c r="Y106" i="32"/>
  <c r="Y105" i="32"/>
  <c r="Y34" i="39"/>
  <c r="BQ31" i="29"/>
  <c r="Y70" i="40"/>
  <c r="Y52" i="39"/>
  <c r="Y40" i="32"/>
  <c r="Y33" i="39"/>
  <c r="Y69" i="43"/>
  <c r="Y44" i="43"/>
  <c r="BP41" i="29"/>
  <c r="Y68" i="40"/>
  <c r="Y60" i="32"/>
  <c r="Y94" i="43"/>
  <c r="Z145" i="27"/>
  <c r="Y46" i="35"/>
  <c r="Y40" i="40"/>
  <c r="BT284" i="29" l="1"/>
  <c r="BT280" i="29"/>
  <c r="BT136" i="29"/>
  <c r="BT142" i="29"/>
  <c r="BT139" i="29"/>
  <c r="BT129" i="29"/>
  <c r="BT128" i="29"/>
  <c r="T24" i="23"/>
  <c r="T25" i="23" s="1"/>
  <c r="Z64" i="40"/>
  <c r="Z11" i="37"/>
  <c r="AA11" i="37" s="1"/>
  <c r="AB11" i="37" s="1"/>
  <c r="Z85" i="43"/>
  <c r="Z79" i="43"/>
  <c r="Z117" i="32"/>
  <c r="Z49" i="43"/>
  <c r="Z106" i="32"/>
  <c r="Z92" i="32"/>
  <c r="Z6" i="43"/>
  <c r="Z17" i="43"/>
  <c r="Z28" i="43"/>
  <c r="AB349" i="44"/>
  <c r="Z56" i="43"/>
  <c r="Z74" i="32"/>
  <c r="Z62" i="43"/>
  <c r="AA148" i="27"/>
  <c r="AB29" i="37"/>
  <c r="Z94" i="43"/>
  <c r="Z71" i="43"/>
  <c r="Z47" i="32"/>
  <c r="Z39" i="43"/>
  <c r="Z33" i="43"/>
  <c r="Z34" i="43" s="1"/>
  <c r="AA35" i="43" s="1"/>
  <c r="Z82" i="32"/>
  <c r="Z10" i="43"/>
  <c r="Z44" i="43"/>
  <c r="AC8" i="10"/>
  <c r="Z83" i="32"/>
  <c r="Z112" i="32"/>
  <c r="Z114" i="32" s="1"/>
  <c r="AA115" i="32" s="1"/>
  <c r="Z23" i="43"/>
  <c r="Z8" i="37"/>
  <c r="AA8" i="37" s="1"/>
  <c r="AB8" i="37" s="1"/>
  <c r="AA220" i="27"/>
  <c r="Z6" i="37"/>
  <c r="AA6" i="37" s="1"/>
  <c r="AB6" i="37" s="1"/>
  <c r="Y27" i="37" s="1"/>
  <c r="Z27" i="37" s="1"/>
  <c r="AA26" i="39"/>
  <c r="AB26" i="39" s="1"/>
  <c r="AB28" i="39" s="1"/>
  <c r="Z26" i="39"/>
  <c r="AA233" i="27"/>
  <c r="AB233" i="27"/>
  <c r="AC233" i="27" s="1"/>
  <c r="AC234" i="27" s="1"/>
  <c r="AA80" i="39"/>
  <c r="AB80" i="39" s="1"/>
  <c r="AB81" i="39" s="1"/>
  <c r="Z80" i="39"/>
  <c r="AA39" i="39"/>
  <c r="AB39" i="39" s="1"/>
  <c r="AB41" i="39" s="1"/>
  <c r="Z39" i="39"/>
  <c r="Z19" i="39"/>
  <c r="Z66" i="39"/>
  <c r="Z91" i="40"/>
  <c r="Z74" i="39"/>
  <c r="Z69" i="40"/>
  <c r="Z52" i="39"/>
  <c r="Z16" i="40"/>
  <c r="AA219" i="27"/>
  <c r="Z77" i="40"/>
  <c r="Z38" i="40"/>
  <c r="Z32" i="39"/>
  <c r="Z85" i="39"/>
  <c r="Z22" i="40"/>
  <c r="Z5" i="40"/>
  <c r="AB159" i="27"/>
  <c r="AC159" i="27" s="1"/>
  <c r="AC160" i="27" s="1"/>
  <c r="AA159" i="27"/>
  <c r="AA86" i="32"/>
  <c r="AB86" i="32" s="1"/>
  <c r="Z86" i="32"/>
  <c r="AA52" i="35"/>
  <c r="AB52" i="35" s="1"/>
  <c r="Z52" i="35"/>
  <c r="AA26" i="32"/>
  <c r="AB26" i="32" s="1"/>
  <c r="Z26" i="32"/>
  <c r="AA40" i="32"/>
  <c r="AB40" i="32" s="1"/>
  <c r="Z40" i="32"/>
  <c r="AA226" i="27"/>
  <c r="Z104" i="32"/>
  <c r="Z77" i="43"/>
  <c r="Z92" i="43"/>
  <c r="Z15" i="43"/>
  <c r="AC6" i="10"/>
  <c r="Z27" i="43"/>
  <c r="AA144" i="27"/>
  <c r="AB28" i="37"/>
  <c r="Z21" i="43"/>
  <c r="Z37" i="43"/>
  <c r="Z55" i="43"/>
  <c r="Z69" i="43"/>
  <c r="Z28" i="40"/>
  <c r="Z86" i="39"/>
  <c r="Z44" i="39"/>
  <c r="Z68" i="39"/>
  <c r="Z23" i="40"/>
  <c r="Z83" i="40"/>
  <c r="Z67" i="39"/>
  <c r="Z59" i="39"/>
  <c r="Z39" i="40"/>
  <c r="Z75" i="39"/>
  <c r="Z87" i="39"/>
  <c r="Z6" i="40"/>
  <c r="Z49" i="40"/>
  <c r="Z17" i="40"/>
  <c r="Z102" i="39"/>
  <c r="Z53" i="39"/>
  <c r="Z70" i="40"/>
  <c r="Z76" i="39"/>
  <c r="AA222" i="27"/>
  <c r="Z45" i="39"/>
  <c r="Z97" i="39"/>
  <c r="Z99" i="39" s="1"/>
  <c r="AA100" i="39" s="1"/>
  <c r="Z44" i="40"/>
  <c r="Z33" i="40"/>
  <c r="Z34" i="40" s="1"/>
  <c r="AA35" i="40" s="1"/>
  <c r="Z61" i="40"/>
  <c r="Z12" i="39"/>
  <c r="Z92" i="40"/>
  <c r="Z33" i="39"/>
  <c r="Z10" i="40"/>
  <c r="Z20" i="39"/>
  <c r="Z77" i="39"/>
  <c r="Z6" i="39"/>
  <c r="Z78" i="40"/>
  <c r="X26" i="32"/>
  <c r="X40" i="32"/>
  <c r="X86" i="32"/>
  <c r="Z10" i="37"/>
  <c r="AA10" i="37" s="1"/>
  <c r="AB10" i="37" s="1"/>
  <c r="Y29" i="37" s="1"/>
  <c r="Z29" i="37" s="1"/>
  <c r="Z11" i="43"/>
  <c r="Z95" i="43"/>
  <c r="AA149" i="27"/>
  <c r="Z35" i="32"/>
  <c r="Z45" i="43"/>
  <c r="Z94" i="32"/>
  <c r="Z57" i="43"/>
  <c r="Z80" i="43"/>
  <c r="Z98" i="32"/>
  <c r="Z50" i="43"/>
  <c r="Z29" i="43"/>
  <c r="Z107" i="32"/>
  <c r="Z40" i="43"/>
  <c r="Z21" i="32"/>
  <c r="Z63" i="43"/>
  <c r="Z86" i="43"/>
  <c r="Z72" i="43"/>
  <c r="Z27" i="40"/>
  <c r="Z15" i="40"/>
  <c r="Z21" i="40"/>
  <c r="AA218" i="27"/>
  <c r="Z68" i="40"/>
  <c r="Z73" i="39"/>
  <c r="Z18" i="39"/>
  <c r="Z5" i="39"/>
  <c r="Z84" i="39"/>
  <c r="Z76" i="40"/>
  <c r="Z37" i="40"/>
  <c r="Z90" i="40"/>
  <c r="Z31" i="39"/>
  <c r="X26" i="39"/>
  <c r="X39" i="39"/>
  <c r="X80" i="39"/>
  <c r="X81" i="39" s="1"/>
  <c r="Z7" i="37"/>
  <c r="AA7" i="37" s="1"/>
  <c r="AB7" i="37" s="1"/>
  <c r="Y28" i="37" s="1"/>
  <c r="Z28" i="37" s="1"/>
  <c r="Z34" i="39"/>
  <c r="AA223" i="27"/>
  <c r="Z60" i="39"/>
  <c r="Z88" i="39"/>
  <c r="Z78" i="39"/>
  <c r="Z54" i="39"/>
  <c r="Z92" i="39"/>
  <c r="Z21" i="39"/>
  <c r="Z29" i="40"/>
  <c r="Z11" i="40"/>
  <c r="Z93" i="40"/>
  <c r="Z56" i="40"/>
  <c r="Z13" i="39"/>
  <c r="Z79" i="40"/>
  <c r="Z62" i="40"/>
  <c r="Z40" i="40"/>
  <c r="Z69" i="39"/>
  <c r="Z71" i="40"/>
  <c r="Z84" i="40"/>
  <c r="Z45" i="40"/>
  <c r="AA152" i="27"/>
  <c r="Z37" i="32"/>
  <c r="Z73" i="43"/>
  <c r="AC9" i="10"/>
  <c r="AA151" i="27"/>
  <c r="Z23" i="32"/>
  <c r="Z51" i="43"/>
  <c r="Z58" i="43"/>
  <c r="AA146" i="27"/>
  <c r="Z24" i="39"/>
  <c r="Z37" i="39"/>
  <c r="Z14" i="39"/>
  <c r="Z55" i="39"/>
  <c r="Z103" i="39"/>
  <c r="Z93" i="39"/>
  <c r="Z7" i="39"/>
  <c r="Z95" i="40"/>
  <c r="Z86" i="40"/>
  <c r="AA227" i="27"/>
  <c r="Z61" i="39"/>
  <c r="Z47" i="39"/>
  <c r="Z93" i="43"/>
  <c r="Z70" i="43"/>
  <c r="Z16" i="43"/>
  <c r="AA145" i="27"/>
  <c r="Z22" i="43"/>
  <c r="Z105" i="32"/>
  <c r="Z72" i="32"/>
  <c r="Z78" i="43"/>
  <c r="Z38" i="43"/>
  <c r="AB27" i="37"/>
  <c r="AC7" i="10"/>
  <c r="Z5" i="43"/>
  <c r="Z36" i="39"/>
  <c r="AA225" i="27"/>
  <c r="Z23" i="39"/>
  <c r="Z72" i="40"/>
  <c r="Z79" i="39"/>
  <c r="Z50" i="40"/>
  <c r="AC46" i="14"/>
  <c r="AC49" i="14" s="1"/>
  <c r="AD50" i="14" s="1"/>
  <c r="AD20" i="47"/>
  <c r="AD22" i="47" s="1"/>
  <c r="AE23" i="47" s="1"/>
  <c r="AA153" i="27"/>
  <c r="Z88" i="43"/>
  <c r="Z65" i="43"/>
  <c r="Z97" i="43"/>
  <c r="Z24" i="32"/>
  <c r="AB348" i="44"/>
  <c r="Z81" i="43"/>
  <c r="AJ34" i="21"/>
  <c r="AJ27" i="21"/>
  <c r="AH125" i="21"/>
  <c r="AI48" i="21"/>
  <c r="AJ125" i="21"/>
  <c r="AH48" i="21"/>
  <c r="AJ20" i="21"/>
  <c r="AI125" i="21"/>
  <c r="AJ48" i="21"/>
  <c r="AI20" i="21"/>
  <c r="AH76" i="21"/>
  <c r="AH20" i="21"/>
  <c r="AJ76" i="21"/>
  <c r="AI55" i="21"/>
  <c r="AI76" i="21"/>
  <c r="AI69" i="21"/>
  <c r="AJ83" i="21"/>
  <c r="AJ55" i="21"/>
  <c r="AI34" i="21"/>
  <c r="AI27" i="21"/>
  <c r="AJ69" i="21"/>
  <c r="AH83" i="21"/>
  <c r="AH55" i="21"/>
  <c r="AH34" i="21"/>
  <c r="AH27" i="21"/>
  <c r="AH69" i="21"/>
  <c r="AI83" i="21"/>
  <c r="K49" i="14"/>
  <c r="J49" i="14"/>
  <c r="X99" i="39"/>
  <c r="X114" i="32"/>
  <c r="AB118" i="32"/>
  <c r="AB119" i="32" s="1"/>
  <c r="AB99" i="32"/>
  <c r="AB101" i="32" s="1"/>
  <c r="AB84" i="32"/>
  <c r="AB75" i="32"/>
  <c r="AB67" i="32"/>
  <c r="AB66" i="32"/>
  <c r="AB61" i="32"/>
  <c r="AB60" i="32"/>
  <c r="AB54" i="32"/>
  <c r="AB55" i="32" s="1"/>
  <c r="AB49" i="32"/>
  <c r="AB38" i="32"/>
  <c r="AB14" i="32"/>
  <c r="AB13" i="32"/>
  <c r="AB7" i="32"/>
  <c r="AB5" i="32"/>
  <c r="AB19" i="32"/>
  <c r="AB6" i="32"/>
  <c r="AB81" i="32"/>
  <c r="AB34" i="32"/>
  <c r="AB59" i="32"/>
  <c r="AB58" i="32"/>
  <c r="AB65" i="32"/>
  <c r="AB46" i="32"/>
  <c r="AB80" i="32"/>
  <c r="AB90" i="32"/>
  <c r="AB93" i="32"/>
  <c r="AB12" i="32"/>
  <c r="AB18" i="32"/>
  <c r="AB85" i="32"/>
  <c r="AB32" i="32"/>
  <c r="AB79" i="32"/>
  <c r="AB91" i="32"/>
  <c r="AB33" i="32"/>
  <c r="AB20" i="32"/>
  <c r="AB73" i="32"/>
  <c r="AB109" i="32"/>
  <c r="Z93" i="32"/>
  <c r="Z91" i="32"/>
  <c r="Z90" i="32"/>
  <c r="Z85" i="32"/>
  <c r="Z81" i="32"/>
  <c r="Z80" i="32"/>
  <c r="Z79" i="32"/>
  <c r="Z73" i="32"/>
  <c r="Z65" i="32"/>
  <c r="Z59" i="32"/>
  <c r="Z58" i="32"/>
  <c r="Z54" i="32"/>
  <c r="Z55" i="32" s="1"/>
  <c r="Z46" i="32"/>
  <c r="Z34" i="32"/>
  <c r="Z33" i="32"/>
  <c r="Z32" i="32"/>
  <c r="Z118" i="32"/>
  <c r="Z108" i="32"/>
  <c r="Z99" i="32"/>
  <c r="Z67" i="32"/>
  <c r="Z61" i="32"/>
  <c r="Z49" i="32"/>
  <c r="Z38" i="32"/>
  <c r="Z84" i="32"/>
  <c r="Z75" i="32"/>
  <c r="Z66" i="32"/>
  <c r="Z60" i="32"/>
  <c r="Z14" i="32"/>
  <c r="Z13" i="32"/>
  <c r="Z7" i="32"/>
  <c r="Z19" i="32"/>
  <c r="Z20" i="32"/>
  <c r="Z18" i="32"/>
  <c r="Z12" i="32"/>
  <c r="Z6" i="32"/>
  <c r="Z5" i="32"/>
  <c r="AB7" i="43"/>
  <c r="AB82" i="43"/>
  <c r="AB74" i="43"/>
  <c r="AB59" i="43"/>
  <c r="AB52" i="43"/>
  <c r="AB41" i="43"/>
  <c r="AB46" i="43"/>
  <c r="AB12" i="43"/>
  <c r="AB30" i="43"/>
  <c r="AB24" i="43"/>
  <c r="AB18" i="43"/>
  <c r="AB53" i="35"/>
  <c r="AB51" i="35"/>
  <c r="AB49" i="35"/>
  <c r="AB48" i="35"/>
  <c r="AB45" i="35"/>
  <c r="Z53" i="35"/>
  <c r="Z51" i="35"/>
  <c r="Z49" i="35"/>
  <c r="Z48" i="35"/>
  <c r="Z45" i="35"/>
  <c r="X59" i="43"/>
  <c r="X46" i="43"/>
  <c r="X89" i="39"/>
  <c r="X12" i="43"/>
  <c r="X34" i="43"/>
  <c r="X52" i="43"/>
  <c r="X70" i="39"/>
  <c r="X24" i="43"/>
  <c r="X74" i="43"/>
  <c r="X18" i="43"/>
  <c r="X7" i="43"/>
  <c r="X41" i="43"/>
  <c r="X30" i="43"/>
  <c r="Z348" i="44"/>
  <c r="X49" i="32"/>
  <c r="X24" i="32"/>
  <c r="X14" i="32"/>
  <c r="X88" i="43"/>
  <c r="X99" i="32"/>
  <c r="X67" i="32"/>
  <c r="X97" i="43"/>
  <c r="X7" i="32"/>
  <c r="X108" i="32"/>
  <c r="X81" i="43"/>
  <c r="X65" i="43"/>
  <c r="X38" i="32"/>
  <c r="X61" i="32"/>
  <c r="X118" i="32"/>
  <c r="X7" i="39"/>
  <c r="X47" i="39"/>
  <c r="X49" i="39" s="1"/>
  <c r="X93" i="39"/>
  <c r="X61" i="39"/>
  <c r="X103" i="39"/>
  <c r="X14" i="39"/>
  <c r="X24" i="39"/>
  <c r="X55" i="39"/>
  <c r="X54" i="32"/>
  <c r="X93" i="32"/>
  <c r="X94" i="32"/>
  <c r="X84" i="32"/>
  <c r="X85" i="32"/>
  <c r="X75" i="32"/>
  <c r="T31" i="23"/>
  <c r="T38" i="23"/>
  <c r="T35" i="23"/>
  <c r="T34" i="23"/>
  <c r="T33" i="23"/>
  <c r="T32" i="23"/>
  <c r="T30" i="23"/>
  <c r="B24" i="23"/>
  <c r="B25" i="23" s="1"/>
  <c r="F35" i="23"/>
  <c r="F30" i="23"/>
  <c r="F32" i="23"/>
  <c r="X32" i="23"/>
  <c r="X30" i="23"/>
  <c r="X35" i="23"/>
  <c r="V25" i="23"/>
  <c r="U25" i="23"/>
  <c r="W30" i="23"/>
  <c r="W35" i="23"/>
  <c r="W32" i="23"/>
  <c r="X5" i="32"/>
  <c r="AA7" i="10"/>
  <c r="AA9" i="10"/>
  <c r="AB35" i="14"/>
  <c r="Z46" i="14"/>
  <c r="AA46" i="14" s="1"/>
  <c r="J35" i="14"/>
  <c r="K35" i="14"/>
  <c r="X6" i="32"/>
  <c r="X20" i="32"/>
  <c r="X81" i="32"/>
  <c r="X46" i="32"/>
  <c r="X65" i="32"/>
  <c r="X12" i="32"/>
  <c r="X59" i="32"/>
  <c r="X73" i="32"/>
  <c r="X34" i="32"/>
  <c r="X60" i="32"/>
  <c r="X13" i="32"/>
  <c r="X66" i="32"/>
  <c r="X32" i="32"/>
  <c r="X18" i="32"/>
  <c r="X90" i="32"/>
  <c r="X79" i="32"/>
  <c r="X91" i="32"/>
  <c r="X58" i="32"/>
  <c r="X80" i="32"/>
  <c r="X33" i="32"/>
  <c r="X19" i="32"/>
  <c r="Z12" i="10"/>
  <c r="BP33" i="29"/>
  <c r="BP31" i="29"/>
  <c r="BP34" i="29"/>
  <c r="BP55" i="29"/>
  <c r="BP51" i="29"/>
  <c r="BP58" i="29"/>
  <c r="BP36" i="29"/>
  <c r="BP56" i="29"/>
  <c r="BP32" i="29"/>
  <c r="BP60" i="29"/>
  <c r="BP29" i="29"/>
  <c r="BT191" i="29" l="1"/>
  <c r="BT187" i="29"/>
  <c r="BT163" i="29"/>
  <c r="BT157" i="29"/>
  <c r="BT137" i="29"/>
  <c r="BT141" i="29"/>
  <c r="BT140" i="29"/>
  <c r="BT125" i="29"/>
  <c r="BT130" i="29"/>
  <c r="BT131" i="29"/>
  <c r="BT126" i="29"/>
  <c r="Z7" i="43"/>
  <c r="AA8" i="43" s="1"/>
  <c r="AC5" i="43" s="1"/>
  <c r="Y32" i="23"/>
  <c r="Z66" i="43"/>
  <c r="Z46" i="43"/>
  <c r="AA47" i="43" s="1"/>
  <c r="AB350" i="44"/>
  <c r="AD351" i="44" s="1"/>
  <c r="Z119" i="32"/>
  <c r="AA120" i="32" s="1"/>
  <c r="Z30" i="43"/>
  <c r="AA31" i="43" s="1"/>
  <c r="Z18" i="43"/>
  <c r="AA19" i="43" s="1"/>
  <c r="AC15" i="43" s="1"/>
  <c r="AB76" i="32"/>
  <c r="Z12" i="43"/>
  <c r="AA13" i="43" s="1"/>
  <c r="AC10" i="43" s="1"/>
  <c r="AE10" i="43" s="1"/>
  <c r="Z49" i="39"/>
  <c r="AA50" i="39" s="1"/>
  <c r="AC47" i="39" s="1"/>
  <c r="Z69" i="32"/>
  <c r="Z109" i="32"/>
  <c r="AA110" i="32" s="1"/>
  <c r="Z89" i="43"/>
  <c r="Z24" i="43"/>
  <c r="AA25" i="43" s="1"/>
  <c r="Z98" i="43"/>
  <c r="Z82" i="43"/>
  <c r="AA83" i="43" s="1"/>
  <c r="Z59" i="43"/>
  <c r="AA60" i="43" s="1"/>
  <c r="AC98" i="39"/>
  <c r="AE98" i="39" s="1"/>
  <c r="Z24" i="40"/>
  <c r="AA25" i="40" s="1"/>
  <c r="Z81" i="39"/>
  <c r="AA82" i="39" s="1"/>
  <c r="AC80" i="39" s="1"/>
  <c r="AE80" i="39" s="1"/>
  <c r="Z41" i="43"/>
  <c r="AA42" i="43" s="1"/>
  <c r="Z74" i="43"/>
  <c r="AA75" i="43" s="1"/>
  <c r="Z41" i="39"/>
  <c r="AA42" i="39" s="1"/>
  <c r="Z7" i="40"/>
  <c r="AA8" i="40" s="1"/>
  <c r="AB32" i="37"/>
  <c r="AC33" i="37" s="1"/>
  <c r="Z101" i="32"/>
  <c r="AA102" i="32" s="1"/>
  <c r="Z104" i="39"/>
  <c r="AA105" i="39" s="1"/>
  <c r="Z52" i="43"/>
  <c r="AA53" i="43" s="1"/>
  <c r="Z18" i="40"/>
  <c r="AA19" i="40" s="1"/>
  <c r="AC16" i="40" s="1"/>
  <c r="Z65" i="40"/>
  <c r="AA66" i="40" s="1"/>
  <c r="Z15" i="39"/>
  <c r="AA16" i="39" s="1"/>
  <c r="Z94" i="39"/>
  <c r="AA95" i="39" s="1"/>
  <c r="Z73" i="40"/>
  <c r="AA74" i="40" s="1"/>
  <c r="Z12" i="40"/>
  <c r="AA13" i="40" s="1"/>
  <c r="Z96" i="40"/>
  <c r="AA97" i="40" s="1"/>
  <c r="AA234" i="27"/>
  <c r="AB235" i="27" s="1"/>
  <c r="Z70" i="39"/>
  <c r="AA71" i="39" s="1"/>
  <c r="AC68" i="39" s="1"/>
  <c r="AE68" i="39" s="1"/>
  <c r="Z41" i="40"/>
  <c r="AA42" i="40" s="1"/>
  <c r="Z28" i="39"/>
  <c r="AA29" i="39" s="1"/>
  <c r="Z80" i="40"/>
  <c r="AA81" i="40" s="1"/>
  <c r="AA160" i="27"/>
  <c r="AB211" i="27" s="1"/>
  <c r="AD143" i="27" s="1"/>
  <c r="AF143" i="27" s="1"/>
  <c r="BT26" i="29" s="1"/>
  <c r="Z89" i="39"/>
  <c r="AA90" i="39" s="1"/>
  <c r="AC86" i="39" s="1"/>
  <c r="AE86" i="39" s="1"/>
  <c r="Z30" i="40"/>
  <c r="AA31" i="40" s="1"/>
  <c r="AC27" i="40" s="1"/>
  <c r="Z63" i="39"/>
  <c r="AA64" i="39" s="1"/>
  <c r="AC12" i="10"/>
  <c r="AE13" i="10" s="1"/>
  <c r="Z9" i="39"/>
  <c r="AA10" i="39" s="1"/>
  <c r="Z56" i="39"/>
  <c r="AA57" i="39" s="1"/>
  <c r="AG20" i="47"/>
  <c r="AG21" i="47"/>
  <c r="AI21" i="47" s="1"/>
  <c r="CC38" i="29" s="1"/>
  <c r="CB220" i="29" s="1"/>
  <c r="Z46" i="40"/>
  <c r="AA47" i="40" s="1"/>
  <c r="Z87" i="40"/>
  <c r="AA88" i="40" s="1"/>
  <c r="AF46" i="14"/>
  <c r="AF48" i="14"/>
  <c r="AF47" i="14"/>
  <c r="Z51" i="40"/>
  <c r="AA52" i="40" s="1"/>
  <c r="AA49" i="14"/>
  <c r="AC97" i="39"/>
  <c r="AE97" i="39" s="1"/>
  <c r="X63" i="39"/>
  <c r="X41" i="39"/>
  <c r="X28" i="39"/>
  <c r="X9" i="39"/>
  <c r="AB69" i="32"/>
  <c r="AC112" i="32"/>
  <c r="AE112" i="32" s="1"/>
  <c r="AC113" i="32"/>
  <c r="X109" i="32"/>
  <c r="AB9" i="32"/>
  <c r="Z43" i="32"/>
  <c r="Z29" i="32"/>
  <c r="Z15" i="32"/>
  <c r="Z9" i="32"/>
  <c r="AB51" i="32"/>
  <c r="AB15" i="32"/>
  <c r="Z95" i="32"/>
  <c r="AB62" i="32"/>
  <c r="AB43" i="32"/>
  <c r="AB29" i="32"/>
  <c r="Z76" i="32"/>
  <c r="AB95" i="32"/>
  <c r="AB87" i="32"/>
  <c r="Z87" i="32"/>
  <c r="Z51" i="32"/>
  <c r="Z62" i="32"/>
  <c r="AA56" i="32"/>
  <c r="X98" i="43"/>
  <c r="X89" i="43"/>
  <c r="X82" i="43"/>
  <c r="X66" i="43"/>
  <c r="AC33" i="43"/>
  <c r="AE33" i="43" s="1"/>
  <c r="Y32" i="37"/>
  <c r="Z32" i="37"/>
  <c r="AB46" i="35"/>
  <c r="AB54" i="35" s="1"/>
  <c r="Z46" i="35"/>
  <c r="Z54" i="35" s="1"/>
  <c r="X51" i="32"/>
  <c r="X119" i="32"/>
  <c r="X15" i="39"/>
  <c r="X101" i="32"/>
  <c r="X56" i="39"/>
  <c r="X104" i="39"/>
  <c r="X94" i="39"/>
  <c r="Z350" i="44"/>
  <c r="X76" i="32"/>
  <c r="X95" i="32"/>
  <c r="X87" i="32"/>
  <c r="X69" i="32"/>
  <c r="X29" i="32"/>
  <c r="X62" i="32"/>
  <c r="X43" i="32"/>
  <c r="X15" i="32"/>
  <c r="X9" i="32"/>
  <c r="X55" i="32"/>
  <c r="B37" i="23"/>
  <c r="B32" i="23"/>
  <c r="B30" i="23"/>
  <c r="B34" i="23"/>
  <c r="B35" i="23"/>
  <c r="B36" i="23"/>
  <c r="B38" i="23"/>
  <c r="B33" i="23"/>
  <c r="U38" i="23"/>
  <c r="Y38" i="23" s="1"/>
  <c r="U34" i="23"/>
  <c r="U31" i="23"/>
  <c r="U33" i="23"/>
  <c r="Y33" i="23" s="1"/>
  <c r="U35" i="23"/>
  <c r="U30" i="23"/>
  <c r="V34" i="23"/>
  <c r="V30" i="23"/>
  <c r="V35" i="23"/>
  <c r="AA12" i="10"/>
  <c r="Z49" i="14"/>
  <c r="T39" i="23"/>
  <c r="F80" i="21"/>
  <c r="F79" i="21"/>
  <c r="F78" i="21"/>
  <c r="F77" i="21"/>
  <c r="G122" i="21"/>
  <c r="G124" i="21" s="1"/>
  <c r="F122" i="21"/>
  <c r="F124" i="21" s="1"/>
  <c r="E122" i="21"/>
  <c r="E121" i="21"/>
  <c r="G120" i="21"/>
  <c r="G123" i="21" s="1"/>
  <c r="F120" i="21"/>
  <c r="F123" i="21" s="1"/>
  <c r="E120" i="21"/>
  <c r="E119" i="21"/>
  <c r="F73" i="21"/>
  <c r="F75" i="21" s="1"/>
  <c r="E73" i="21"/>
  <c r="F72" i="21"/>
  <c r="E72" i="21"/>
  <c r="F71" i="21"/>
  <c r="F74" i="21" s="1"/>
  <c r="E71" i="21"/>
  <c r="F70" i="21"/>
  <c r="E70" i="21"/>
  <c r="G66" i="21"/>
  <c r="G68" i="21" s="1"/>
  <c r="F66" i="21"/>
  <c r="F68" i="21" s="1"/>
  <c r="E66" i="21"/>
  <c r="G65" i="21"/>
  <c r="F65" i="21"/>
  <c r="E65" i="21"/>
  <c r="G64" i="21"/>
  <c r="G67" i="21" s="1"/>
  <c r="F64" i="21"/>
  <c r="F67" i="21" s="1"/>
  <c r="E64" i="21"/>
  <c r="G63" i="21"/>
  <c r="F63" i="21"/>
  <c r="E63" i="21"/>
  <c r="F52" i="21"/>
  <c r="F54" i="21" s="1"/>
  <c r="E52" i="21"/>
  <c r="F51" i="21"/>
  <c r="E51" i="21"/>
  <c r="F50" i="21"/>
  <c r="F53" i="21" s="1"/>
  <c r="E50" i="21"/>
  <c r="F49" i="21"/>
  <c r="E49" i="21"/>
  <c r="F45" i="21"/>
  <c r="F47" i="21" s="1"/>
  <c r="E45" i="21"/>
  <c r="F44" i="21"/>
  <c r="E44" i="21"/>
  <c r="F43" i="21"/>
  <c r="F46" i="21" s="1"/>
  <c r="E43" i="21"/>
  <c r="F42" i="21"/>
  <c r="E42" i="21"/>
  <c r="E31" i="21"/>
  <c r="E30" i="21"/>
  <c r="E29" i="21"/>
  <c r="E28" i="21"/>
  <c r="F17" i="21"/>
  <c r="F19" i="21" s="1"/>
  <c r="E17" i="21"/>
  <c r="F16" i="21"/>
  <c r="E16" i="21"/>
  <c r="F15" i="21"/>
  <c r="F18" i="21" s="1"/>
  <c r="E15" i="21"/>
  <c r="F14" i="21"/>
  <c r="E14" i="21"/>
  <c r="DF65" i="29"/>
  <c r="DI50" i="29"/>
  <c r="DI31" i="29"/>
  <c r="CI31" i="29"/>
  <c r="DG55" i="29"/>
  <c r="DI55" i="29"/>
  <c r="G233" i="27"/>
  <c r="Y30" i="23" l="1"/>
  <c r="CA124" i="29"/>
  <c r="Y31" i="23"/>
  <c r="Y34" i="23"/>
  <c r="Y35" i="23"/>
  <c r="AE348" i="44"/>
  <c r="AG348" i="44" s="1"/>
  <c r="AA77" i="32"/>
  <c r="AC72" i="32" s="1"/>
  <c r="AE72" i="32" s="1"/>
  <c r="AC79" i="39"/>
  <c r="AE79" i="39" s="1"/>
  <c r="AD145" i="27"/>
  <c r="AF145" i="27" s="1"/>
  <c r="BT28" i="29" s="1"/>
  <c r="AC102" i="39"/>
  <c r="AE102" i="39" s="1"/>
  <c r="AC75" i="39"/>
  <c r="AE75" i="39" s="1"/>
  <c r="AF8" i="10"/>
  <c r="AH8" i="10" s="1"/>
  <c r="AH25" i="10" s="1"/>
  <c r="CA31" i="29" s="1"/>
  <c r="AC61" i="39"/>
  <c r="AE61" i="39" s="1"/>
  <c r="AC78" i="39"/>
  <c r="AE78" i="39" s="1"/>
  <c r="AC76" i="39"/>
  <c r="AE76" i="39" s="1"/>
  <c r="AC77" i="39"/>
  <c r="AE77" i="39" s="1"/>
  <c r="AC74" i="39"/>
  <c r="AE74" i="39" s="1"/>
  <c r="AC73" i="39"/>
  <c r="AE73" i="39" s="1"/>
  <c r="AE29" i="37"/>
  <c r="AG29" i="37" s="1"/>
  <c r="AC92" i="39"/>
  <c r="AE92" i="39" s="1"/>
  <c r="AC15" i="40"/>
  <c r="AE47" i="39"/>
  <c r="AC66" i="39"/>
  <c r="AE66" i="39" s="1"/>
  <c r="AC67" i="39"/>
  <c r="AE67" i="39" s="1"/>
  <c r="AD147" i="27"/>
  <c r="AF147" i="27" s="1"/>
  <c r="AC18" i="39"/>
  <c r="AE18" i="39" s="1"/>
  <c r="AD149" i="27"/>
  <c r="AF149" i="27" s="1"/>
  <c r="BT34" i="29" s="1"/>
  <c r="CA157" i="29" s="1"/>
  <c r="AC7" i="39"/>
  <c r="AE7" i="39" s="1"/>
  <c r="AC13" i="39"/>
  <c r="AE13" i="39" s="1"/>
  <c r="AC69" i="39"/>
  <c r="AE69" i="39" s="1"/>
  <c r="AD159" i="27"/>
  <c r="AF159" i="27" s="1"/>
  <c r="BT41" i="29" s="1"/>
  <c r="AD153" i="27"/>
  <c r="AF153" i="27" s="1"/>
  <c r="BT36" i="29" s="1"/>
  <c r="AD157" i="27"/>
  <c r="AF157" i="27" s="1"/>
  <c r="BT39" i="29" s="1"/>
  <c r="AD151" i="27"/>
  <c r="AF151" i="27" s="1"/>
  <c r="BT32" i="29" s="1"/>
  <c r="AD144" i="27"/>
  <c r="AF144" i="27" s="1"/>
  <c r="BT27" i="29" s="1"/>
  <c r="AC88" i="39"/>
  <c r="AE88" i="39" s="1"/>
  <c r="AD148" i="27"/>
  <c r="AF148" i="27" s="1"/>
  <c r="BT31" i="29" s="1"/>
  <c r="AC87" i="39"/>
  <c r="AE87" i="39" s="1"/>
  <c r="AD154" i="27"/>
  <c r="AF154" i="27" s="1"/>
  <c r="BT37" i="29" s="1"/>
  <c r="CA219" i="29" s="1"/>
  <c r="E124" i="21"/>
  <c r="T122" i="21"/>
  <c r="R122" i="21"/>
  <c r="S122" i="21"/>
  <c r="E53" i="21"/>
  <c r="S50" i="21"/>
  <c r="T50" i="21"/>
  <c r="R50" i="21"/>
  <c r="E67" i="21"/>
  <c r="T64" i="21"/>
  <c r="R64" i="21"/>
  <c r="S64" i="21"/>
  <c r="R14" i="21"/>
  <c r="T14" i="21"/>
  <c r="S14" i="21"/>
  <c r="S28" i="21"/>
  <c r="R28" i="21"/>
  <c r="T28" i="21"/>
  <c r="S70" i="21"/>
  <c r="R70" i="21"/>
  <c r="T70" i="21"/>
  <c r="T77" i="21"/>
  <c r="R77" i="21"/>
  <c r="S77" i="21"/>
  <c r="AI20" i="47"/>
  <c r="CC36" i="29" s="1"/>
  <c r="AG22" i="47"/>
  <c r="E46" i="21"/>
  <c r="R43" i="21"/>
  <c r="S43" i="21"/>
  <c r="T43" i="21"/>
  <c r="E75" i="21"/>
  <c r="R73" i="21"/>
  <c r="S73" i="21"/>
  <c r="T73" i="21"/>
  <c r="R51" i="21"/>
  <c r="S51" i="21"/>
  <c r="T51" i="21"/>
  <c r="AC84" i="39"/>
  <c r="AE84" i="39" s="1"/>
  <c r="AD233" i="27"/>
  <c r="AF233" i="27" s="1"/>
  <c r="AD230" i="27"/>
  <c r="AF230" i="27" s="1"/>
  <c r="AD219" i="27"/>
  <c r="AF219" i="27" s="1"/>
  <c r="AD225" i="27"/>
  <c r="AF225" i="27" s="1"/>
  <c r="AD226" i="27"/>
  <c r="AF226" i="27" s="1"/>
  <c r="AD218" i="27"/>
  <c r="AF218" i="27" s="1"/>
  <c r="AD221" i="27"/>
  <c r="AF221" i="27" s="1"/>
  <c r="AD220" i="27"/>
  <c r="AF220" i="27" s="1"/>
  <c r="AD224" i="27"/>
  <c r="AF224" i="27" s="1"/>
  <c r="AD223" i="27"/>
  <c r="AF223" i="27" s="1"/>
  <c r="AD227" i="27"/>
  <c r="AF227" i="27" s="1"/>
  <c r="AD231" i="27"/>
  <c r="AF231" i="27" s="1"/>
  <c r="AD217" i="27"/>
  <c r="AD222" i="27"/>
  <c r="AF222" i="27" s="1"/>
  <c r="AD232" i="27"/>
  <c r="AF232" i="27" s="1"/>
  <c r="AD155" i="27"/>
  <c r="AF155" i="27" s="1"/>
  <c r="BT38" i="29" s="1"/>
  <c r="CA220" i="29" s="1"/>
  <c r="AD156" i="27"/>
  <c r="AF156" i="27" s="1"/>
  <c r="E68" i="21"/>
  <c r="T66" i="21"/>
  <c r="R66" i="21"/>
  <c r="S66" i="21"/>
  <c r="E19" i="21"/>
  <c r="S17" i="21"/>
  <c r="T17" i="21"/>
  <c r="R17" i="21"/>
  <c r="R44" i="21"/>
  <c r="S44" i="21"/>
  <c r="T44" i="21"/>
  <c r="R30" i="21"/>
  <c r="S30" i="21"/>
  <c r="T30" i="21"/>
  <c r="E54" i="21"/>
  <c r="R52" i="21"/>
  <c r="S52" i="21"/>
  <c r="T52" i="21"/>
  <c r="E74" i="21"/>
  <c r="S71" i="21"/>
  <c r="R71" i="21"/>
  <c r="T71" i="21"/>
  <c r="S79" i="21"/>
  <c r="T79" i="21"/>
  <c r="R79" i="21"/>
  <c r="E33" i="21"/>
  <c r="R31" i="21"/>
  <c r="S31" i="21"/>
  <c r="T31" i="21"/>
  <c r="R80" i="21"/>
  <c r="S80" i="21"/>
  <c r="T80" i="21"/>
  <c r="AC85" i="39"/>
  <c r="AE85" i="39" s="1"/>
  <c r="AD146" i="27"/>
  <c r="AF146" i="27" s="1"/>
  <c r="BT29" i="29" s="1"/>
  <c r="AD150" i="27"/>
  <c r="AF150" i="27" s="1"/>
  <c r="BT35" i="29" s="1"/>
  <c r="CA156" i="29" s="1"/>
  <c r="E32" i="21"/>
  <c r="S29" i="21"/>
  <c r="T29" i="21"/>
  <c r="R29" i="21"/>
  <c r="E123" i="21"/>
  <c r="S120" i="21"/>
  <c r="R120" i="21"/>
  <c r="T120" i="21"/>
  <c r="T78" i="21"/>
  <c r="R78" i="21"/>
  <c r="S78" i="21"/>
  <c r="E18" i="21"/>
  <c r="T15" i="21"/>
  <c r="R15" i="21"/>
  <c r="S15" i="21"/>
  <c r="E47" i="21"/>
  <c r="T45" i="21"/>
  <c r="R45" i="21"/>
  <c r="S45" i="21"/>
  <c r="T65" i="21"/>
  <c r="R65" i="21"/>
  <c r="S65" i="21"/>
  <c r="S16" i="21"/>
  <c r="T16" i="21"/>
  <c r="R16" i="21"/>
  <c r="S42" i="21"/>
  <c r="R42" i="21"/>
  <c r="T42" i="21"/>
  <c r="T49" i="21"/>
  <c r="R49" i="21"/>
  <c r="S49" i="21"/>
  <c r="S63" i="21"/>
  <c r="T63" i="21"/>
  <c r="R63" i="21"/>
  <c r="R72" i="21"/>
  <c r="S72" i="21"/>
  <c r="T72" i="21"/>
  <c r="AD152" i="27"/>
  <c r="AF152" i="27" s="1"/>
  <c r="BT33" i="29" s="1"/>
  <c r="AD158" i="27"/>
  <c r="AF158" i="27" s="1"/>
  <c r="BT40" i="29" s="1"/>
  <c r="AC22" i="39"/>
  <c r="AE22" i="39" s="1"/>
  <c r="AH46" i="14"/>
  <c r="CD36" i="29" s="1"/>
  <c r="AC99" i="39"/>
  <c r="AA56" i="35"/>
  <c r="AC44" i="35" s="1"/>
  <c r="AC31" i="39"/>
  <c r="AE31" i="39" s="1"/>
  <c r="AC103" i="39"/>
  <c r="AE103" i="39" s="1"/>
  <c r="AC93" i="39"/>
  <c r="AE93" i="39" s="1"/>
  <c r="AC21" i="39"/>
  <c r="AE21" i="39" s="1"/>
  <c r="AC24" i="39"/>
  <c r="AE24" i="39" s="1"/>
  <c r="AC26" i="39"/>
  <c r="AE26" i="39" s="1"/>
  <c r="AC59" i="39"/>
  <c r="AE59" i="39" s="1"/>
  <c r="AC62" i="39"/>
  <c r="AE62" i="39" s="1"/>
  <c r="AC60" i="39"/>
  <c r="AE60" i="39" s="1"/>
  <c r="AC53" i="39"/>
  <c r="AE53" i="39" s="1"/>
  <c r="AC54" i="39"/>
  <c r="AE54" i="39" s="1"/>
  <c r="AC55" i="39"/>
  <c r="AE55" i="39" s="1"/>
  <c r="AC52" i="39"/>
  <c r="AC44" i="39"/>
  <c r="AC46" i="39"/>
  <c r="AE46" i="39" s="1"/>
  <c r="AC48" i="39"/>
  <c r="AE48" i="39" s="1"/>
  <c r="AC45" i="39"/>
  <c r="AE45" i="39" s="1"/>
  <c r="AC33" i="39"/>
  <c r="AE33" i="39" s="1"/>
  <c r="AC34" i="39"/>
  <c r="AE34" i="39" s="1"/>
  <c r="AC39" i="39"/>
  <c r="AE39" i="39" s="1"/>
  <c r="AC38" i="39"/>
  <c r="AE38" i="39" s="1"/>
  <c r="AC32" i="39"/>
  <c r="AE32" i="39" s="1"/>
  <c r="AC35" i="39"/>
  <c r="AE35" i="39" s="1"/>
  <c r="AC36" i="39"/>
  <c r="AE36" i="39" s="1"/>
  <c r="AC40" i="39"/>
  <c r="AE40" i="39" s="1"/>
  <c r="AC37" i="39"/>
  <c r="AE37" i="39" s="1"/>
  <c r="AC25" i="39"/>
  <c r="AE25" i="39" s="1"/>
  <c r="AC20" i="39"/>
  <c r="AE20" i="39" s="1"/>
  <c r="AC23" i="39"/>
  <c r="AE23" i="39" s="1"/>
  <c r="AC27" i="39"/>
  <c r="AE27" i="39" s="1"/>
  <c r="AC19" i="39"/>
  <c r="AE19" i="39" s="1"/>
  <c r="AC14" i="39"/>
  <c r="AE14" i="39" s="1"/>
  <c r="AC12" i="39"/>
  <c r="AC5" i="39"/>
  <c r="AE5" i="39" s="1"/>
  <c r="AC8" i="39"/>
  <c r="AE8" i="39" s="1"/>
  <c r="AC6" i="39"/>
  <c r="AE6" i="39" s="1"/>
  <c r="AC114" i="32"/>
  <c r="AE113" i="32"/>
  <c r="AC118" i="32"/>
  <c r="AE118" i="32" s="1"/>
  <c r="AC117" i="32"/>
  <c r="AE117" i="32" s="1"/>
  <c r="AC104" i="32"/>
  <c r="AE104" i="32" s="1"/>
  <c r="AC107" i="32"/>
  <c r="AE107" i="32" s="1"/>
  <c r="AC105" i="32"/>
  <c r="AE105" i="32" s="1"/>
  <c r="AC106" i="32"/>
  <c r="AE106" i="32" s="1"/>
  <c r="AC108" i="32"/>
  <c r="AE108" i="32" s="1"/>
  <c r="AC100" i="32"/>
  <c r="AE100" i="32" s="1"/>
  <c r="AC99" i="32"/>
  <c r="AE99" i="32" s="1"/>
  <c r="AC98" i="32"/>
  <c r="AC54" i="32"/>
  <c r="AE54" i="32" s="1"/>
  <c r="AA52" i="32"/>
  <c r="AA10" i="32"/>
  <c r="AA96" i="32"/>
  <c r="AA88" i="32"/>
  <c r="AA30" i="32"/>
  <c r="AA44" i="32"/>
  <c r="AA16" i="32"/>
  <c r="AA63" i="32"/>
  <c r="AC11" i="43"/>
  <c r="AE11" i="43" s="1"/>
  <c r="AA70" i="32"/>
  <c r="AC67" i="32" s="1"/>
  <c r="AC6" i="43"/>
  <c r="AE6" i="43" s="1"/>
  <c r="AC34" i="43"/>
  <c r="AC77" i="43"/>
  <c r="AE77" i="43" s="1"/>
  <c r="AC79" i="43"/>
  <c r="AE79" i="43" s="1"/>
  <c r="AC80" i="43"/>
  <c r="AE80" i="43" s="1"/>
  <c r="AC78" i="43"/>
  <c r="AE78" i="43" s="1"/>
  <c r="AC81" i="43"/>
  <c r="AE81" i="43" s="1"/>
  <c r="AC69" i="43"/>
  <c r="AE69" i="43" s="1"/>
  <c r="AC73" i="43"/>
  <c r="AE73" i="43" s="1"/>
  <c r="AC72" i="43"/>
  <c r="AE72" i="43" s="1"/>
  <c r="AC71" i="43"/>
  <c r="AE71" i="43" s="1"/>
  <c r="AC70" i="43"/>
  <c r="AE70" i="43" s="1"/>
  <c r="AC55" i="43"/>
  <c r="AE55" i="43" s="1"/>
  <c r="AC58" i="43"/>
  <c r="AE58" i="43" s="1"/>
  <c r="AC57" i="43"/>
  <c r="AE57" i="43" s="1"/>
  <c r="AC56" i="43"/>
  <c r="AE56" i="43" s="1"/>
  <c r="AC49" i="43"/>
  <c r="AE49" i="43" s="1"/>
  <c r="AC50" i="43"/>
  <c r="AE50" i="43" s="1"/>
  <c r="AC51" i="43"/>
  <c r="AE51" i="43" s="1"/>
  <c r="AC44" i="43"/>
  <c r="AE44" i="43" s="1"/>
  <c r="AC45" i="43"/>
  <c r="AE45" i="43" s="1"/>
  <c r="AC37" i="43"/>
  <c r="AE37" i="43" s="1"/>
  <c r="AC39" i="43"/>
  <c r="AE39" i="43" s="1"/>
  <c r="AC38" i="43"/>
  <c r="AE38" i="43" s="1"/>
  <c r="AC40" i="43"/>
  <c r="AE40" i="43" s="1"/>
  <c r="AC27" i="43"/>
  <c r="AE27" i="43" s="1"/>
  <c r="AC28" i="43"/>
  <c r="AE28" i="43" s="1"/>
  <c r="AC29" i="43"/>
  <c r="AE29" i="43" s="1"/>
  <c r="AC21" i="43"/>
  <c r="AC22" i="43"/>
  <c r="AE22" i="43" s="1"/>
  <c r="AC23" i="43"/>
  <c r="AE23" i="43" s="1"/>
  <c r="AC16" i="43"/>
  <c r="AE16" i="43" s="1"/>
  <c r="AC17" i="43"/>
  <c r="AE17" i="43" s="1"/>
  <c r="AE347" i="44"/>
  <c r="AE349" i="44"/>
  <c r="AG349" i="44" s="1"/>
  <c r="CG31" i="29" s="1"/>
  <c r="AF7" i="10"/>
  <c r="AH7" i="10" s="1"/>
  <c r="AH24" i="10" s="1"/>
  <c r="AF9" i="10"/>
  <c r="AH9" i="10" s="1"/>
  <c r="AH26" i="10" s="1"/>
  <c r="AF6" i="10"/>
  <c r="AH6" i="10" s="1"/>
  <c r="AE30" i="37"/>
  <c r="AG30" i="37" s="1"/>
  <c r="AE28" i="37"/>
  <c r="AG28" i="37" s="1"/>
  <c r="AE27" i="37"/>
  <c r="AG27" i="37" s="1"/>
  <c r="AE5" i="43"/>
  <c r="AE15" i="43"/>
  <c r="G78" i="21"/>
  <c r="G81" i="21" s="1"/>
  <c r="F81" i="21"/>
  <c r="G80" i="21"/>
  <c r="G82" i="21" s="1"/>
  <c r="F82" i="21"/>
  <c r="U39" i="23"/>
  <c r="AH48" i="14"/>
  <c r="CD38" i="29" s="1"/>
  <c r="CC220" i="29" s="1"/>
  <c r="AH47" i="14"/>
  <c r="CD37" i="29" s="1"/>
  <c r="CC219" i="29" s="1"/>
  <c r="B39" i="23"/>
  <c r="R33" i="21"/>
  <c r="T33" i="21"/>
  <c r="S33" i="21"/>
  <c r="R82" i="21"/>
  <c r="S82" i="21"/>
  <c r="T82" i="21"/>
  <c r="S67" i="21"/>
  <c r="R67" i="21"/>
  <c r="T67" i="21"/>
  <c r="T123" i="21"/>
  <c r="S123" i="21"/>
  <c r="R123" i="21"/>
  <c r="S124" i="21"/>
  <c r="R124" i="21"/>
  <c r="T124" i="21"/>
  <c r="R81" i="21"/>
  <c r="S81" i="21"/>
  <c r="T81" i="21"/>
  <c r="T32" i="21"/>
  <c r="R32" i="21"/>
  <c r="S32" i="21"/>
  <c r="R68" i="21"/>
  <c r="S68" i="21"/>
  <c r="T68" i="21"/>
  <c r="R18" i="21"/>
  <c r="S18" i="21"/>
  <c r="T18" i="21"/>
  <c r="S19" i="21"/>
  <c r="R19" i="21"/>
  <c r="T19" i="21"/>
  <c r="R46" i="21"/>
  <c r="T46" i="21"/>
  <c r="S46" i="21"/>
  <c r="R47" i="21"/>
  <c r="S47" i="21"/>
  <c r="T47" i="21"/>
  <c r="R53" i="21"/>
  <c r="T53" i="21"/>
  <c r="S53" i="21"/>
  <c r="T54" i="21"/>
  <c r="R54" i="21"/>
  <c r="S54" i="21"/>
  <c r="T74" i="21"/>
  <c r="R74" i="21"/>
  <c r="S74" i="21"/>
  <c r="T75" i="21"/>
  <c r="S75" i="21"/>
  <c r="R75" i="21"/>
  <c r="X39" i="23"/>
  <c r="G77" i="21"/>
  <c r="G79" i="21"/>
  <c r="F23" i="21"/>
  <c r="E23" i="21"/>
  <c r="F24" i="21"/>
  <c r="F26" i="21" s="1"/>
  <c r="E24" i="21"/>
  <c r="F22" i="21"/>
  <c r="F25" i="21" s="1"/>
  <c r="E22" i="21"/>
  <c r="F21" i="21"/>
  <c r="E21" i="21"/>
  <c r="F80" i="39"/>
  <c r="D41" i="29"/>
  <c r="L45" i="39"/>
  <c r="DJ31" i="29"/>
  <c r="L20" i="47"/>
  <c r="F32" i="29"/>
  <c r="CT31" i="29"/>
  <c r="DD58" i="29"/>
  <c r="F56" i="29"/>
  <c r="L65" i="32"/>
  <c r="L92" i="32"/>
  <c r="L6" i="40"/>
  <c r="DD63" i="29"/>
  <c r="DA60" i="29"/>
  <c r="L49" i="40"/>
  <c r="L12" i="32"/>
  <c r="L40" i="40"/>
  <c r="E58" i="29"/>
  <c r="L84" i="32"/>
  <c r="L27" i="43"/>
  <c r="L20" i="39"/>
  <c r="F57" i="29"/>
  <c r="L95" i="40"/>
  <c r="L69" i="39"/>
  <c r="F51" i="29"/>
  <c r="L47" i="32"/>
  <c r="J14" i="37"/>
  <c r="CN34" i="29"/>
  <c r="L32" i="32"/>
  <c r="M61" i="25"/>
  <c r="L76" i="40"/>
  <c r="L85" i="43"/>
  <c r="L104" i="32"/>
  <c r="CH28" i="29"/>
  <c r="L35" i="32"/>
  <c r="D27" i="29"/>
  <c r="CY63" i="29"/>
  <c r="G39" i="39"/>
  <c r="CK31" i="29"/>
  <c r="L78" i="40"/>
  <c r="CZ52" i="29"/>
  <c r="L67" i="39"/>
  <c r="M52" i="25"/>
  <c r="L218" i="27"/>
  <c r="DC60" i="29"/>
  <c r="L11" i="43"/>
  <c r="CJ28" i="29"/>
  <c r="L153" i="27"/>
  <c r="L15" i="40"/>
  <c r="L61" i="40"/>
  <c r="F31" i="29"/>
  <c r="L106" i="32"/>
  <c r="L29" i="37"/>
  <c r="CY52" i="29"/>
  <c r="F41" i="29"/>
  <c r="L26" i="32"/>
  <c r="CL27" i="29"/>
  <c r="CO34" i="29"/>
  <c r="E41" i="29"/>
  <c r="L33" i="43"/>
  <c r="CH31" i="29"/>
  <c r="CN27" i="29"/>
  <c r="CW51" i="29"/>
  <c r="DA59" i="29"/>
  <c r="D52" i="35"/>
  <c r="L9" i="10"/>
  <c r="L84" i="39"/>
  <c r="F26" i="32"/>
  <c r="L17" i="40"/>
  <c r="L7" i="39"/>
  <c r="L24" i="39"/>
  <c r="E55" i="29"/>
  <c r="DF56" i="29"/>
  <c r="L27" i="40"/>
  <c r="DJ55" i="29"/>
  <c r="E56" i="29"/>
  <c r="L59" i="32"/>
  <c r="L51" i="43"/>
  <c r="L50" i="40"/>
  <c r="DF58" i="29"/>
  <c r="L90" i="40"/>
  <c r="L6" i="10"/>
  <c r="L87" i="39"/>
  <c r="L46" i="32"/>
  <c r="L92" i="43"/>
  <c r="E60" i="29"/>
  <c r="H13" i="37"/>
  <c r="DH58" i="29"/>
  <c r="L83" i="40"/>
  <c r="L92" i="39"/>
  <c r="L67" i="32"/>
  <c r="L6" i="39"/>
  <c r="L82" i="32"/>
  <c r="L97" i="39"/>
  <c r="L45" i="43"/>
  <c r="L45" i="40"/>
  <c r="E65" i="29"/>
  <c r="DE52" i="29"/>
  <c r="L76" i="39"/>
  <c r="L56" i="43"/>
  <c r="L8" i="10"/>
  <c r="L6" i="32"/>
  <c r="F86" i="32"/>
  <c r="F34" i="29"/>
  <c r="L31" i="39"/>
  <c r="CS34" i="29"/>
  <c r="L15" i="43"/>
  <c r="L21" i="40"/>
  <c r="L77" i="39"/>
  <c r="L36" i="39"/>
  <c r="F58" i="29"/>
  <c r="DG52" i="29"/>
  <c r="L56" i="40"/>
  <c r="L81" i="32"/>
  <c r="CY51" i="29"/>
  <c r="DA63" i="29"/>
  <c r="L49" i="32"/>
  <c r="L149" i="27"/>
  <c r="L78" i="39"/>
  <c r="I11" i="37"/>
  <c r="L14" i="32"/>
  <c r="DE28" i="29"/>
  <c r="CW59" i="29"/>
  <c r="CY58" i="29"/>
  <c r="CZ50" i="29"/>
  <c r="L66" i="32"/>
  <c r="E57" i="29"/>
  <c r="L79" i="40"/>
  <c r="L44" i="43"/>
  <c r="L80" i="43"/>
  <c r="L55" i="39"/>
  <c r="L86" i="43"/>
  <c r="CY59" i="29"/>
  <c r="L220" i="27"/>
  <c r="L73" i="43"/>
  <c r="L21" i="32"/>
  <c r="L63" i="43"/>
  <c r="CL31" i="29"/>
  <c r="CY56" i="29"/>
  <c r="L77" i="43"/>
  <c r="K52" i="35"/>
  <c r="CY55" i="29"/>
  <c r="I14" i="37"/>
  <c r="L14" i="39"/>
  <c r="L50" i="43"/>
  <c r="L29" i="43"/>
  <c r="CS28" i="29"/>
  <c r="L97" i="43"/>
  <c r="CN31" i="29"/>
  <c r="CK28" i="29"/>
  <c r="L144" i="27"/>
  <c r="E51" i="29"/>
  <c r="L99" i="32"/>
  <c r="CY50" i="29"/>
  <c r="CT28" i="29"/>
  <c r="L11" i="40"/>
  <c r="L93" i="40"/>
  <c r="L93" i="39"/>
  <c r="D31" i="29"/>
  <c r="L7" i="32"/>
  <c r="D29" i="29"/>
  <c r="L44" i="40"/>
  <c r="L62" i="43"/>
  <c r="L5" i="39"/>
  <c r="L61" i="32"/>
  <c r="L37" i="43"/>
  <c r="L223" i="27"/>
  <c r="CQ32" i="29"/>
  <c r="L23" i="43"/>
  <c r="L83" i="32"/>
  <c r="L37" i="32"/>
  <c r="F55" i="29"/>
  <c r="F36" i="29"/>
  <c r="E159" i="27"/>
  <c r="E34" i="29"/>
  <c r="L20" i="32"/>
  <c r="H7" i="37"/>
  <c r="CO31" i="29"/>
  <c r="L28" i="37"/>
  <c r="L6" i="43"/>
  <c r="L10" i="40"/>
  <c r="DH36" i="29"/>
  <c r="L61" i="39"/>
  <c r="CQ34" i="29"/>
  <c r="G40" i="32"/>
  <c r="L68" i="40"/>
  <c r="L55" i="43"/>
  <c r="CP32" i="29"/>
  <c r="CN28" i="29"/>
  <c r="CS32" i="29"/>
  <c r="DH37" i="29"/>
  <c r="L86" i="32"/>
  <c r="E27" i="29"/>
  <c r="L93" i="32"/>
  <c r="L73" i="39"/>
  <c r="L80" i="39"/>
  <c r="CZ65" i="29"/>
  <c r="E32" i="29"/>
  <c r="DF51" i="29"/>
  <c r="E53" i="29"/>
  <c r="L88" i="39"/>
  <c r="DJ60" i="29"/>
  <c r="L57" i="40"/>
  <c r="CX58" i="29"/>
  <c r="L151" i="27"/>
  <c r="L47" i="39"/>
  <c r="L23" i="32"/>
  <c r="L39" i="40"/>
  <c r="L72" i="43"/>
  <c r="L108" i="32"/>
  <c r="L92" i="40"/>
  <c r="L70" i="40"/>
  <c r="L71" i="40"/>
  <c r="I7" i="37"/>
  <c r="L23" i="40"/>
  <c r="F60" i="29"/>
  <c r="L33" i="39"/>
  <c r="L28" i="43"/>
  <c r="L68" i="39"/>
  <c r="L53" i="39"/>
  <c r="M64" i="25"/>
  <c r="E36" i="29"/>
  <c r="L39" i="39"/>
  <c r="L12" i="39"/>
  <c r="L98" i="32"/>
  <c r="CJ27" i="29"/>
  <c r="E31" i="29"/>
  <c r="L85" i="32"/>
  <c r="CY60" i="29"/>
  <c r="E233" i="27"/>
  <c r="CT36" i="29"/>
  <c r="CS31" i="29"/>
  <c r="F33" i="29"/>
  <c r="F26" i="39"/>
  <c r="L40" i="43"/>
  <c r="CL34" i="29"/>
  <c r="L60" i="32"/>
  <c r="L21" i="39"/>
  <c r="CT34" i="29"/>
  <c r="L102" i="39"/>
  <c r="G26" i="32"/>
  <c r="K51" i="35"/>
  <c r="L37" i="39"/>
  <c r="L159" i="27"/>
  <c r="CZ60" i="29"/>
  <c r="L26" i="39"/>
  <c r="L81" i="43"/>
  <c r="F53" i="29"/>
  <c r="L72" i="40"/>
  <c r="L39" i="43"/>
  <c r="L117" i="32"/>
  <c r="L90" i="32"/>
  <c r="CZ63" i="29"/>
  <c r="L73" i="32"/>
  <c r="CZ55" i="29"/>
  <c r="L65" i="43"/>
  <c r="DC55" i="29"/>
  <c r="I6" i="37"/>
  <c r="F27" i="29"/>
  <c r="L28" i="40"/>
  <c r="DD60" i="29"/>
  <c r="L54" i="40"/>
  <c r="L23" i="39"/>
  <c r="K45" i="35"/>
  <c r="F52" i="35"/>
  <c r="H12" i="37"/>
  <c r="DG58" i="29"/>
  <c r="CQ27" i="29"/>
  <c r="L49" i="43"/>
  <c r="CP34" i="29"/>
  <c r="H8" i="37"/>
  <c r="L233" i="27"/>
  <c r="CZ58" i="29"/>
  <c r="J12" i="37"/>
  <c r="L5" i="32"/>
  <c r="L79" i="39"/>
  <c r="CP31" i="29"/>
  <c r="DJ36" i="29"/>
  <c r="L55" i="40"/>
  <c r="L64" i="40"/>
  <c r="I10" i="37"/>
  <c r="F39" i="39"/>
  <c r="L94" i="43"/>
  <c r="L62" i="40"/>
  <c r="L86" i="39"/>
  <c r="CJ31" i="29"/>
  <c r="L152" i="27"/>
  <c r="L18" i="32"/>
  <c r="CZ56" i="29"/>
  <c r="L79" i="32"/>
  <c r="L24" i="32"/>
  <c r="L75" i="39"/>
  <c r="L34" i="32"/>
  <c r="DE58" i="29"/>
  <c r="L58" i="43"/>
  <c r="CI34" i="29"/>
  <c r="CZ51" i="29"/>
  <c r="F65" i="29"/>
  <c r="L46" i="14"/>
  <c r="K53" i="35"/>
  <c r="CW55" i="29"/>
  <c r="L107" i="32"/>
  <c r="K46" i="35"/>
  <c r="L222" i="27"/>
  <c r="F40" i="32"/>
  <c r="L40" i="32"/>
  <c r="L348" i="44"/>
  <c r="L86" i="40"/>
  <c r="L21" i="43"/>
  <c r="D65" i="29"/>
  <c r="L54" i="39"/>
  <c r="L88" i="43"/>
  <c r="H11" i="37"/>
  <c r="L44" i="39"/>
  <c r="L57" i="43"/>
  <c r="DH60" i="29"/>
  <c r="L225" i="27"/>
  <c r="L148" i="27"/>
  <c r="L60" i="39"/>
  <c r="DB39" i="29"/>
  <c r="L74" i="32"/>
  <c r="L17" i="43"/>
  <c r="E33" i="29"/>
  <c r="G26" i="39"/>
  <c r="G159" i="27"/>
  <c r="CT27" i="29"/>
  <c r="G86" i="32"/>
  <c r="M62" i="25"/>
  <c r="DI26" i="29"/>
  <c r="L95" i="43"/>
  <c r="L13" i="32"/>
  <c r="CW60" i="29"/>
  <c r="DC58" i="29"/>
  <c r="L33" i="40"/>
  <c r="L59" i="39"/>
  <c r="K49" i="35"/>
  <c r="CZ59" i="29"/>
  <c r="L37" i="40"/>
  <c r="M55" i="25"/>
  <c r="DG51" i="29"/>
  <c r="L69" i="43"/>
  <c r="L118" i="32"/>
  <c r="D56" i="29"/>
  <c r="DF52" i="29"/>
  <c r="DF55" i="29"/>
  <c r="L75" i="32"/>
  <c r="L146" i="27"/>
  <c r="L227" i="27"/>
  <c r="CQ31" i="29"/>
  <c r="L71" i="43"/>
  <c r="L29" i="40"/>
  <c r="F29" i="29"/>
  <c r="DD55" i="29"/>
  <c r="CS27" i="29"/>
  <c r="L94" i="32"/>
  <c r="L18" i="39"/>
  <c r="CX60" i="29"/>
  <c r="M53" i="25"/>
  <c r="L13" i="39"/>
  <c r="L103" i="39"/>
  <c r="L226" i="27"/>
  <c r="L349" i="44"/>
  <c r="I12" i="37"/>
  <c r="G80" i="39"/>
  <c r="DE55" i="29"/>
  <c r="L79" i="43"/>
  <c r="L84" i="40"/>
  <c r="J11" i="37"/>
  <c r="I13" i="37"/>
  <c r="CY65" i="29"/>
  <c r="H10" i="37"/>
  <c r="E29" i="29"/>
  <c r="L112" i="32"/>
  <c r="L34" i="39"/>
  <c r="L38" i="32"/>
  <c r="L10" i="43"/>
  <c r="K10" i="37" l="1"/>
  <c r="CA280" i="29"/>
  <c r="CA251" i="29"/>
  <c r="EE40" i="29"/>
  <c r="CA252" i="29"/>
  <c r="CD187" i="29"/>
  <c r="CC187" i="29"/>
  <c r="CA187" i="29"/>
  <c r="CA128" i="29"/>
  <c r="CA131" i="29"/>
  <c r="CA126" i="29"/>
  <c r="CD126" i="29"/>
  <c r="CA129" i="29"/>
  <c r="CE126" i="29"/>
  <c r="CA130" i="29"/>
  <c r="EE33" i="29"/>
  <c r="CA125" i="29"/>
  <c r="E284" i="29"/>
  <c r="E141" i="29"/>
  <c r="E280" i="29"/>
  <c r="E129" i="29"/>
  <c r="E126" i="29"/>
  <c r="E131" i="29"/>
  <c r="BT63" i="29"/>
  <c r="CA255" i="29" s="1"/>
  <c r="BT53" i="29"/>
  <c r="CA142" i="29" s="1"/>
  <c r="BT56" i="29"/>
  <c r="CA141" i="29" s="1"/>
  <c r="BT64" i="29"/>
  <c r="BT60" i="29"/>
  <c r="BT52" i="29"/>
  <c r="BT55" i="29"/>
  <c r="CA137" i="29" s="1"/>
  <c r="BT58" i="29"/>
  <c r="CA163" i="29" s="1"/>
  <c r="BT51" i="29"/>
  <c r="CA140" i="29" s="1"/>
  <c r="BT59" i="29"/>
  <c r="CA162" i="29" s="1"/>
  <c r="BT57" i="29"/>
  <c r="CA136" i="29" s="1"/>
  <c r="BT65" i="29"/>
  <c r="CA284" i="29" s="1"/>
  <c r="Y39" i="23"/>
  <c r="CG36" i="29"/>
  <c r="EE38" i="29"/>
  <c r="ED38" i="29"/>
  <c r="EC40" i="29"/>
  <c r="ED40" i="29"/>
  <c r="EC33" i="29"/>
  <c r="ED33" i="29"/>
  <c r="EC38" i="29"/>
  <c r="BS220" i="29" s="1"/>
  <c r="CF56" i="29"/>
  <c r="BZ141" i="29" s="1"/>
  <c r="CF59" i="29"/>
  <c r="BZ162" i="29" s="1"/>
  <c r="CF51" i="29"/>
  <c r="BZ140" i="29" s="1"/>
  <c r="CF63" i="29"/>
  <c r="BZ255" i="29" s="1"/>
  <c r="CF65" i="29"/>
  <c r="BZ284" i="29" s="1"/>
  <c r="CF60" i="29"/>
  <c r="BZ191" i="29" s="1"/>
  <c r="CF58" i="29"/>
  <c r="BZ163" i="29" s="1"/>
  <c r="CF50" i="29"/>
  <c r="BZ135" i="29" s="1"/>
  <c r="CE32" i="29"/>
  <c r="AC74" i="32"/>
  <c r="AE74" i="32" s="1"/>
  <c r="AC73" i="32"/>
  <c r="AE73" i="32" s="1"/>
  <c r="AC75" i="32"/>
  <c r="AE75" i="32" s="1"/>
  <c r="AE44" i="39"/>
  <c r="AC49" i="39"/>
  <c r="M65" i="43"/>
  <c r="BT30" i="29"/>
  <c r="AC70" i="39"/>
  <c r="AC81" i="39"/>
  <c r="AC89" i="39"/>
  <c r="M146" i="27"/>
  <c r="L53" i="35"/>
  <c r="M7" i="39"/>
  <c r="M55" i="39"/>
  <c r="M37" i="39"/>
  <c r="M47" i="39"/>
  <c r="M86" i="40"/>
  <c r="M14" i="39"/>
  <c r="M93" i="39"/>
  <c r="M64" i="40"/>
  <c r="M61" i="39"/>
  <c r="M24" i="39"/>
  <c r="M95" i="40"/>
  <c r="M227" i="27"/>
  <c r="M103" i="39"/>
  <c r="M226" i="27"/>
  <c r="M149" i="27"/>
  <c r="M98" i="32"/>
  <c r="N55" i="25"/>
  <c r="M75" i="32"/>
  <c r="M60" i="32"/>
  <c r="M13" i="32"/>
  <c r="M84" i="32"/>
  <c r="M21" i="32"/>
  <c r="M35" i="32"/>
  <c r="M94" i="32"/>
  <c r="M66" i="32"/>
  <c r="M107" i="32"/>
  <c r="M40" i="43"/>
  <c r="M29" i="43"/>
  <c r="M45" i="43"/>
  <c r="M80" i="43"/>
  <c r="M11" i="43"/>
  <c r="M50" i="43"/>
  <c r="M57" i="43"/>
  <c r="M95" i="43"/>
  <c r="M63" i="43"/>
  <c r="M86" i="43"/>
  <c r="M72" i="43"/>
  <c r="M225" i="27"/>
  <c r="M36" i="39"/>
  <c r="Z57" i="40"/>
  <c r="M79" i="39"/>
  <c r="M23" i="39"/>
  <c r="M50" i="40"/>
  <c r="M72" i="40"/>
  <c r="M57" i="40"/>
  <c r="M85" i="32"/>
  <c r="M37" i="32"/>
  <c r="M23" i="32"/>
  <c r="M9" i="10"/>
  <c r="L51" i="35"/>
  <c r="M151" i="27"/>
  <c r="M51" i="43"/>
  <c r="M58" i="43"/>
  <c r="M73" i="43"/>
  <c r="N80" i="39"/>
  <c r="O80" i="39" s="1"/>
  <c r="O81" i="39" s="1"/>
  <c r="N26" i="39"/>
  <c r="O26" i="39" s="1"/>
  <c r="O28" i="39" s="1"/>
  <c r="N39" i="39"/>
  <c r="O39" i="39" s="1"/>
  <c r="O41" i="39" s="1"/>
  <c r="N233" i="27"/>
  <c r="O233" i="27" s="1"/>
  <c r="O234" i="27" s="1"/>
  <c r="M233" i="27"/>
  <c r="M17" i="40"/>
  <c r="M6" i="40"/>
  <c r="M97" i="39"/>
  <c r="M99" i="39" s="1"/>
  <c r="N100" i="39" s="1"/>
  <c r="M28" i="40"/>
  <c r="M33" i="40"/>
  <c r="M34" i="40" s="1"/>
  <c r="N35" i="40" s="1"/>
  <c r="M86" i="39"/>
  <c r="M6" i="39"/>
  <c r="M12" i="39"/>
  <c r="M102" i="39"/>
  <c r="M83" i="40"/>
  <c r="Z55" i="40"/>
  <c r="M87" i="39"/>
  <c r="M55" i="40"/>
  <c r="M39" i="40"/>
  <c r="M23" i="40"/>
  <c r="M78" i="40"/>
  <c r="M53" i="39"/>
  <c r="M20" i="39"/>
  <c r="M59" i="39"/>
  <c r="M75" i="39"/>
  <c r="M45" i="39"/>
  <c r="M10" i="40"/>
  <c r="M44" i="40"/>
  <c r="M77" i="39"/>
  <c r="M68" i="39"/>
  <c r="M49" i="40"/>
  <c r="N62" i="25"/>
  <c r="M44" i="39"/>
  <c r="M61" i="40"/>
  <c r="M222" i="27"/>
  <c r="M70" i="40"/>
  <c r="M76" i="39"/>
  <c r="M67" i="39"/>
  <c r="M92" i="40"/>
  <c r="M33" i="39"/>
  <c r="M152" i="27"/>
  <c r="M15" i="40"/>
  <c r="M73" i="39"/>
  <c r="M31" i="39"/>
  <c r="M84" i="39"/>
  <c r="M18" i="39"/>
  <c r="M218" i="27"/>
  <c r="M5" i="39"/>
  <c r="Z54" i="40"/>
  <c r="N61" i="25"/>
  <c r="M37" i="40"/>
  <c r="M90" i="40"/>
  <c r="M76" i="40"/>
  <c r="M68" i="40"/>
  <c r="M27" i="40"/>
  <c r="M21" i="40"/>
  <c r="M54" i="40"/>
  <c r="N40" i="32"/>
  <c r="O40" i="32" s="1"/>
  <c r="N86" i="32"/>
  <c r="O86" i="32" s="1"/>
  <c r="O87" i="32" s="1"/>
  <c r="N26" i="32"/>
  <c r="O26" i="32" s="1"/>
  <c r="O29" i="32" s="1"/>
  <c r="M52" i="35"/>
  <c r="N52" i="35" s="1"/>
  <c r="N54" i="35" s="1"/>
  <c r="N159" i="27"/>
  <c r="O159" i="27" s="1"/>
  <c r="O160" i="27" s="1"/>
  <c r="M220" i="27"/>
  <c r="M223" i="27"/>
  <c r="M54" i="39"/>
  <c r="M21" i="39"/>
  <c r="M78" i="39"/>
  <c r="M88" i="39"/>
  <c r="M34" i="39"/>
  <c r="N64" i="25"/>
  <c r="M13" i="39"/>
  <c r="M60" i="39"/>
  <c r="M92" i="39"/>
  <c r="M69" i="39"/>
  <c r="M93" i="40"/>
  <c r="M56" i="40"/>
  <c r="M45" i="40"/>
  <c r="M11" i="40"/>
  <c r="M71" i="40"/>
  <c r="M62" i="40"/>
  <c r="M79" i="40"/>
  <c r="M84" i="40"/>
  <c r="M29" i="40"/>
  <c r="M40" i="40"/>
  <c r="N52" i="25"/>
  <c r="M104" i="32"/>
  <c r="M79" i="32"/>
  <c r="M5" i="32"/>
  <c r="M90" i="32"/>
  <c r="L49" i="35"/>
  <c r="M18" i="32"/>
  <c r="M32" i="32"/>
  <c r="M144" i="27"/>
  <c r="M28" i="37"/>
  <c r="M21" i="43"/>
  <c r="M55" i="43"/>
  <c r="M37" i="43"/>
  <c r="M27" i="43"/>
  <c r="M69" i="43"/>
  <c r="M15" i="43"/>
  <c r="M92" i="43"/>
  <c r="M77" i="43"/>
  <c r="M85" i="43"/>
  <c r="M20" i="32"/>
  <c r="M28" i="43"/>
  <c r="M34" i="32"/>
  <c r="M148" i="27"/>
  <c r="M10" i="43"/>
  <c r="M71" i="43"/>
  <c r="M47" i="32"/>
  <c r="M33" i="43"/>
  <c r="M34" i="43" s="1"/>
  <c r="N35" i="43" s="1"/>
  <c r="M46" i="32"/>
  <c r="M39" i="43"/>
  <c r="M92" i="32"/>
  <c r="M59" i="32"/>
  <c r="M29" i="37"/>
  <c r="M83" i="32"/>
  <c r="M49" i="43"/>
  <c r="M62" i="43"/>
  <c r="M93" i="32"/>
  <c r="M65" i="32"/>
  <c r="M112" i="32"/>
  <c r="M114" i="32" s="1"/>
  <c r="N115" i="32" s="1"/>
  <c r="N53" i="25"/>
  <c r="M117" i="32"/>
  <c r="M82" i="32"/>
  <c r="M12" i="32"/>
  <c r="M56" i="43"/>
  <c r="M44" i="43"/>
  <c r="M6" i="43"/>
  <c r="M17" i="43"/>
  <c r="M73" i="32"/>
  <c r="M79" i="43"/>
  <c r="M74" i="32"/>
  <c r="L45" i="35"/>
  <c r="M23" i="43"/>
  <c r="M94" i="43"/>
  <c r="M81" i="32"/>
  <c r="M106" i="32"/>
  <c r="M6" i="32"/>
  <c r="M349" i="44"/>
  <c r="M8" i="10"/>
  <c r="M46" i="14"/>
  <c r="M49" i="14" s="1"/>
  <c r="N50" i="14" s="1"/>
  <c r="M20" i="47"/>
  <c r="M22" i="47" s="1"/>
  <c r="N23" i="47" s="1"/>
  <c r="P20" i="47" s="1"/>
  <c r="M153" i="27"/>
  <c r="M49" i="32"/>
  <c r="M99" i="32"/>
  <c r="M67" i="32"/>
  <c r="M348" i="44"/>
  <c r="M7" i="32"/>
  <c r="M118" i="32"/>
  <c r="M38" i="32"/>
  <c r="M88" i="43"/>
  <c r="M24" i="32"/>
  <c r="M108" i="32"/>
  <c r="M14" i="32"/>
  <c r="M81" i="43"/>
  <c r="M97" i="43"/>
  <c r="M61" i="32"/>
  <c r="L46" i="35"/>
  <c r="S34" i="21"/>
  <c r="T48" i="21"/>
  <c r="T23" i="21"/>
  <c r="R23" i="21"/>
  <c r="S23" i="21"/>
  <c r="R21" i="21"/>
  <c r="S21" i="21"/>
  <c r="T21" i="21"/>
  <c r="E26" i="21"/>
  <c r="S24" i="21"/>
  <c r="T24" i="21"/>
  <c r="R24" i="21"/>
  <c r="S55" i="21"/>
  <c r="AD234" i="27"/>
  <c r="AF217" i="27"/>
  <c r="T83" i="21"/>
  <c r="E25" i="21"/>
  <c r="T22" i="21"/>
  <c r="R22" i="21"/>
  <c r="S22" i="21"/>
  <c r="AD160" i="27"/>
  <c r="BZ31" i="29"/>
  <c r="BZ28" i="29"/>
  <c r="CA32" i="29"/>
  <c r="BZ27" i="29"/>
  <c r="CA28" i="29"/>
  <c r="BZ26" i="29"/>
  <c r="AC47" i="35"/>
  <c r="AE47" i="35" s="1"/>
  <c r="AC49" i="35"/>
  <c r="AE49" i="35" s="1"/>
  <c r="AC52" i="35"/>
  <c r="AE52" i="35" s="1"/>
  <c r="AC46" i="35"/>
  <c r="AE46" i="35" s="1"/>
  <c r="AC48" i="35"/>
  <c r="AE48" i="35" s="1"/>
  <c r="AC50" i="35"/>
  <c r="AE50" i="35" s="1"/>
  <c r="BY30" i="29" s="1"/>
  <c r="AC45" i="35"/>
  <c r="AE45" i="35" s="1"/>
  <c r="AC51" i="35"/>
  <c r="AE51" i="35" s="1"/>
  <c r="AC53" i="35"/>
  <c r="AE53" i="35" s="1"/>
  <c r="M159" i="27"/>
  <c r="AC9" i="39"/>
  <c r="AC63" i="39"/>
  <c r="AC28" i="39"/>
  <c r="AC41" i="39"/>
  <c r="M80" i="39"/>
  <c r="M39" i="39"/>
  <c r="M26" i="39"/>
  <c r="AC12" i="43"/>
  <c r="AC109" i="32"/>
  <c r="AC90" i="32"/>
  <c r="AE90" i="32" s="1"/>
  <c r="AC92" i="32"/>
  <c r="AE92" i="32" s="1"/>
  <c r="AC93" i="32"/>
  <c r="AE93" i="32" s="1"/>
  <c r="AC91" i="32"/>
  <c r="AE91" i="32" s="1"/>
  <c r="AC94" i="32"/>
  <c r="AE94" i="32" s="1"/>
  <c r="AC79" i="32"/>
  <c r="AE79" i="32" s="1"/>
  <c r="AC82" i="32"/>
  <c r="AE82" i="32" s="1"/>
  <c r="AC83" i="32"/>
  <c r="AE83" i="32" s="1"/>
  <c r="AC86" i="32"/>
  <c r="AE86" i="32" s="1"/>
  <c r="AC81" i="32"/>
  <c r="AE81" i="32" s="1"/>
  <c r="AC85" i="32"/>
  <c r="AE85" i="32" s="1"/>
  <c r="AC84" i="32"/>
  <c r="AE84" i="32" s="1"/>
  <c r="AC80" i="32"/>
  <c r="AE80" i="32" s="1"/>
  <c r="AC65" i="32"/>
  <c r="AE65" i="32" s="1"/>
  <c r="AC68" i="32"/>
  <c r="AE68" i="32" s="1"/>
  <c r="AE67" i="32"/>
  <c r="AC66" i="32"/>
  <c r="AE66" i="32" s="1"/>
  <c r="AC58" i="32"/>
  <c r="AE58" i="32" s="1"/>
  <c r="AC59" i="32"/>
  <c r="AE59" i="32" s="1"/>
  <c r="AC61" i="32"/>
  <c r="AE61" i="32" s="1"/>
  <c r="AC60" i="32"/>
  <c r="AE60" i="32" s="1"/>
  <c r="AC46" i="32"/>
  <c r="AE46" i="32" s="1"/>
  <c r="AC48" i="32"/>
  <c r="AE48" i="32" s="1"/>
  <c r="AC50" i="32"/>
  <c r="AE50" i="32" s="1"/>
  <c r="AC47" i="32"/>
  <c r="AE47" i="32" s="1"/>
  <c r="AC49" i="32"/>
  <c r="AE49" i="32" s="1"/>
  <c r="AC32" i="32"/>
  <c r="AE32" i="32" s="1"/>
  <c r="AC42" i="32"/>
  <c r="AE42" i="32" s="1"/>
  <c r="AC41" i="32"/>
  <c r="AE41" i="32" s="1"/>
  <c r="AC36" i="32"/>
  <c r="AE36" i="32" s="1"/>
  <c r="AC39" i="32"/>
  <c r="AE39" i="32" s="1"/>
  <c r="AC40" i="32"/>
  <c r="AE40" i="32" s="1"/>
  <c r="AC35" i="32"/>
  <c r="AE35" i="32" s="1"/>
  <c r="AC37" i="32"/>
  <c r="AE37" i="32" s="1"/>
  <c r="AC33" i="32"/>
  <c r="AC34" i="32"/>
  <c r="AC38" i="32"/>
  <c r="AE38" i="32" s="1"/>
  <c r="AC18" i="32"/>
  <c r="AC28" i="32"/>
  <c r="AE28" i="32" s="1"/>
  <c r="AC27" i="32"/>
  <c r="AE27" i="32" s="1"/>
  <c r="AC22" i="32"/>
  <c r="AE22" i="32" s="1"/>
  <c r="AC25" i="32"/>
  <c r="AE25" i="32" s="1"/>
  <c r="AC23" i="32"/>
  <c r="AE23" i="32" s="1"/>
  <c r="AC26" i="32"/>
  <c r="AE26" i="32" s="1"/>
  <c r="AC21" i="32"/>
  <c r="AE21" i="32" s="1"/>
  <c r="AC24" i="32"/>
  <c r="AE24" i="32" s="1"/>
  <c r="AC20" i="32"/>
  <c r="AC19" i="32"/>
  <c r="AC12" i="32"/>
  <c r="AC13" i="32"/>
  <c r="AC14" i="32"/>
  <c r="AE14" i="32" s="1"/>
  <c r="AC15" i="32"/>
  <c r="AC5" i="32"/>
  <c r="AC8" i="32"/>
  <c r="AE8" i="32" s="1"/>
  <c r="AC7" i="32"/>
  <c r="AE7" i="32" s="1"/>
  <c r="AC6" i="32"/>
  <c r="AE6" i="32" s="1"/>
  <c r="M86" i="32"/>
  <c r="M40" i="32"/>
  <c r="M26" i="32"/>
  <c r="AC7" i="43"/>
  <c r="AC24" i="43"/>
  <c r="AE21" i="43"/>
  <c r="AC82" i="43"/>
  <c r="AC59" i="43"/>
  <c r="AC74" i="43"/>
  <c r="AC52" i="43"/>
  <c r="AC46" i="43"/>
  <c r="AC41" i="43"/>
  <c r="AC30" i="43"/>
  <c r="AC18" i="43"/>
  <c r="AF12" i="10"/>
  <c r="M6" i="10"/>
  <c r="O6" i="10"/>
  <c r="O12" i="10" s="1"/>
  <c r="AE32" i="37"/>
  <c r="L52" i="35"/>
  <c r="K50" i="43"/>
  <c r="K92" i="39"/>
  <c r="K102" i="39"/>
  <c r="K59" i="32"/>
  <c r="K18" i="39"/>
  <c r="K45" i="39"/>
  <c r="K54" i="39"/>
  <c r="K21" i="40"/>
  <c r="K8" i="10"/>
  <c r="K73" i="43"/>
  <c r="K79" i="40"/>
  <c r="L61" i="25"/>
  <c r="K23" i="40"/>
  <c r="K35" i="32"/>
  <c r="K34" i="32"/>
  <c r="K39" i="43"/>
  <c r="K6" i="40"/>
  <c r="K55" i="43"/>
  <c r="K12" i="39"/>
  <c r="K15" i="43"/>
  <c r="K28" i="43"/>
  <c r="K13" i="32"/>
  <c r="K69" i="43"/>
  <c r="K74" i="32"/>
  <c r="K77" i="43"/>
  <c r="K29" i="40"/>
  <c r="K8" i="37"/>
  <c r="L8" i="37" s="1"/>
  <c r="M8" i="37" s="1"/>
  <c r="K44" i="43"/>
  <c r="K72" i="43"/>
  <c r="K95" i="43"/>
  <c r="K80" i="43"/>
  <c r="K63" i="43"/>
  <c r="K83" i="32"/>
  <c r="K33" i="39"/>
  <c r="K112" i="32"/>
  <c r="K94" i="43"/>
  <c r="K85" i="32"/>
  <c r="K15" i="40"/>
  <c r="K23" i="32"/>
  <c r="K40" i="43"/>
  <c r="K68" i="40"/>
  <c r="K117" i="32"/>
  <c r="K33" i="40"/>
  <c r="K33" i="43"/>
  <c r="K39" i="40"/>
  <c r="L52" i="25"/>
  <c r="K86" i="43"/>
  <c r="K70" i="40"/>
  <c r="K93" i="40"/>
  <c r="K92" i="40"/>
  <c r="K47" i="32"/>
  <c r="K75" i="32"/>
  <c r="K26" i="32"/>
  <c r="K9" i="10"/>
  <c r="K107" i="32"/>
  <c r="K50" i="40"/>
  <c r="K66" i="32"/>
  <c r="K54" i="40"/>
  <c r="K90" i="40"/>
  <c r="L64" i="25"/>
  <c r="K6" i="43"/>
  <c r="K84" i="40"/>
  <c r="K60" i="39"/>
  <c r="K349" i="44"/>
  <c r="K49" i="43"/>
  <c r="K55" i="40"/>
  <c r="K26" i="39"/>
  <c r="K87" i="39"/>
  <c r="K97" i="39"/>
  <c r="K11" i="40"/>
  <c r="K73" i="32"/>
  <c r="K92" i="32"/>
  <c r="K11" i="43"/>
  <c r="K79" i="32"/>
  <c r="K17" i="43"/>
  <c r="K7" i="37"/>
  <c r="L7" i="37" s="1"/>
  <c r="M7" i="37" s="1"/>
  <c r="J28" i="37" s="1"/>
  <c r="K28" i="37" s="1"/>
  <c r="K21" i="43"/>
  <c r="L53" i="25"/>
  <c r="K71" i="43"/>
  <c r="K36" i="39"/>
  <c r="K83" i="40"/>
  <c r="K58" i="43"/>
  <c r="K51" i="43"/>
  <c r="K67" i="39"/>
  <c r="K6" i="32"/>
  <c r="K104" i="32"/>
  <c r="K39" i="39"/>
  <c r="K29" i="43"/>
  <c r="K85" i="43"/>
  <c r="K106" i="32"/>
  <c r="K68" i="39"/>
  <c r="K98" i="32"/>
  <c r="K75" i="39"/>
  <c r="L62" i="25"/>
  <c r="K20" i="39"/>
  <c r="K17" i="40"/>
  <c r="K23" i="43"/>
  <c r="K94" i="32"/>
  <c r="K21" i="32"/>
  <c r="K71" i="40"/>
  <c r="K73" i="39"/>
  <c r="K80" i="39"/>
  <c r="K90" i="32"/>
  <c r="K84" i="32"/>
  <c r="K61" i="40"/>
  <c r="K57" i="40"/>
  <c r="K37" i="43"/>
  <c r="K62" i="43"/>
  <c r="K56" i="43"/>
  <c r="K49" i="40"/>
  <c r="K37" i="40"/>
  <c r="K62" i="40"/>
  <c r="K69" i="39"/>
  <c r="K32" i="32"/>
  <c r="K77" i="39"/>
  <c r="K37" i="32"/>
  <c r="K13" i="39"/>
  <c r="K45" i="40"/>
  <c r="K60" i="32"/>
  <c r="K21" i="39"/>
  <c r="K79" i="39"/>
  <c r="K88" i="39"/>
  <c r="K65" i="32"/>
  <c r="K44" i="39"/>
  <c r="K44" i="40"/>
  <c r="L10" i="37"/>
  <c r="M10" i="37" s="1"/>
  <c r="K11" i="37"/>
  <c r="L11" i="37" s="1"/>
  <c r="M11" i="37" s="1"/>
  <c r="K10" i="43"/>
  <c r="K12" i="32"/>
  <c r="K45" i="43"/>
  <c r="K27" i="40"/>
  <c r="K27" i="43"/>
  <c r="K78" i="39"/>
  <c r="K78" i="40"/>
  <c r="K6" i="39"/>
  <c r="K84" i="39"/>
  <c r="K81" i="32"/>
  <c r="K10" i="40"/>
  <c r="K34" i="39"/>
  <c r="K20" i="32"/>
  <c r="K86" i="39"/>
  <c r="K40" i="32"/>
  <c r="K5" i="39"/>
  <c r="L55" i="25"/>
  <c r="K18" i="32"/>
  <c r="K23" i="39"/>
  <c r="K76" i="39"/>
  <c r="K46" i="32"/>
  <c r="K86" i="32"/>
  <c r="K72" i="40"/>
  <c r="K79" i="43"/>
  <c r="K82" i="32"/>
  <c r="K28" i="40"/>
  <c r="K40" i="40"/>
  <c r="K31" i="39"/>
  <c r="K59" i="39"/>
  <c r="K93" i="32"/>
  <c r="K53" i="39"/>
  <c r="K92" i="43"/>
  <c r="K56" i="40"/>
  <c r="K76" i="40"/>
  <c r="AC104" i="39"/>
  <c r="R48" i="21"/>
  <c r="AC119" i="32"/>
  <c r="T125" i="21"/>
  <c r="R34" i="21"/>
  <c r="AC94" i="39"/>
  <c r="K22" i="40"/>
  <c r="K77" i="40"/>
  <c r="K74" i="39"/>
  <c r="K19" i="39"/>
  <c r="K66" i="39"/>
  <c r="K69" i="40"/>
  <c r="K85" i="39"/>
  <c r="K5" i="40"/>
  <c r="K16" i="40"/>
  <c r="K91" i="40"/>
  <c r="K32" i="39"/>
  <c r="L60" i="25"/>
  <c r="K38" i="40"/>
  <c r="K52" i="39"/>
  <c r="K22" i="43"/>
  <c r="K5" i="43"/>
  <c r="K16" i="43"/>
  <c r="K105" i="32"/>
  <c r="K72" i="32"/>
  <c r="K93" i="43"/>
  <c r="K38" i="43"/>
  <c r="K78" i="43"/>
  <c r="K70" i="43"/>
  <c r="K33" i="32"/>
  <c r="K7" i="10"/>
  <c r="K19" i="32"/>
  <c r="K58" i="32"/>
  <c r="K80" i="32"/>
  <c r="K91" i="32"/>
  <c r="R55" i="21"/>
  <c r="S48" i="21"/>
  <c r="T69" i="21"/>
  <c r="R83" i="21"/>
  <c r="R125" i="21"/>
  <c r="R69" i="21"/>
  <c r="AE52" i="39"/>
  <c r="AC56" i="39"/>
  <c r="AG347" i="44"/>
  <c r="AE350" i="44"/>
  <c r="AE12" i="39"/>
  <c r="AC15" i="39"/>
  <c r="S125" i="21"/>
  <c r="AC101" i="32"/>
  <c r="AE98" i="32"/>
  <c r="K37" i="39"/>
  <c r="K93" i="39"/>
  <c r="K47" i="39"/>
  <c r="K86" i="40"/>
  <c r="K14" i="39"/>
  <c r="K55" i="39"/>
  <c r="K61" i="39"/>
  <c r="K103" i="39"/>
  <c r="K7" i="39"/>
  <c r="K95" i="40"/>
  <c r="K64" i="40"/>
  <c r="K24" i="39"/>
  <c r="K348" i="44"/>
  <c r="K81" i="43"/>
  <c r="K88" i="43"/>
  <c r="K49" i="32"/>
  <c r="K7" i="32"/>
  <c r="K61" i="32"/>
  <c r="K97" i="43"/>
  <c r="K65" i="43"/>
  <c r="K14" i="32"/>
  <c r="K24" i="32"/>
  <c r="K118" i="32"/>
  <c r="K67" i="32"/>
  <c r="K108" i="32"/>
  <c r="K38" i="32"/>
  <c r="K99" i="32"/>
  <c r="R76" i="21"/>
  <c r="S20" i="21"/>
  <c r="T76" i="21"/>
  <c r="T55" i="21"/>
  <c r="R20" i="21"/>
  <c r="S76" i="21"/>
  <c r="T20" i="21"/>
  <c r="T34" i="21"/>
  <c r="S69" i="21"/>
  <c r="S83" i="21"/>
  <c r="AC55" i="32"/>
  <c r="AF49" i="14"/>
  <c r="S26" i="21"/>
  <c r="R26" i="21"/>
  <c r="T26" i="21"/>
  <c r="R25" i="21"/>
  <c r="S25" i="21"/>
  <c r="T25" i="21"/>
  <c r="DE34" i="29"/>
  <c r="L105" i="32"/>
  <c r="L70" i="43"/>
  <c r="DC52" i="29"/>
  <c r="M51" i="25"/>
  <c r="D55" i="29"/>
  <c r="CZ36" i="29"/>
  <c r="DF28" i="29"/>
  <c r="DA39" i="29"/>
  <c r="CX55" i="29"/>
  <c r="CY41" i="29"/>
  <c r="DA35" i="29"/>
  <c r="L19" i="39"/>
  <c r="DA55" i="29"/>
  <c r="DD39" i="29"/>
  <c r="D34" i="29"/>
  <c r="CY34" i="29"/>
  <c r="CZ26" i="29"/>
  <c r="L72" i="32"/>
  <c r="CY36" i="29"/>
  <c r="CZ41" i="29"/>
  <c r="L16" i="40"/>
  <c r="D58" i="29"/>
  <c r="D53" i="29"/>
  <c r="L91" i="32"/>
  <c r="F28" i="29"/>
  <c r="L16" i="43"/>
  <c r="L5" i="43"/>
  <c r="L145" i="27"/>
  <c r="CK27" i="29"/>
  <c r="CZ34" i="29"/>
  <c r="L22" i="43"/>
  <c r="L91" i="40"/>
  <c r="L85" i="39"/>
  <c r="DD34" i="29"/>
  <c r="CY39" i="29"/>
  <c r="DF27" i="29"/>
  <c r="D51" i="29"/>
  <c r="D57" i="29"/>
  <c r="CY26" i="29"/>
  <c r="CX36" i="29"/>
  <c r="DG31" i="29"/>
  <c r="D33" i="29"/>
  <c r="DF31" i="29"/>
  <c r="D36" i="29"/>
  <c r="L93" i="43"/>
  <c r="H6" i="37"/>
  <c r="L27" i="37"/>
  <c r="L38" i="43"/>
  <c r="DE31" i="29"/>
  <c r="K48" i="35"/>
  <c r="L33" i="32"/>
  <c r="DD36" i="29"/>
  <c r="DC34" i="29"/>
  <c r="L38" i="40"/>
  <c r="DF34" i="29"/>
  <c r="DG34" i="29"/>
  <c r="CZ39" i="29"/>
  <c r="L7" i="10"/>
  <c r="DF32" i="29"/>
  <c r="DD31" i="29"/>
  <c r="CZ37" i="29"/>
  <c r="DG28" i="29"/>
  <c r="CY32" i="29"/>
  <c r="CZ27" i="29"/>
  <c r="E28" i="29"/>
  <c r="CY35" i="29"/>
  <c r="L74" i="39"/>
  <c r="L219" i="27"/>
  <c r="L80" i="32"/>
  <c r="CW36" i="29"/>
  <c r="DH34" i="29"/>
  <c r="L66" i="39"/>
  <c r="L32" i="39"/>
  <c r="L52" i="39"/>
  <c r="L69" i="40"/>
  <c r="D60" i="29"/>
  <c r="L77" i="40"/>
  <c r="CZ32" i="29"/>
  <c r="L78" i="43"/>
  <c r="DC31" i="29"/>
  <c r="DA31" i="29"/>
  <c r="CY37" i="29"/>
  <c r="L5" i="40"/>
  <c r="DA36" i="29"/>
  <c r="DF41" i="29"/>
  <c r="CW31" i="29"/>
  <c r="DG27" i="29"/>
  <c r="L22" i="40"/>
  <c r="L19" i="32"/>
  <c r="E52" i="29"/>
  <c r="M60" i="25"/>
  <c r="D32" i="29"/>
  <c r="DC28" i="29"/>
  <c r="CZ35" i="29"/>
  <c r="F52" i="29"/>
  <c r="CW35" i="29"/>
  <c r="L58" i="32"/>
  <c r="DC36" i="29"/>
  <c r="J29" i="37" l="1"/>
  <c r="K29" i="37" s="1"/>
  <c r="K6" i="37"/>
  <c r="AB35" i="23"/>
  <c r="AB38" i="23"/>
  <c r="AB33" i="23"/>
  <c r="AB34" i="23"/>
  <c r="AB31" i="23"/>
  <c r="AB32" i="23"/>
  <c r="AA38" i="23"/>
  <c r="AB30" i="23"/>
  <c r="AA34" i="23"/>
  <c r="AA35" i="23"/>
  <c r="AA32" i="23"/>
  <c r="AA33" i="23"/>
  <c r="AA30" i="23"/>
  <c r="AA31" i="23"/>
  <c r="EE86" i="29"/>
  <c r="ED86" i="29"/>
  <c r="Z30" i="23"/>
  <c r="EC64" i="29"/>
  <c r="BS256" i="29" s="1"/>
  <c r="CA256" i="29"/>
  <c r="BS252" i="29"/>
  <c r="EC86" i="29"/>
  <c r="BS217" i="29" s="1"/>
  <c r="CA191" i="29"/>
  <c r="CE187" i="29"/>
  <c r="CA139" i="29"/>
  <c r="CC129" i="29"/>
  <c r="CD130" i="29"/>
  <c r="CC128" i="29"/>
  <c r="CC126" i="29"/>
  <c r="CA127" i="29"/>
  <c r="BY130" i="29"/>
  <c r="CC124" i="29"/>
  <c r="CD128" i="29"/>
  <c r="CB127" i="29"/>
  <c r="BS125" i="29"/>
  <c r="E191" i="29"/>
  <c r="E163" i="29"/>
  <c r="E137" i="29"/>
  <c r="E136" i="29"/>
  <c r="E140" i="29"/>
  <c r="E142" i="29"/>
  <c r="E187" i="29"/>
  <c r="E157" i="29"/>
  <c r="E125" i="29"/>
  <c r="E130" i="29"/>
  <c r="M46" i="40"/>
  <c r="N47" i="40" s="1"/>
  <c r="EC65" i="29"/>
  <c r="BS284" i="29" s="1"/>
  <c r="EC63" i="29"/>
  <c r="BS255" i="29" s="1"/>
  <c r="EC57" i="29"/>
  <c r="EC59" i="29"/>
  <c r="BS162" i="29" s="1"/>
  <c r="EC53" i="29"/>
  <c r="BS142" i="29" s="1"/>
  <c r="ED64" i="29"/>
  <c r="ED65" i="29"/>
  <c r="EE57" i="29"/>
  <c r="ED53" i="29"/>
  <c r="ED57" i="29"/>
  <c r="EE53" i="29"/>
  <c r="EE59" i="29"/>
  <c r="EE64" i="29"/>
  <c r="BT50" i="29"/>
  <c r="EC50" i="29" s="1"/>
  <c r="BT54" i="29"/>
  <c r="CA138" i="29" s="1"/>
  <c r="ED63" i="29"/>
  <c r="CG39" i="29"/>
  <c r="EE65" i="29"/>
  <c r="ED59" i="29"/>
  <c r="EE63" i="29"/>
  <c r="AC76" i="32"/>
  <c r="CF52" i="29"/>
  <c r="BZ139" i="29" s="1"/>
  <c r="CF55" i="29"/>
  <c r="BZ137" i="29" s="1"/>
  <c r="CF41" i="29"/>
  <c r="CF35" i="29"/>
  <c r="BZ156" i="29" s="1"/>
  <c r="CF39" i="29"/>
  <c r="CF32" i="29"/>
  <c r="CF37" i="29"/>
  <c r="CF36" i="29"/>
  <c r="CF26" i="29"/>
  <c r="K63" i="39"/>
  <c r="EG40" i="29"/>
  <c r="EI40" i="29" s="1"/>
  <c r="CE252" i="29" s="1"/>
  <c r="EG33" i="29"/>
  <c r="EF33" i="29"/>
  <c r="M9" i="39"/>
  <c r="N10" i="39" s="1"/>
  <c r="M350" i="44"/>
  <c r="N351" i="44" s="1"/>
  <c r="Z58" i="40"/>
  <c r="AA59" i="40" s="1"/>
  <c r="M12" i="40"/>
  <c r="N13" i="40" s="1"/>
  <c r="M69" i="32"/>
  <c r="N70" i="32" s="1"/>
  <c r="M104" i="39"/>
  <c r="N105" i="39" s="1"/>
  <c r="M16" i="40"/>
  <c r="M18" i="40" s="1"/>
  <c r="N19" i="40" s="1"/>
  <c r="M32" i="39"/>
  <c r="M41" i="39" s="1"/>
  <c r="N42" i="39" s="1"/>
  <c r="M38" i="40"/>
  <c r="M41" i="40" s="1"/>
  <c r="N42" i="40" s="1"/>
  <c r="M74" i="39"/>
  <c r="M81" i="39" s="1"/>
  <c r="N82" i="39" s="1"/>
  <c r="N60" i="25"/>
  <c r="N65" i="25" s="1"/>
  <c r="O66" i="25" s="1"/>
  <c r="M19" i="39"/>
  <c r="M28" i="39" s="1"/>
  <c r="N29" i="39" s="1"/>
  <c r="M85" i="39"/>
  <c r="M89" i="39" s="1"/>
  <c r="N90" i="39" s="1"/>
  <c r="M66" i="39"/>
  <c r="M70" i="39" s="1"/>
  <c r="N71" i="39" s="1"/>
  <c r="M5" i="40"/>
  <c r="M7" i="40" s="1"/>
  <c r="N8" i="40" s="1"/>
  <c r="M22" i="40"/>
  <c r="M24" i="40" s="1"/>
  <c r="N25" i="40" s="1"/>
  <c r="M219" i="27"/>
  <c r="M234" i="27" s="1"/>
  <c r="N235" i="27" s="1"/>
  <c r="M77" i="40"/>
  <c r="M80" i="40" s="1"/>
  <c r="N81" i="40" s="1"/>
  <c r="M52" i="39"/>
  <c r="M56" i="39" s="1"/>
  <c r="N57" i="39" s="1"/>
  <c r="M69" i="40"/>
  <c r="M73" i="40" s="1"/>
  <c r="N74" i="40" s="1"/>
  <c r="M91" i="40"/>
  <c r="M96" i="40" s="1"/>
  <c r="N97" i="40" s="1"/>
  <c r="L6" i="37"/>
  <c r="M5" i="43"/>
  <c r="M7" i="43" s="1"/>
  <c r="N8" i="43" s="1"/>
  <c r="M93" i="43"/>
  <c r="M98" i="43" s="1"/>
  <c r="N99" i="43" s="1"/>
  <c r="M145" i="27"/>
  <c r="M160" i="27" s="1"/>
  <c r="N161" i="27" s="1"/>
  <c r="P143" i="27" s="1"/>
  <c r="R143" i="27" s="1"/>
  <c r="H26" i="29" s="1"/>
  <c r="M72" i="32"/>
  <c r="M76" i="32" s="1"/>
  <c r="N77" i="32" s="1"/>
  <c r="M7" i="10"/>
  <c r="M12" i="10" s="1"/>
  <c r="N13" i="10" s="1"/>
  <c r="M19" i="32"/>
  <c r="M29" i="32" s="1"/>
  <c r="N30" i="32" s="1"/>
  <c r="M91" i="32"/>
  <c r="M95" i="32" s="1"/>
  <c r="M105" i="32"/>
  <c r="M109" i="32" s="1"/>
  <c r="N110" i="32" s="1"/>
  <c r="M22" i="43"/>
  <c r="M24" i="43" s="1"/>
  <c r="N25" i="43" s="1"/>
  <c r="M33" i="32"/>
  <c r="M43" i="32" s="1"/>
  <c r="M78" i="43"/>
  <c r="M82" i="43" s="1"/>
  <c r="N83" i="43" s="1"/>
  <c r="N51" i="25"/>
  <c r="N56" i="25" s="1"/>
  <c r="O57" i="25" s="1"/>
  <c r="M80" i="32"/>
  <c r="M87" i="32" s="1"/>
  <c r="L48" i="35"/>
  <c r="L54" i="35" s="1"/>
  <c r="M56" i="35" s="1"/>
  <c r="M58" i="32"/>
  <c r="M62" i="32" s="1"/>
  <c r="N63" i="32" s="1"/>
  <c r="M70" i="43"/>
  <c r="M74" i="43" s="1"/>
  <c r="N75" i="43" s="1"/>
  <c r="M16" i="43"/>
  <c r="M18" i="43" s="1"/>
  <c r="N19" i="43" s="1"/>
  <c r="M38" i="43"/>
  <c r="M41" i="43" s="1"/>
  <c r="N42" i="43" s="1"/>
  <c r="M27" i="37"/>
  <c r="M32" i="37" s="1"/>
  <c r="N33" i="37" s="1"/>
  <c r="EF40" i="29"/>
  <c r="EH40" i="29" s="1"/>
  <c r="CD252" i="29" s="1"/>
  <c r="M58" i="40"/>
  <c r="N59" i="40" s="1"/>
  <c r="M30" i="43"/>
  <c r="N31" i="43" s="1"/>
  <c r="M65" i="40"/>
  <c r="N66" i="40" s="1"/>
  <c r="P21" i="47"/>
  <c r="R21" i="47" s="1"/>
  <c r="Q38" i="29" s="1"/>
  <c r="M51" i="32"/>
  <c r="M30" i="40"/>
  <c r="N31" i="40" s="1"/>
  <c r="M49" i="39"/>
  <c r="N50" i="39" s="1"/>
  <c r="P47" i="14"/>
  <c r="R47" i="14" s="1"/>
  <c r="R37" i="29" s="1"/>
  <c r="P48" i="14"/>
  <c r="R48" i="14" s="1"/>
  <c r="R38" i="29" s="1"/>
  <c r="P46" i="14"/>
  <c r="M66" i="43"/>
  <c r="N67" i="43" s="1"/>
  <c r="M89" i="43"/>
  <c r="N90" i="43" s="1"/>
  <c r="M59" i="43"/>
  <c r="N60" i="43" s="1"/>
  <c r="M9" i="32"/>
  <c r="N10" i="32" s="1"/>
  <c r="M63" i="39"/>
  <c r="N64" i="39" s="1"/>
  <c r="M52" i="43"/>
  <c r="N53" i="43" s="1"/>
  <c r="M101" i="32"/>
  <c r="N102" i="32" s="1"/>
  <c r="M87" i="40"/>
  <c r="N88" i="40" s="1"/>
  <c r="M12" i="43"/>
  <c r="N13" i="43" s="1"/>
  <c r="M119" i="32"/>
  <c r="N120" i="32" s="1"/>
  <c r="M15" i="39"/>
  <c r="N16" i="39" s="1"/>
  <c r="M46" i="43"/>
  <c r="N47" i="43" s="1"/>
  <c r="M94" i="39"/>
  <c r="N95" i="39" s="1"/>
  <c r="S27" i="21"/>
  <c r="M51" i="40"/>
  <c r="N52" i="40" s="1"/>
  <c r="M15" i="32"/>
  <c r="N16" i="32" s="1"/>
  <c r="BY29" i="29"/>
  <c r="BY28" i="29"/>
  <c r="BY39" i="29"/>
  <c r="BY32" i="29"/>
  <c r="BY36" i="29"/>
  <c r="BY31" i="29"/>
  <c r="BY41" i="29"/>
  <c r="BY27" i="29"/>
  <c r="AC54" i="35"/>
  <c r="AE44" i="35"/>
  <c r="K99" i="39"/>
  <c r="P98" i="39" s="1"/>
  <c r="R98" i="39" s="1"/>
  <c r="AC95" i="32"/>
  <c r="AC87" i="32"/>
  <c r="AC69" i="32"/>
  <c r="AC51" i="32"/>
  <c r="AC62" i="32"/>
  <c r="AC9" i="32"/>
  <c r="AC29" i="32"/>
  <c r="AC43" i="32"/>
  <c r="K114" i="32"/>
  <c r="P112" i="32" s="1"/>
  <c r="O43" i="32"/>
  <c r="K34" i="40"/>
  <c r="P33" i="40" s="1"/>
  <c r="P34" i="40" s="1"/>
  <c r="K34" i="43"/>
  <c r="P33" i="43" s="1"/>
  <c r="K69" i="32"/>
  <c r="K46" i="40"/>
  <c r="K46" i="43"/>
  <c r="K51" i="40"/>
  <c r="K24" i="40"/>
  <c r="K101" i="32"/>
  <c r="K95" i="32"/>
  <c r="K74" i="43"/>
  <c r="K18" i="40"/>
  <c r="K12" i="43"/>
  <c r="K58" i="40"/>
  <c r="K30" i="43"/>
  <c r="K41" i="43"/>
  <c r="K87" i="40"/>
  <c r="K73" i="40"/>
  <c r="K89" i="39"/>
  <c r="K9" i="39"/>
  <c r="K24" i="43"/>
  <c r="K12" i="40"/>
  <c r="K52" i="43"/>
  <c r="K59" i="43"/>
  <c r="K30" i="40"/>
  <c r="K87" i="32"/>
  <c r="K9" i="32"/>
  <c r="K81" i="39"/>
  <c r="K15" i="39"/>
  <c r="K18" i="43"/>
  <c r="K41" i="40"/>
  <c r="K80" i="40"/>
  <c r="K109" i="32"/>
  <c r="K56" i="39"/>
  <c r="K41" i="39"/>
  <c r="K82" i="43"/>
  <c r="K96" i="40"/>
  <c r="K76" i="32"/>
  <c r="K7" i="40"/>
  <c r="L56" i="25"/>
  <c r="K7" i="43"/>
  <c r="L65" i="25"/>
  <c r="K70" i="39"/>
  <c r="T27" i="21"/>
  <c r="K119" i="32"/>
  <c r="K98" i="43"/>
  <c r="K89" i="43"/>
  <c r="K65" i="40"/>
  <c r="K43" i="32"/>
  <c r="K29" i="32"/>
  <c r="K62" i="32"/>
  <c r="K49" i="39"/>
  <c r="R27" i="21"/>
  <c r="K15" i="32"/>
  <c r="K350" i="44"/>
  <c r="K94" i="39"/>
  <c r="K66" i="43"/>
  <c r="K51" i="32"/>
  <c r="K28" i="39"/>
  <c r="K104" i="39"/>
  <c r="W39" i="23"/>
  <c r="D28" i="29"/>
  <c r="D52" i="29"/>
  <c r="AW50" i="29"/>
  <c r="J27" i="37" l="1"/>
  <c r="K27" i="37" s="1"/>
  <c r="M6" i="37"/>
  <c r="AD30" i="23"/>
  <c r="AC30" i="23"/>
  <c r="EE81" i="29"/>
  <c r="ED81" i="29"/>
  <c r="CA135" i="29"/>
  <c r="BS135" i="29"/>
  <c r="CB280" i="29"/>
  <c r="BZ280" i="29"/>
  <c r="EC88" i="29"/>
  <c r="BS249" i="29" s="1"/>
  <c r="EF64" i="29"/>
  <c r="EH64" i="29" s="1"/>
  <c r="CD256" i="29" s="1"/>
  <c r="BZ251" i="29"/>
  <c r="CB251" i="29"/>
  <c r="CC251" i="29"/>
  <c r="EE37" i="29"/>
  <c r="BZ219" i="29"/>
  <c r="CB187" i="29"/>
  <c r="BZ187" i="29"/>
  <c r="EC81" i="29"/>
  <c r="BS136" i="29"/>
  <c r="CB131" i="29"/>
  <c r="CB126" i="29"/>
  <c r="BZ130" i="29"/>
  <c r="CB130" i="29"/>
  <c r="CB128" i="29"/>
  <c r="CB129" i="29"/>
  <c r="BZ124" i="29"/>
  <c r="L220" i="29"/>
  <c r="M220" i="29"/>
  <c r="M219" i="29"/>
  <c r="E139" i="29"/>
  <c r="ED50" i="29"/>
  <c r="L124" i="29"/>
  <c r="P44" i="40"/>
  <c r="E128" i="29"/>
  <c r="EG64" i="29"/>
  <c r="EI64" i="29" s="1"/>
  <c r="CE256" i="29" s="1"/>
  <c r="EE88" i="29"/>
  <c r="ED88" i="29"/>
  <c r="EF57" i="29"/>
  <c r="EH57" i="29" s="1"/>
  <c r="CF136" i="29" s="1"/>
  <c r="EF53" i="29"/>
  <c r="EH53" i="29" s="1"/>
  <c r="CF142" i="29" s="1"/>
  <c r="EG53" i="29"/>
  <c r="EI53" i="29" s="1"/>
  <c r="CG142" i="29" s="1"/>
  <c r="EG57" i="29"/>
  <c r="EI57" i="29" s="1"/>
  <c r="CG136" i="29" s="1"/>
  <c r="EE50" i="29"/>
  <c r="EF63" i="29"/>
  <c r="EG59" i="29"/>
  <c r="EE35" i="29"/>
  <c r="EE39" i="29"/>
  <c r="EG65" i="29"/>
  <c r="EE41" i="29"/>
  <c r="EE32" i="29"/>
  <c r="ED29" i="29"/>
  <c r="EE29" i="29"/>
  <c r="ED32" i="29"/>
  <c r="ED39" i="29"/>
  <c r="EC35" i="29"/>
  <c r="BS156" i="29" s="1"/>
  <c r="ED35" i="29"/>
  <c r="ED41" i="29"/>
  <c r="EC37" i="29"/>
  <c r="ED37" i="29"/>
  <c r="EC39" i="29"/>
  <c r="EC32" i="29"/>
  <c r="EF65" i="29"/>
  <c r="EG63" i="29"/>
  <c r="EC41" i="29"/>
  <c r="EC29" i="29"/>
  <c r="EF59" i="29"/>
  <c r="P61" i="39"/>
  <c r="R61" i="39" s="1"/>
  <c r="P17" i="40"/>
  <c r="R17" i="40" s="1"/>
  <c r="P66" i="39"/>
  <c r="R66" i="39" s="1"/>
  <c r="P347" i="44"/>
  <c r="P72" i="32"/>
  <c r="R72" i="32" s="1"/>
  <c r="P10" i="40"/>
  <c r="P102" i="39"/>
  <c r="R102" i="39" s="1"/>
  <c r="P13" i="32"/>
  <c r="R13" i="32" s="1"/>
  <c r="P76" i="40"/>
  <c r="R76" i="40" s="1"/>
  <c r="Q60" i="25"/>
  <c r="S60" i="25" s="1"/>
  <c r="P5" i="40"/>
  <c r="P49" i="40"/>
  <c r="P81" i="43"/>
  <c r="R81" i="43" s="1"/>
  <c r="P92" i="39"/>
  <c r="R92" i="39" s="1"/>
  <c r="P6" i="43"/>
  <c r="R6" i="43" s="1"/>
  <c r="P28" i="40"/>
  <c r="R28" i="40" s="1"/>
  <c r="P85" i="40"/>
  <c r="R85" i="40" s="1"/>
  <c r="P98" i="32"/>
  <c r="R98" i="32" s="1"/>
  <c r="P66" i="32"/>
  <c r="R66" i="32" s="1"/>
  <c r="P16" i="43"/>
  <c r="R16" i="43" s="1"/>
  <c r="P45" i="43"/>
  <c r="R45" i="43" s="1"/>
  <c r="P94" i="40"/>
  <c r="R94" i="40" s="1"/>
  <c r="P21" i="43"/>
  <c r="R21" i="43" s="1"/>
  <c r="P52" i="39"/>
  <c r="R52" i="39" s="1"/>
  <c r="P69" i="40"/>
  <c r="R69" i="40" s="1"/>
  <c r="P220" i="27"/>
  <c r="R220" i="27" s="1"/>
  <c r="P222" i="27"/>
  <c r="R222" i="27" s="1"/>
  <c r="P233" i="27"/>
  <c r="R233" i="27" s="1"/>
  <c r="P218" i="27"/>
  <c r="R218" i="27" s="1"/>
  <c r="P225" i="27"/>
  <c r="R225" i="27" s="1"/>
  <c r="P219" i="27"/>
  <c r="R219" i="27" s="1"/>
  <c r="P230" i="27"/>
  <c r="R230" i="27" s="1"/>
  <c r="P231" i="27"/>
  <c r="R231" i="27" s="1"/>
  <c r="P232" i="27"/>
  <c r="R232" i="27" s="1"/>
  <c r="P217" i="27"/>
  <c r="P223" i="27"/>
  <c r="R223" i="27" s="1"/>
  <c r="P227" i="27"/>
  <c r="R227" i="27" s="1"/>
  <c r="P221" i="27"/>
  <c r="R221" i="27" s="1"/>
  <c r="P226" i="27"/>
  <c r="R226" i="27" s="1"/>
  <c r="P224" i="27"/>
  <c r="R224" i="27" s="1"/>
  <c r="P5" i="32"/>
  <c r="R5" i="32" s="1"/>
  <c r="P85" i="39"/>
  <c r="R85" i="39" s="1"/>
  <c r="P73" i="43"/>
  <c r="R73" i="43" s="1"/>
  <c r="R20" i="47"/>
  <c r="Q36" i="29" s="1"/>
  <c r="P22" i="47"/>
  <c r="P96" i="43"/>
  <c r="R96" i="43" s="1"/>
  <c r="AB96" i="43" s="1"/>
  <c r="AB98" i="43" s="1"/>
  <c r="AA99" i="43" s="1"/>
  <c r="Q54" i="25"/>
  <c r="S54" i="25" s="1"/>
  <c r="P30" i="29" s="1"/>
  <c r="P22" i="40"/>
  <c r="R22" i="40" s="1"/>
  <c r="P117" i="32"/>
  <c r="R117" i="32" s="1"/>
  <c r="P38" i="40"/>
  <c r="R38" i="40" s="1"/>
  <c r="P50" i="43"/>
  <c r="R50" i="43" s="1"/>
  <c r="P49" i="14"/>
  <c r="R46" i="14"/>
  <c r="R36" i="29" s="1"/>
  <c r="BY26" i="29"/>
  <c r="EC26" i="29" s="1"/>
  <c r="O44" i="35"/>
  <c r="O46" i="35"/>
  <c r="O48" i="35"/>
  <c r="O49" i="35"/>
  <c r="O50" i="35"/>
  <c r="Q50" i="35" s="1"/>
  <c r="M30" i="29" s="1"/>
  <c r="O52" i="35"/>
  <c r="O45" i="35"/>
  <c r="O47" i="35"/>
  <c r="Q47" i="35" s="1"/>
  <c r="O53" i="35"/>
  <c r="O51" i="35"/>
  <c r="P17" i="43"/>
  <c r="R17" i="43" s="1"/>
  <c r="P15" i="43"/>
  <c r="R15" i="43" s="1"/>
  <c r="P158" i="27"/>
  <c r="R158" i="27" s="1"/>
  <c r="H40" i="29" s="1"/>
  <c r="P151" i="27"/>
  <c r="R151" i="27" s="1"/>
  <c r="H32" i="29" s="1"/>
  <c r="P147" i="27"/>
  <c r="R147" i="27" s="1"/>
  <c r="P149" i="27"/>
  <c r="R149" i="27" s="1"/>
  <c r="H34" i="29" s="1"/>
  <c r="P150" i="27"/>
  <c r="R150" i="27" s="1"/>
  <c r="H35" i="29" s="1"/>
  <c r="P152" i="27"/>
  <c r="R152" i="27" s="1"/>
  <c r="H33" i="29" s="1"/>
  <c r="P145" i="27"/>
  <c r="R145" i="27" s="1"/>
  <c r="H28" i="29" s="1"/>
  <c r="P153" i="27"/>
  <c r="R153" i="27" s="1"/>
  <c r="H36" i="29" s="1"/>
  <c r="P157" i="27"/>
  <c r="R157" i="27" s="1"/>
  <c r="H39" i="29" s="1"/>
  <c r="P159" i="27"/>
  <c r="R159" i="27" s="1"/>
  <c r="H41" i="29" s="1"/>
  <c r="P154" i="27"/>
  <c r="R154" i="27" s="1"/>
  <c r="H37" i="29" s="1"/>
  <c r="P148" i="27"/>
  <c r="R148" i="27" s="1"/>
  <c r="H31" i="29" s="1"/>
  <c r="P146" i="27"/>
  <c r="R146" i="27" s="1"/>
  <c r="H29" i="29" s="1"/>
  <c r="P144" i="27"/>
  <c r="R144" i="27" s="1"/>
  <c r="H27" i="29" s="1"/>
  <c r="P155" i="27"/>
  <c r="R155" i="27" s="1"/>
  <c r="H38" i="29" s="1"/>
  <c r="P156" i="27"/>
  <c r="R156" i="27" s="1"/>
  <c r="P24" i="39"/>
  <c r="R24" i="39" s="1"/>
  <c r="P97" i="39"/>
  <c r="R97" i="39" s="1"/>
  <c r="P103" i="39"/>
  <c r="R103" i="39" s="1"/>
  <c r="P93" i="39"/>
  <c r="R93" i="39" s="1"/>
  <c r="P88" i="39"/>
  <c r="R88" i="39" s="1"/>
  <c r="P86" i="39"/>
  <c r="R86" i="39" s="1"/>
  <c r="P87" i="39"/>
  <c r="R87" i="39" s="1"/>
  <c r="P84" i="39"/>
  <c r="R84" i="39" s="1"/>
  <c r="P73" i="39"/>
  <c r="R73" i="39" s="1"/>
  <c r="P75" i="39"/>
  <c r="R75" i="39" s="1"/>
  <c r="P77" i="39"/>
  <c r="R77" i="39" s="1"/>
  <c r="P80" i="39"/>
  <c r="R80" i="39" s="1"/>
  <c r="P76" i="39"/>
  <c r="R76" i="39" s="1"/>
  <c r="P78" i="39"/>
  <c r="R78" i="39" s="1"/>
  <c r="P79" i="39"/>
  <c r="R79" i="39" s="1"/>
  <c r="P74" i="39"/>
  <c r="R74" i="39" s="1"/>
  <c r="P68" i="39"/>
  <c r="R68" i="39" s="1"/>
  <c r="P67" i="39"/>
  <c r="R67" i="39" s="1"/>
  <c r="P69" i="39"/>
  <c r="R69" i="39" s="1"/>
  <c r="P62" i="39"/>
  <c r="R62" i="39" s="1"/>
  <c r="P60" i="39"/>
  <c r="R60" i="39" s="1"/>
  <c r="P59" i="39"/>
  <c r="R59" i="39" s="1"/>
  <c r="P54" i="39"/>
  <c r="R54" i="39" s="1"/>
  <c r="P53" i="39"/>
  <c r="R53" i="39" s="1"/>
  <c r="P55" i="39"/>
  <c r="R55" i="39" s="1"/>
  <c r="P46" i="39"/>
  <c r="R46" i="39" s="1"/>
  <c r="P48" i="39"/>
  <c r="R48" i="39" s="1"/>
  <c r="P47" i="39"/>
  <c r="R47" i="39" s="1"/>
  <c r="P45" i="39"/>
  <c r="R45" i="39" s="1"/>
  <c r="P44" i="39"/>
  <c r="P31" i="39"/>
  <c r="R31" i="39" s="1"/>
  <c r="P40" i="39"/>
  <c r="R40" i="39" s="1"/>
  <c r="P35" i="39"/>
  <c r="R35" i="39" s="1"/>
  <c r="P38" i="39"/>
  <c r="R38" i="39" s="1"/>
  <c r="P33" i="39"/>
  <c r="R33" i="39" s="1"/>
  <c r="P32" i="39"/>
  <c r="R32" i="39" s="1"/>
  <c r="P37" i="39"/>
  <c r="R37" i="39" s="1"/>
  <c r="P39" i="39"/>
  <c r="R39" i="39" s="1"/>
  <c r="P36" i="39"/>
  <c r="R36" i="39" s="1"/>
  <c r="P34" i="39"/>
  <c r="R34" i="39" s="1"/>
  <c r="P26" i="39"/>
  <c r="R26" i="39" s="1"/>
  <c r="P20" i="39"/>
  <c r="R20" i="39" s="1"/>
  <c r="P23" i="39"/>
  <c r="R23" i="39" s="1"/>
  <c r="P19" i="39"/>
  <c r="R19" i="39" s="1"/>
  <c r="P18" i="39"/>
  <c r="P27" i="39"/>
  <c r="R27" i="39" s="1"/>
  <c r="P22" i="39"/>
  <c r="R22" i="39" s="1"/>
  <c r="P25" i="39"/>
  <c r="R25" i="39" s="1"/>
  <c r="P21" i="39"/>
  <c r="R21" i="39" s="1"/>
  <c r="P13" i="39"/>
  <c r="R13" i="39" s="1"/>
  <c r="P14" i="39"/>
  <c r="R14" i="39" s="1"/>
  <c r="P12" i="39"/>
  <c r="R12" i="39" s="1"/>
  <c r="P6" i="39"/>
  <c r="R6" i="39" s="1"/>
  <c r="P8" i="39"/>
  <c r="R8" i="39" s="1"/>
  <c r="P7" i="39"/>
  <c r="R7" i="39" s="1"/>
  <c r="P5" i="39"/>
  <c r="R5" i="39" s="1"/>
  <c r="P118" i="32"/>
  <c r="R118" i="32" s="1"/>
  <c r="P113" i="32"/>
  <c r="R113" i="32" s="1"/>
  <c r="P107" i="32"/>
  <c r="R107" i="32" s="1"/>
  <c r="P105" i="32"/>
  <c r="R105" i="32" s="1"/>
  <c r="P108" i="32"/>
  <c r="R108" i="32" s="1"/>
  <c r="P106" i="32"/>
  <c r="R106" i="32" s="1"/>
  <c r="P104" i="32"/>
  <c r="R104" i="32" s="1"/>
  <c r="P100" i="32"/>
  <c r="R100" i="32" s="1"/>
  <c r="P99" i="32"/>
  <c r="R99" i="32" s="1"/>
  <c r="P73" i="32"/>
  <c r="R73" i="32" s="1"/>
  <c r="P75" i="32"/>
  <c r="R75" i="32" s="1"/>
  <c r="P74" i="32"/>
  <c r="R74" i="32" s="1"/>
  <c r="P23" i="32"/>
  <c r="R23" i="32" s="1"/>
  <c r="P68" i="32"/>
  <c r="R68" i="32" s="1"/>
  <c r="P67" i="32"/>
  <c r="R67" i="32" s="1"/>
  <c r="P65" i="32"/>
  <c r="R65" i="32" s="1"/>
  <c r="P61" i="32"/>
  <c r="R61" i="32" s="1"/>
  <c r="P59" i="32"/>
  <c r="R59" i="32" s="1"/>
  <c r="P60" i="32"/>
  <c r="R60" i="32" s="1"/>
  <c r="P58" i="32"/>
  <c r="P21" i="32"/>
  <c r="R21" i="32" s="1"/>
  <c r="P26" i="32"/>
  <c r="R26" i="32" s="1"/>
  <c r="P24" i="32"/>
  <c r="R24" i="32" s="1"/>
  <c r="P18" i="32"/>
  <c r="P28" i="32"/>
  <c r="R28" i="32" s="1"/>
  <c r="P27" i="32"/>
  <c r="R27" i="32" s="1"/>
  <c r="P22" i="32"/>
  <c r="R22" i="32" s="1"/>
  <c r="P25" i="32"/>
  <c r="R25" i="32" s="1"/>
  <c r="P20" i="32"/>
  <c r="R20" i="32" s="1"/>
  <c r="P19" i="32"/>
  <c r="R19" i="32" s="1"/>
  <c r="P14" i="32"/>
  <c r="R14" i="32" s="1"/>
  <c r="P12" i="32"/>
  <c r="P8" i="32"/>
  <c r="R8" i="32" s="1"/>
  <c r="P6" i="32"/>
  <c r="R6" i="32" s="1"/>
  <c r="P7" i="32"/>
  <c r="R7" i="32" s="1"/>
  <c r="N88" i="32"/>
  <c r="N96" i="32"/>
  <c r="N44" i="32"/>
  <c r="N52" i="32"/>
  <c r="P15" i="40"/>
  <c r="P16" i="40"/>
  <c r="R16" i="40" s="1"/>
  <c r="P50" i="40"/>
  <c r="P90" i="40"/>
  <c r="P95" i="40"/>
  <c r="R95" i="40" s="1"/>
  <c r="P91" i="40"/>
  <c r="R91" i="40" s="1"/>
  <c r="P93" i="40"/>
  <c r="R93" i="40" s="1"/>
  <c r="P92" i="40"/>
  <c r="R92" i="40" s="1"/>
  <c r="P83" i="40"/>
  <c r="R83" i="40" s="1"/>
  <c r="P84" i="40"/>
  <c r="R84" i="40" s="1"/>
  <c r="P86" i="40"/>
  <c r="R86" i="40" s="1"/>
  <c r="P78" i="40"/>
  <c r="R78" i="40" s="1"/>
  <c r="P79" i="40"/>
  <c r="R79" i="40" s="1"/>
  <c r="P77" i="40"/>
  <c r="R77" i="40" s="1"/>
  <c r="P70" i="40"/>
  <c r="R70" i="40" s="1"/>
  <c r="P68" i="40"/>
  <c r="P71" i="40"/>
  <c r="R71" i="40" s="1"/>
  <c r="P72" i="40"/>
  <c r="R72" i="40" s="1"/>
  <c r="P61" i="40"/>
  <c r="P63" i="40"/>
  <c r="R63" i="40" s="1"/>
  <c r="P62" i="40"/>
  <c r="R62" i="40" s="1"/>
  <c r="P64" i="40"/>
  <c r="R64" i="40" s="1"/>
  <c r="P57" i="40"/>
  <c r="R57" i="40" s="1"/>
  <c r="P56" i="40"/>
  <c r="R56" i="40" s="1"/>
  <c r="P55" i="40"/>
  <c r="R55" i="40" s="1"/>
  <c r="P54" i="40"/>
  <c r="P27" i="40"/>
  <c r="P29" i="40"/>
  <c r="R29" i="40" s="1"/>
  <c r="P11" i="40"/>
  <c r="P45" i="40"/>
  <c r="R45" i="40" s="1"/>
  <c r="P40" i="40"/>
  <c r="R40" i="40" s="1"/>
  <c r="P21" i="40"/>
  <c r="R21" i="40" s="1"/>
  <c r="P23" i="40"/>
  <c r="R23" i="40" s="1"/>
  <c r="P6" i="40"/>
  <c r="P39" i="40"/>
  <c r="R39" i="40" s="1"/>
  <c r="P37" i="40"/>
  <c r="R33" i="40"/>
  <c r="P57" i="43"/>
  <c r="R57" i="43" s="1"/>
  <c r="P97" i="43"/>
  <c r="R97" i="43" s="1"/>
  <c r="P95" i="43"/>
  <c r="R95" i="43" s="1"/>
  <c r="P70" i="43"/>
  <c r="R70" i="43" s="1"/>
  <c r="P71" i="43"/>
  <c r="R71" i="43" s="1"/>
  <c r="P92" i="43"/>
  <c r="P94" i="43"/>
  <c r="R94" i="43" s="1"/>
  <c r="P93" i="43"/>
  <c r="R93" i="43" s="1"/>
  <c r="P85" i="43"/>
  <c r="P87" i="43"/>
  <c r="R87" i="43" s="1"/>
  <c r="P86" i="43"/>
  <c r="R86" i="43" s="1"/>
  <c r="P88" i="43"/>
  <c r="R88" i="43" s="1"/>
  <c r="P69" i="43"/>
  <c r="R69" i="43" s="1"/>
  <c r="P72" i="43"/>
  <c r="R72" i="43" s="1"/>
  <c r="P80" i="43"/>
  <c r="R80" i="43" s="1"/>
  <c r="P79" i="43"/>
  <c r="R79" i="43" s="1"/>
  <c r="P78" i="43"/>
  <c r="R78" i="43" s="1"/>
  <c r="P77" i="43"/>
  <c r="R77" i="43" s="1"/>
  <c r="P64" i="43"/>
  <c r="R64" i="43" s="1"/>
  <c r="P65" i="43"/>
  <c r="R65" i="43" s="1"/>
  <c r="P63" i="43"/>
  <c r="R63" i="43" s="1"/>
  <c r="P62" i="43"/>
  <c r="P58" i="43"/>
  <c r="R58" i="43" s="1"/>
  <c r="P56" i="43"/>
  <c r="R56" i="43" s="1"/>
  <c r="P55" i="43"/>
  <c r="R55" i="43" s="1"/>
  <c r="P49" i="43"/>
  <c r="R49" i="43" s="1"/>
  <c r="P51" i="43"/>
  <c r="R51" i="43" s="1"/>
  <c r="P44" i="43"/>
  <c r="R44" i="43" s="1"/>
  <c r="P39" i="43"/>
  <c r="R39" i="43" s="1"/>
  <c r="P40" i="43"/>
  <c r="R40" i="43" s="1"/>
  <c r="P38" i="43"/>
  <c r="R38" i="43" s="1"/>
  <c r="P34" i="43"/>
  <c r="R33" i="43"/>
  <c r="P37" i="43"/>
  <c r="R37" i="43" s="1"/>
  <c r="P28" i="43"/>
  <c r="R28" i="43" s="1"/>
  <c r="P29" i="43"/>
  <c r="R29" i="43" s="1"/>
  <c r="P27" i="43"/>
  <c r="R27" i="43" s="1"/>
  <c r="P22" i="43"/>
  <c r="R22" i="43" s="1"/>
  <c r="P23" i="43"/>
  <c r="R23" i="43" s="1"/>
  <c r="P11" i="43"/>
  <c r="R11" i="43" s="1"/>
  <c r="P10" i="43"/>
  <c r="R10" i="43" s="1"/>
  <c r="P5" i="43"/>
  <c r="Q55" i="25"/>
  <c r="S55" i="25" s="1"/>
  <c r="P34" i="29" s="1"/>
  <c r="Q51" i="25"/>
  <c r="Q63" i="25"/>
  <c r="S63" i="25" s="1"/>
  <c r="Q61" i="25"/>
  <c r="S61" i="25" s="1"/>
  <c r="Q62" i="25"/>
  <c r="S62" i="25" s="1"/>
  <c r="Q64" i="25"/>
  <c r="S64" i="25" s="1"/>
  <c r="Q52" i="25"/>
  <c r="S52" i="25" s="1"/>
  <c r="P27" i="29" s="1"/>
  <c r="Q53" i="25"/>
  <c r="S53" i="25" s="1"/>
  <c r="P31" i="29" s="1"/>
  <c r="P349" i="44"/>
  <c r="R349" i="44" s="1"/>
  <c r="U31" i="29" s="1"/>
  <c r="P348" i="44"/>
  <c r="R348" i="44" s="1"/>
  <c r="U36" i="29" s="1"/>
  <c r="J32" i="37"/>
  <c r="EH33" i="29"/>
  <c r="EI33" i="29"/>
  <c r="R112" i="32"/>
  <c r="K32" i="37"/>
  <c r="AE13" i="32"/>
  <c r="AE20" i="32"/>
  <c r="AE19" i="32"/>
  <c r="AE34" i="32"/>
  <c r="AE33" i="32"/>
  <c r="AH58" i="29"/>
  <c r="AI60" i="29"/>
  <c r="AK60" i="29"/>
  <c r="V31" i="29"/>
  <c r="Z55" i="29"/>
  <c r="AW26" i="29"/>
  <c r="AE32" i="29"/>
  <c r="AJ58" i="29"/>
  <c r="AX31" i="29"/>
  <c r="AF36" i="29"/>
  <c r="AN51" i="29"/>
  <c r="AK35" i="29"/>
  <c r="AM41" i="29"/>
  <c r="AC58" i="29"/>
  <c r="AN60" i="29"/>
  <c r="Y27" i="29"/>
  <c r="AI36" i="29"/>
  <c r="AH55" i="29"/>
  <c r="AB28" i="29"/>
  <c r="AC34" i="29"/>
  <c r="AM58" i="29"/>
  <c r="AT52" i="29"/>
  <c r="Y31" i="29"/>
  <c r="AG28" i="29"/>
  <c r="AM32" i="29"/>
  <c r="AH27" i="29"/>
  <c r="AE56" i="29"/>
  <c r="X28" i="29"/>
  <c r="AM39" i="29"/>
  <c r="AM50" i="29"/>
  <c r="AH31" i="29"/>
  <c r="AK36" i="29"/>
  <c r="AG58" i="29"/>
  <c r="AB34" i="29"/>
  <c r="AD34" i="29"/>
  <c r="AL60" i="29"/>
  <c r="AM37" i="29"/>
  <c r="AR60" i="29"/>
  <c r="AJ60" i="29"/>
  <c r="AE34" i="29"/>
  <c r="AG52" i="29"/>
  <c r="AM52" i="29"/>
  <c r="AM34" i="29"/>
  <c r="AM28" i="29"/>
  <c r="AU52" i="29"/>
  <c r="AN65" i="29"/>
  <c r="AG32" i="29"/>
  <c r="AR31" i="29"/>
  <c r="AW55" i="29"/>
  <c r="AH28" i="29"/>
  <c r="AK27" i="29"/>
  <c r="AU51" i="29"/>
  <c r="AM65" i="29"/>
  <c r="AM56" i="29"/>
  <c r="W34" i="29"/>
  <c r="AM59" i="29"/>
  <c r="AG27" i="29"/>
  <c r="AH51" i="29"/>
  <c r="CY31" i="29"/>
  <c r="AE27" i="29"/>
  <c r="AO59" i="29"/>
  <c r="AQ34" i="29"/>
  <c r="AN52" i="29"/>
  <c r="AQ52" i="29"/>
  <c r="Y55" i="29"/>
  <c r="AN59" i="29"/>
  <c r="AN63" i="29"/>
  <c r="AM36" i="29"/>
  <c r="AS52" i="29"/>
  <c r="AV36" i="29"/>
  <c r="AT51" i="29"/>
  <c r="AH52" i="29"/>
  <c r="AH36" i="29"/>
  <c r="AS55" i="29"/>
  <c r="AK51" i="29"/>
  <c r="AQ58" i="29"/>
  <c r="AL36" i="29"/>
  <c r="AU55" i="29"/>
  <c r="AJ36" i="29"/>
  <c r="AH34" i="29"/>
  <c r="CX34" i="29"/>
  <c r="AN58" i="29"/>
  <c r="AI55" i="29"/>
  <c r="AR58" i="29"/>
  <c r="AG55" i="29"/>
  <c r="AJ30" i="29"/>
  <c r="AR55" i="29"/>
  <c r="AO63" i="29"/>
  <c r="AG34" i="29"/>
  <c r="AE31" i="29"/>
  <c r="Z34" i="29"/>
  <c r="AM31" i="29"/>
  <c r="AB58" i="29"/>
  <c r="AQ31" i="29"/>
  <c r="AM26" i="29"/>
  <c r="W31" i="29"/>
  <c r="AK31" i="29"/>
  <c r="AJ52" i="29"/>
  <c r="X27" i="29"/>
  <c r="CY28" i="29"/>
  <c r="AX55" i="29"/>
  <c r="AT58" i="29"/>
  <c r="X52" i="29"/>
  <c r="AS34" i="29"/>
  <c r="AF30" i="29"/>
  <c r="AF58" i="29"/>
  <c r="AG31" i="29"/>
  <c r="AC31" i="29"/>
  <c r="AO60" i="29"/>
  <c r="Z27" i="29"/>
  <c r="AS31" i="29"/>
  <c r="Y51" i="29"/>
  <c r="Z58" i="29"/>
  <c r="AR34" i="29"/>
  <c r="AG56" i="29"/>
  <c r="AL55" i="29"/>
  <c r="CZ31" i="29"/>
  <c r="CZ28" i="29"/>
  <c r="AL34" i="29"/>
  <c r="AB55" i="29"/>
  <c r="AB27" i="29"/>
  <c r="AK55" i="29"/>
  <c r="AR63" i="29"/>
  <c r="AI30" i="29"/>
  <c r="AB31" i="29"/>
  <c r="AB52" i="29"/>
  <c r="AW31" i="29"/>
  <c r="AV60" i="29"/>
  <c r="AM35" i="29"/>
  <c r="AE55" i="29"/>
  <c r="Y52" i="29"/>
  <c r="AR39" i="29"/>
  <c r="AJ31" i="29"/>
  <c r="AI34" i="29"/>
  <c r="AJ34" i="29"/>
  <c r="AK59" i="29"/>
  <c r="AV37" i="29"/>
  <c r="AV58" i="29"/>
  <c r="AV34" i="29"/>
  <c r="AD32" i="29"/>
  <c r="AM55" i="29"/>
  <c r="AM60" i="29"/>
  <c r="AD31" i="29"/>
  <c r="AN56" i="29"/>
  <c r="AN55" i="29"/>
  <c r="AX36" i="29"/>
  <c r="AF60" i="29"/>
  <c r="AL58" i="29"/>
  <c r="AF54" i="29"/>
  <c r="AT65" i="29"/>
  <c r="AF34" i="29"/>
  <c r="AQ36" i="29"/>
  <c r="X55" i="29"/>
  <c r="X31" i="29"/>
  <c r="AI54" i="29"/>
  <c r="AT56" i="29"/>
  <c r="AT55" i="29"/>
  <c r="AU58" i="29"/>
  <c r="Z31" i="29"/>
  <c r="Y28" i="29"/>
  <c r="AI58" i="29"/>
  <c r="AJ28" i="29"/>
  <c r="AJ55" i="29"/>
  <c r="AR36" i="29"/>
  <c r="AE58" i="29"/>
  <c r="AQ55" i="29"/>
  <c r="AJ54" i="29"/>
  <c r="AN50" i="29"/>
  <c r="AX60" i="29"/>
  <c r="AM63" i="29"/>
  <c r="AS58" i="29"/>
  <c r="AQ60" i="29"/>
  <c r="AS28" i="29"/>
  <c r="EC74" i="29" l="1"/>
  <c r="BS100" i="29" s="1"/>
  <c r="L5" i="49"/>
  <c r="EG81" i="29"/>
  <c r="EI81" i="29" s="1"/>
  <c r="EE77" i="29"/>
  <c r="EE89" i="29"/>
  <c r="EE87" i="29"/>
  <c r="EE85" i="29"/>
  <c r="EE83" i="29"/>
  <c r="ED85" i="29"/>
  <c r="ED77" i="29"/>
  <c r="ED89" i="29"/>
  <c r="ED83" i="29"/>
  <c r="ED87" i="29"/>
  <c r="EC89" i="29"/>
  <c r="BS278" i="29" s="1"/>
  <c r="BS280" i="29"/>
  <c r="EC87" i="29"/>
  <c r="BS248" i="29" s="1"/>
  <c r="BS251" i="29"/>
  <c r="EC85" i="29"/>
  <c r="BS216" i="29" s="1"/>
  <c r="BS219" i="29"/>
  <c r="EC83" i="29"/>
  <c r="EF81" i="29"/>
  <c r="EH81" i="29" s="1"/>
  <c r="CF125" i="29"/>
  <c r="BS130" i="29"/>
  <c r="CG125" i="29"/>
  <c r="ED26" i="29"/>
  <c r="CB124" i="29"/>
  <c r="EC77" i="29"/>
  <c r="BS131" i="29"/>
  <c r="L252" i="29"/>
  <c r="L251" i="29"/>
  <c r="K220" i="29"/>
  <c r="K219" i="29"/>
  <c r="P187" i="29"/>
  <c r="O187" i="29"/>
  <c r="L156" i="29"/>
  <c r="I157" i="29"/>
  <c r="L157" i="29"/>
  <c r="L126" i="29"/>
  <c r="L130" i="29"/>
  <c r="M127" i="29"/>
  <c r="P126" i="29"/>
  <c r="L128" i="29"/>
  <c r="L129" i="29"/>
  <c r="L125" i="29"/>
  <c r="I129" i="29"/>
  <c r="L131" i="29"/>
  <c r="I127" i="29"/>
  <c r="L280" i="29"/>
  <c r="BA40" i="29"/>
  <c r="M187" i="29"/>
  <c r="L187" i="29"/>
  <c r="I126" i="29"/>
  <c r="EF88" i="29"/>
  <c r="EH88" i="29" s="1"/>
  <c r="BT249" i="29" s="1"/>
  <c r="EG88" i="29"/>
  <c r="EI88" i="29" s="1"/>
  <c r="BU249" i="29" s="1"/>
  <c r="EF50" i="29"/>
  <c r="EH50" i="29" s="1"/>
  <c r="CF135" i="29" s="1"/>
  <c r="EG50" i="29"/>
  <c r="P58" i="29"/>
  <c r="I163" i="29" s="1"/>
  <c r="H59" i="29"/>
  <c r="L162" i="29" s="1"/>
  <c r="H58" i="29"/>
  <c r="L163" i="29" s="1"/>
  <c r="H65" i="29"/>
  <c r="L284" i="29" s="1"/>
  <c r="H57" i="29"/>
  <c r="L136" i="29" s="1"/>
  <c r="H52" i="29"/>
  <c r="L139" i="29" s="1"/>
  <c r="H55" i="29"/>
  <c r="L137" i="29" s="1"/>
  <c r="P55" i="29"/>
  <c r="I137" i="29" s="1"/>
  <c r="H64" i="29"/>
  <c r="H56" i="29"/>
  <c r="L141" i="29" s="1"/>
  <c r="H53" i="29"/>
  <c r="P52" i="29"/>
  <c r="I139" i="29" s="1"/>
  <c r="P51" i="29"/>
  <c r="I140" i="29" s="1"/>
  <c r="P54" i="29"/>
  <c r="I138" i="29" s="1"/>
  <c r="H60" i="29"/>
  <c r="L191" i="29" s="1"/>
  <c r="H63" i="29"/>
  <c r="L255" i="29" s="1"/>
  <c r="H51" i="29"/>
  <c r="L140" i="29" s="1"/>
  <c r="EE26" i="29"/>
  <c r="EG37" i="29"/>
  <c r="EF35" i="29"/>
  <c r="EF37" i="29"/>
  <c r="EH37" i="29" s="1"/>
  <c r="CD219" i="29" s="1"/>
  <c r="EG35" i="29"/>
  <c r="CF34" i="29"/>
  <c r="BZ157" i="29" s="1"/>
  <c r="CF28" i="29"/>
  <c r="AZ38" i="29"/>
  <c r="BA38" i="29"/>
  <c r="AZ33" i="29"/>
  <c r="BA33" i="29"/>
  <c r="AY40" i="29"/>
  <c r="D252" i="29" s="1"/>
  <c r="AZ40" i="29"/>
  <c r="AY38" i="29"/>
  <c r="AY33" i="29"/>
  <c r="S60" i="29"/>
  <c r="J191" i="29" s="1"/>
  <c r="S54" i="29"/>
  <c r="J138" i="29" s="1"/>
  <c r="T50" i="29"/>
  <c r="K135" i="29" s="1"/>
  <c r="T58" i="29"/>
  <c r="K163" i="29" s="1"/>
  <c r="T59" i="29"/>
  <c r="K162" i="29" s="1"/>
  <c r="T60" i="29"/>
  <c r="K191" i="29" s="1"/>
  <c r="T52" i="29"/>
  <c r="K139" i="29" s="1"/>
  <c r="T56" i="29"/>
  <c r="K141" i="29" s="1"/>
  <c r="T63" i="29"/>
  <c r="K255" i="29" s="1"/>
  <c r="T65" i="29"/>
  <c r="K284" i="29" s="1"/>
  <c r="S34" i="29"/>
  <c r="S32" i="29"/>
  <c r="S30" i="29"/>
  <c r="S36" i="29"/>
  <c r="P12" i="40"/>
  <c r="H54" i="29"/>
  <c r="H30" i="29"/>
  <c r="EF29" i="29"/>
  <c r="P7" i="40"/>
  <c r="EG29" i="29"/>
  <c r="EF41" i="29"/>
  <c r="EG41" i="29"/>
  <c r="P51" i="40"/>
  <c r="EF39" i="29"/>
  <c r="P234" i="27"/>
  <c r="R217" i="27"/>
  <c r="EG39" i="29"/>
  <c r="AB87" i="43"/>
  <c r="AB89" i="43" s="1"/>
  <c r="AA90" i="43" s="1"/>
  <c r="M39" i="29"/>
  <c r="R15" i="40"/>
  <c r="P18" i="40"/>
  <c r="O54" i="35"/>
  <c r="P160" i="27"/>
  <c r="P99" i="39"/>
  <c r="P114" i="32"/>
  <c r="P90" i="32"/>
  <c r="R90" i="32" s="1"/>
  <c r="P92" i="32"/>
  <c r="R92" i="32" s="1"/>
  <c r="P91" i="32"/>
  <c r="R91" i="32" s="1"/>
  <c r="P93" i="32"/>
  <c r="R93" i="32" s="1"/>
  <c r="P94" i="32"/>
  <c r="R94" i="32" s="1"/>
  <c r="P79" i="32"/>
  <c r="R79" i="32" s="1"/>
  <c r="P82" i="32"/>
  <c r="R82" i="32" s="1"/>
  <c r="P85" i="32"/>
  <c r="R85" i="32" s="1"/>
  <c r="P81" i="32"/>
  <c r="R81" i="32" s="1"/>
  <c r="P80" i="32"/>
  <c r="R80" i="32" s="1"/>
  <c r="P86" i="32"/>
  <c r="R86" i="32" s="1"/>
  <c r="P84" i="32"/>
  <c r="R84" i="32" s="1"/>
  <c r="P83" i="32"/>
  <c r="R83" i="32" s="1"/>
  <c r="P46" i="32"/>
  <c r="P48" i="32"/>
  <c r="R48" i="32" s="1"/>
  <c r="P50" i="32"/>
  <c r="R50" i="32" s="1"/>
  <c r="P47" i="32"/>
  <c r="R47" i="32" s="1"/>
  <c r="P49" i="32"/>
  <c r="R49" i="32" s="1"/>
  <c r="P32" i="32"/>
  <c r="R32" i="32" s="1"/>
  <c r="P42" i="32"/>
  <c r="R42" i="32" s="1"/>
  <c r="P41" i="32"/>
  <c r="R41" i="32" s="1"/>
  <c r="P36" i="32"/>
  <c r="R36" i="32" s="1"/>
  <c r="P39" i="32"/>
  <c r="R39" i="32" s="1"/>
  <c r="P33" i="32"/>
  <c r="R33" i="32" s="1"/>
  <c r="P34" i="32"/>
  <c r="R34" i="32" s="1"/>
  <c r="P37" i="32"/>
  <c r="R37" i="32" s="1"/>
  <c r="P35" i="32"/>
  <c r="R35" i="32" s="1"/>
  <c r="P38" i="32"/>
  <c r="R38" i="32" s="1"/>
  <c r="P40" i="32"/>
  <c r="R40" i="32" s="1"/>
  <c r="R50" i="40"/>
  <c r="X80" i="40"/>
  <c r="AC76" i="40" s="1"/>
  <c r="X24" i="40"/>
  <c r="AC22" i="40" s="1"/>
  <c r="X87" i="40"/>
  <c r="AC85" i="40" s="1"/>
  <c r="AE85" i="40" s="1"/>
  <c r="X34" i="40"/>
  <c r="AC33" i="40" s="1"/>
  <c r="R90" i="40"/>
  <c r="P96" i="40"/>
  <c r="P87" i="40"/>
  <c r="P80" i="40"/>
  <c r="P73" i="40"/>
  <c r="R68" i="40"/>
  <c r="P65" i="40"/>
  <c r="R54" i="40"/>
  <c r="P58" i="40"/>
  <c r="P41" i="40"/>
  <c r="P30" i="40"/>
  <c r="R6" i="40"/>
  <c r="R11" i="40"/>
  <c r="P24" i="40"/>
  <c r="R37" i="40"/>
  <c r="P46" i="40"/>
  <c r="R49" i="40"/>
  <c r="AC92" i="43"/>
  <c r="AE92" i="43" s="1"/>
  <c r="AC96" i="43"/>
  <c r="AE96" i="43" s="1"/>
  <c r="AC94" i="43"/>
  <c r="AE94" i="43" s="1"/>
  <c r="AC95" i="43"/>
  <c r="AE95" i="43" s="1"/>
  <c r="AC93" i="43"/>
  <c r="AE93" i="43" s="1"/>
  <c r="AC97" i="43"/>
  <c r="AE97" i="43" s="1"/>
  <c r="AB64" i="43"/>
  <c r="S51" i="25"/>
  <c r="Q65" i="25"/>
  <c r="P69" i="32"/>
  <c r="P27" i="37"/>
  <c r="R27" i="37" s="1"/>
  <c r="N28" i="29" s="1"/>
  <c r="P30" i="37"/>
  <c r="R30" i="37" s="1"/>
  <c r="P29" i="37"/>
  <c r="R29" i="37" s="1"/>
  <c r="P28" i="37"/>
  <c r="P63" i="39"/>
  <c r="P12" i="43"/>
  <c r="R44" i="40"/>
  <c r="P9" i="39"/>
  <c r="P30" i="43"/>
  <c r="P46" i="43"/>
  <c r="P18" i="43"/>
  <c r="P101" i="32"/>
  <c r="P89" i="39"/>
  <c r="P52" i="43"/>
  <c r="P24" i="43"/>
  <c r="P74" i="43"/>
  <c r="R27" i="40"/>
  <c r="P15" i="39"/>
  <c r="P41" i="43"/>
  <c r="P9" i="32"/>
  <c r="P81" i="39"/>
  <c r="R10" i="40"/>
  <c r="P59" i="43"/>
  <c r="P109" i="32"/>
  <c r="P41" i="39"/>
  <c r="P56" i="39"/>
  <c r="P119" i="32"/>
  <c r="P82" i="43"/>
  <c r="R5" i="40"/>
  <c r="P70" i="39"/>
  <c r="Q56" i="25"/>
  <c r="P7" i="43"/>
  <c r="R5" i="43"/>
  <c r="P76" i="32"/>
  <c r="P94" i="39"/>
  <c r="R12" i="32"/>
  <c r="P15" i="32"/>
  <c r="P29" i="32"/>
  <c r="R18" i="32"/>
  <c r="R62" i="43"/>
  <c r="P66" i="43"/>
  <c r="R58" i="32"/>
  <c r="P62" i="32"/>
  <c r="P89" i="43"/>
  <c r="R85" i="43"/>
  <c r="P49" i="39"/>
  <c r="R44" i="39"/>
  <c r="P104" i="39"/>
  <c r="P98" i="43"/>
  <c r="R92" i="43"/>
  <c r="R61" i="40"/>
  <c r="R347" i="44"/>
  <c r="U39" i="29" s="1"/>
  <c r="P350" i="44"/>
  <c r="P28" i="39"/>
  <c r="R18" i="39"/>
  <c r="AE18" i="32"/>
  <c r="AE12" i="32"/>
  <c r="K12" i="10"/>
  <c r="P6" i="10" s="1"/>
  <c r="AE51" i="29"/>
  <c r="AT27" i="29"/>
  <c r="AT32" i="29"/>
  <c r="AN36" i="29"/>
  <c r="AQ28" i="29"/>
  <c r="AG51" i="29"/>
  <c r="AT31" i="29"/>
  <c r="AU27" i="29"/>
  <c r="CV27" i="29"/>
  <c r="AF55" i="29"/>
  <c r="V55" i="29"/>
  <c r="AU31" i="29"/>
  <c r="AO35" i="29"/>
  <c r="V28" i="29"/>
  <c r="AN34" i="29"/>
  <c r="CY27" i="29"/>
  <c r="AT41" i="29"/>
  <c r="CV30" i="29"/>
  <c r="AM51" i="29"/>
  <c r="CV34" i="29"/>
  <c r="AN41" i="29"/>
  <c r="AU34" i="29"/>
  <c r="AN32" i="29"/>
  <c r="AN28" i="29"/>
  <c r="X51" i="29"/>
  <c r="CX31" i="29"/>
  <c r="AT28" i="29"/>
  <c r="AU28" i="29"/>
  <c r="AO39" i="29"/>
  <c r="AN35" i="29"/>
  <c r="AB51" i="29"/>
  <c r="AT34" i="29"/>
  <c r="AO36" i="29"/>
  <c r="CV36" i="29"/>
  <c r="V52" i="29"/>
  <c r="AI31" i="29"/>
  <c r="AN37" i="29"/>
  <c r="AN27" i="29"/>
  <c r="AO55" i="29"/>
  <c r="AM27" i="29"/>
  <c r="AD56" i="29"/>
  <c r="AC55" i="29"/>
  <c r="W55" i="29"/>
  <c r="CU54" i="29"/>
  <c r="AL31" i="29"/>
  <c r="AN39" i="29"/>
  <c r="AN31" i="29"/>
  <c r="AD55" i="29"/>
  <c r="AJ51" i="29"/>
  <c r="AJ27" i="29"/>
  <c r="W58" i="29"/>
  <c r="CV31" i="29"/>
  <c r="AN26" i="29"/>
  <c r="Z51" i="29"/>
  <c r="CV28" i="29"/>
  <c r="AF31" i="29"/>
  <c r="AY54" i="29" l="1"/>
  <c r="EE74" i="29"/>
  <c r="BA86" i="29"/>
  <c r="EN40" i="29"/>
  <c r="AZ86" i="29"/>
  <c r="ED74" i="29"/>
  <c r="EF26" i="29"/>
  <c r="EH26" i="29" s="1"/>
  <c r="T27" i="29"/>
  <c r="S27" i="29"/>
  <c r="BS151" i="29"/>
  <c r="BZ128" i="29"/>
  <c r="BS124" i="29"/>
  <c r="BA64" i="29"/>
  <c r="L256" i="29"/>
  <c r="M251" i="29"/>
  <c r="N251" i="29"/>
  <c r="J187" i="29"/>
  <c r="J157" i="29"/>
  <c r="AZ53" i="29"/>
  <c r="L142" i="29"/>
  <c r="D125" i="29"/>
  <c r="J127" i="29"/>
  <c r="J130" i="29"/>
  <c r="N128" i="29"/>
  <c r="L127" i="29"/>
  <c r="AY86" i="29"/>
  <c r="D217" i="29" s="1"/>
  <c r="D220" i="29"/>
  <c r="AZ59" i="29"/>
  <c r="EN33" i="29"/>
  <c r="EM33" i="29"/>
  <c r="EM40" i="29"/>
  <c r="AZ57" i="29"/>
  <c r="EL33" i="29"/>
  <c r="EL40" i="29"/>
  <c r="EO249" i="29" s="1"/>
  <c r="AY57" i="29"/>
  <c r="BA57" i="29"/>
  <c r="AZ65" i="29"/>
  <c r="AY64" i="29"/>
  <c r="AY63" i="29"/>
  <c r="BA53" i="29"/>
  <c r="AY53" i="29"/>
  <c r="AZ64" i="29"/>
  <c r="H50" i="29"/>
  <c r="BA50" i="29" s="1"/>
  <c r="EG87" i="29"/>
  <c r="EI87" i="29" s="1"/>
  <c r="BU248" i="29" s="1"/>
  <c r="BV248" i="29" s="1"/>
  <c r="EF85" i="29"/>
  <c r="EH85" i="29" s="1"/>
  <c r="BT216" i="29" s="1"/>
  <c r="CE27" i="29"/>
  <c r="T51" i="29"/>
  <c r="K140" i="29" s="1"/>
  <c r="S51" i="29"/>
  <c r="J140" i="29" s="1"/>
  <c r="EG83" i="29"/>
  <c r="EF83" i="29"/>
  <c r="EG85" i="29"/>
  <c r="CF31" i="29"/>
  <c r="CE28" i="29"/>
  <c r="BA60" i="29"/>
  <c r="BA63" i="29"/>
  <c r="AZ63" i="29"/>
  <c r="BA59" i="29"/>
  <c r="AZ60" i="29"/>
  <c r="BA65" i="29"/>
  <c r="AZ30" i="29"/>
  <c r="BA30" i="29"/>
  <c r="AY60" i="29"/>
  <c r="D191" i="29" s="1"/>
  <c r="AY59" i="29"/>
  <c r="D162" i="29" s="1"/>
  <c r="AY65" i="29"/>
  <c r="AY30" i="29"/>
  <c r="C9" i="49" s="1"/>
  <c r="S58" i="29"/>
  <c r="J163" i="29" s="1"/>
  <c r="S56" i="29"/>
  <c r="J141" i="29" s="1"/>
  <c r="S55" i="29"/>
  <c r="J137" i="29" s="1"/>
  <c r="S52" i="29"/>
  <c r="J139" i="29" s="1"/>
  <c r="T55" i="29"/>
  <c r="K137" i="29" s="1"/>
  <c r="T36" i="29"/>
  <c r="T37" i="29"/>
  <c r="T28" i="29"/>
  <c r="T35" i="29"/>
  <c r="T32" i="29"/>
  <c r="T39" i="29"/>
  <c r="T34" i="29"/>
  <c r="T41" i="29"/>
  <c r="T26" i="29"/>
  <c r="S31" i="29"/>
  <c r="S28" i="29"/>
  <c r="EG77" i="29"/>
  <c r="EF87" i="29"/>
  <c r="EH87" i="29" s="1"/>
  <c r="BT248" i="29" s="1"/>
  <c r="EF89" i="29"/>
  <c r="EF77" i="29"/>
  <c r="EG89" i="29"/>
  <c r="N31" i="29"/>
  <c r="N26" i="29"/>
  <c r="P28" i="29"/>
  <c r="BC38" i="29"/>
  <c r="BB38" i="29"/>
  <c r="BB40" i="29"/>
  <c r="BB33" i="29"/>
  <c r="BC40" i="29"/>
  <c r="BC33" i="29"/>
  <c r="EG32" i="29"/>
  <c r="EF32" i="29"/>
  <c r="P95" i="32"/>
  <c r="P51" i="32"/>
  <c r="P87" i="32"/>
  <c r="R46" i="32"/>
  <c r="P43" i="32"/>
  <c r="AC17" i="40"/>
  <c r="AE17" i="40" s="1"/>
  <c r="AC79" i="40"/>
  <c r="AE79" i="40" s="1"/>
  <c r="AC23" i="40"/>
  <c r="AE23" i="40" s="1"/>
  <c r="AE76" i="40"/>
  <c r="AC34" i="40"/>
  <c r="AE33" i="40"/>
  <c r="X12" i="40"/>
  <c r="AC10" i="40" s="1"/>
  <c r="X41" i="40"/>
  <c r="AC37" i="40" s="1"/>
  <c r="X58" i="40"/>
  <c r="AC54" i="40" s="1"/>
  <c r="AC21" i="40"/>
  <c r="AC86" i="40"/>
  <c r="AE86" i="40" s="1"/>
  <c r="X73" i="40"/>
  <c r="AC68" i="40" s="1"/>
  <c r="AC83" i="40"/>
  <c r="AC84" i="40"/>
  <c r="AE84" i="40" s="1"/>
  <c r="AC77" i="40"/>
  <c r="AE77" i="40" s="1"/>
  <c r="X7" i="40"/>
  <c r="X46" i="40"/>
  <c r="AC45" i="40" s="1"/>
  <c r="AE45" i="40" s="1"/>
  <c r="AC78" i="40"/>
  <c r="AE78" i="40" s="1"/>
  <c r="X51" i="40"/>
  <c r="AC50" i="40" s="1"/>
  <c r="AE50" i="40" s="1"/>
  <c r="AC61" i="40"/>
  <c r="X96" i="40"/>
  <c r="AC98" i="43"/>
  <c r="AC85" i="43"/>
  <c r="AE85" i="43" s="1"/>
  <c r="AC87" i="43"/>
  <c r="AE87" i="43" s="1"/>
  <c r="AC86" i="43"/>
  <c r="AE86" i="43" s="1"/>
  <c r="AC88" i="43"/>
  <c r="AE88" i="43" s="1"/>
  <c r="AB66" i="43"/>
  <c r="AA67" i="43" s="1"/>
  <c r="R6" i="10"/>
  <c r="R23" i="10" s="1"/>
  <c r="O27" i="29" s="1"/>
  <c r="P7" i="10"/>
  <c r="R7" i="10" s="1"/>
  <c r="R24" i="10" s="1"/>
  <c r="O28" i="29" s="1"/>
  <c r="P9" i="10"/>
  <c r="R9" i="10" s="1"/>
  <c r="R26" i="10" s="1"/>
  <c r="O32" i="29" s="1"/>
  <c r="P8" i="10"/>
  <c r="R8" i="10" s="1"/>
  <c r="R25" i="10" s="1"/>
  <c r="O31" i="29" s="1"/>
  <c r="EH63" i="29"/>
  <c r="CD255" i="29" s="1"/>
  <c r="EI63" i="29"/>
  <c r="CE255" i="29" s="1"/>
  <c r="EH65" i="29"/>
  <c r="CE284" i="29" s="1"/>
  <c r="EI65" i="29"/>
  <c r="CF284" i="29" s="1"/>
  <c r="EH59" i="29"/>
  <c r="CE162" i="29" s="1"/>
  <c r="EI59" i="29"/>
  <c r="CF162" i="29" s="1"/>
  <c r="EI50" i="29"/>
  <c r="CG135" i="29" s="1"/>
  <c r="EH35" i="29"/>
  <c r="CE156" i="29" s="1"/>
  <c r="EI35" i="29"/>
  <c r="CF156" i="29" s="1"/>
  <c r="EI37" i="29"/>
  <c r="CE219" i="29" s="1"/>
  <c r="P32" i="37"/>
  <c r="R28" i="37"/>
  <c r="AE5" i="32"/>
  <c r="CU34" i="29"/>
  <c r="CT51" i="29"/>
  <c r="CK55" i="29"/>
  <c r="CJ55" i="29"/>
  <c r="AO31" i="29"/>
  <c r="CU58" i="29"/>
  <c r="CT52" i="29"/>
  <c r="CU60" i="29"/>
  <c r="CT58" i="29"/>
  <c r="CU31" i="29"/>
  <c r="CT55" i="29"/>
  <c r="CP56" i="29"/>
  <c r="CU30" i="29"/>
  <c r="CU36" i="29"/>
  <c r="CO58" i="29"/>
  <c r="CW27" i="29"/>
  <c r="EN86" i="29" l="1"/>
  <c r="EM86" i="29"/>
  <c r="EN64" i="29"/>
  <c r="EN65" i="29"/>
  <c r="EN57" i="29"/>
  <c r="EN59" i="29"/>
  <c r="EN63" i="29"/>
  <c r="EN53" i="29"/>
  <c r="EM63" i="29"/>
  <c r="EM65" i="29"/>
  <c r="EM59" i="29"/>
  <c r="EM53" i="29"/>
  <c r="EM64" i="29"/>
  <c r="AY50" i="29"/>
  <c r="EL50" i="29" s="1"/>
  <c r="AZ50" i="29"/>
  <c r="CF124" i="29"/>
  <c r="BZ126" i="29"/>
  <c r="BY129" i="29"/>
  <c r="EE28" i="29"/>
  <c r="BY128" i="29"/>
  <c r="EF74" i="29"/>
  <c r="EH74" i="29" s="1"/>
  <c r="EG74" i="29"/>
  <c r="EI74" i="29" s="1"/>
  <c r="BA88" i="29"/>
  <c r="EL65" i="29"/>
  <c r="D284" i="29"/>
  <c r="EL64" i="29"/>
  <c r="D256" i="29"/>
  <c r="EL63" i="29"/>
  <c r="D255" i="29"/>
  <c r="K280" i="29"/>
  <c r="K251" i="29"/>
  <c r="J219" i="29"/>
  <c r="K187" i="29"/>
  <c r="K156" i="29"/>
  <c r="AZ54" i="29"/>
  <c r="L138" i="29"/>
  <c r="L135" i="29"/>
  <c r="EL57" i="29"/>
  <c r="X12" i="49" s="1"/>
  <c r="D136" i="29"/>
  <c r="EL53" i="29"/>
  <c r="D142" i="29"/>
  <c r="N126" i="29"/>
  <c r="J126" i="29"/>
  <c r="K129" i="29"/>
  <c r="D127" i="29"/>
  <c r="K124" i="29"/>
  <c r="J129" i="29"/>
  <c r="O130" i="29"/>
  <c r="O126" i="29"/>
  <c r="O128" i="29"/>
  <c r="O129" i="29"/>
  <c r="K130" i="29"/>
  <c r="I128" i="29"/>
  <c r="N124" i="29"/>
  <c r="J128" i="29"/>
  <c r="K128" i="29"/>
  <c r="BA34" i="29"/>
  <c r="K157" i="29"/>
  <c r="AZ81" i="29"/>
  <c r="EM57" i="29"/>
  <c r="BA81" i="29"/>
  <c r="AZ88" i="29"/>
  <c r="AY81" i="29"/>
  <c r="D101" i="29" s="1"/>
  <c r="AY88" i="29"/>
  <c r="BB53" i="29"/>
  <c r="BD53" i="29" s="1"/>
  <c r="BC53" i="29"/>
  <c r="EP53" i="29" s="1"/>
  <c r="BC57" i="29"/>
  <c r="EP57" i="29" s="1"/>
  <c r="BB57" i="29"/>
  <c r="BD57" i="29" s="1"/>
  <c r="BC64" i="29"/>
  <c r="BE64" i="29" s="1"/>
  <c r="BB64" i="29"/>
  <c r="EO64" i="29" s="1"/>
  <c r="EN50" i="29"/>
  <c r="BA54" i="29"/>
  <c r="BS107" i="29"/>
  <c r="CF27" i="29"/>
  <c r="ED28" i="29"/>
  <c r="EC28" i="29"/>
  <c r="BA52" i="29"/>
  <c r="AZ52" i="29"/>
  <c r="AZ55" i="29"/>
  <c r="BA55" i="29"/>
  <c r="AZ51" i="29"/>
  <c r="BA51" i="29"/>
  <c r="BC59" i="29"/>
  <c r="EP59" i="29" s="1"/>
  <c r="AZ56" i="29"/>
  <c r="BA56" i="29"/>
  <c r="AZ58" i="29"/>
  <c r="BA58" i="29"/>
  <c r="EL59" i="29"/>
  <c r="AZ35" i="29"/>
  <c r="BA35" i="29"/>
  <c r="BA39" i="29"/>
  <c r="AZ37" i="29"/>
  <c r="BA37" i="29"/>
  <c r="AZ34" i="29"/>
  <c r="AZ39" i="29"/>
  <c r="BC60" i="29"/>
  <c r="BE60" i="29" s="1"/>
  <c r="R191" i="29" s="1"/>
  <c r="AY51" i="29"/>
  <c r="D140" i="29" s="1"/>
  <c r="BB60" i="29"/>
  <c r="BD60" i="29" s="1"/>
  <c r="Q191" i="29" s="1"/>
  <c r="BC65" i="29"/>
  <c r="EP65" i="29" s="1"/>
  <c r="AY55" i="29"/>
  <c r="D137" i="29" s="1"/>
  <c r="AY58" i="29"/>
  <c r="D163" i="29" s="1"/>
  <c r="AY52" i="29"/>
  <c r="D139" i="29" s="1"/>
  <c r="AY56" i="29"/>
  <c r="D141" i="29" s="1"/>
  <c r="AY39" i="29"/>
  <c r="AY35" i="29"/>
  <c r="D156" i="29" s="1"/>
  <c r="AY37" i="29"/>
  <c r="AY34" i="29"/>
  <c r="BB63" i="29"/>
  <c r="EO63" i="29" s="1"/>
  <c r="T31" i="29"/>
  <c r="BC63" i="29"/>
  <c r="EP63" i="29" s="1"/>
  <c r="BB65" i="29"/>
  <c r="EO65" i="29" s="1"/>
  <c r="BB59" i="29"/>
  <c r="EO59" i="29" s="1"/>
  <c r="AC90" i="40"/>
  <c r="AE90" i="40" s="1"/>
  <c r="AC95" i="40"/>
  <c r="AE95" i="40" s="1"/>
  <c r="BB86" i="29"/>
  <c r="BD86" i="29" s="1"/>
  <c r="E217" i="29" s="1"/>
  <c r="BC86" i="29"/>
  <c r="BE86" i="29" s="1"/>
  <c r="F217" i="29" s="1"/>
  <c r="N27" i="29"/>
  <c r="BE38" i="29"/>
  <c r="BE33" i="29"/>
  <c r="EP33" i="29"/>
  <c r="BE40" i="29"/>
  <c r="EP40" i="29"/>
  <c r="BD33" i="29"/>
  <c r="EO33" i="29"/>
  <c r="BD40" i="29"/>
  <c r="EO40" i="29"/>
  <c r="BD38" i="29"/>
  <c r="AC5" i="40"/>
  <c r="AE5" i="40" s="1"/>
  <c r="AE22" i="40"/>
  <c r="AC44" i="40"/>
  <c r="AC46" i="40" s="1"/>
  <c r="AC49" i="40"/>
  <c r="AC51" i="40" s="1"/>
  <c r="AE37" i="40"/>
  <c r="AE68" i="40"/>
  <c r="AE27" i="40"/>
  <c r="AE10" i="40"/>
  <c r="AC87" i="40"/>
  <c r="AE83" i="40"/>
  <c r="AC6" i="40"/>
  <c r="AE6" i="40" s="1"/>
  <c r="AE21" i="40"/>
  <c r="AC55" i="40"/>
  <c r="AE55" i="40" s="1"/>
  <c r="AC57" i="40"/>
  <c r="AE57" i="40" s="1"/>
  <c r="AC56" i="40"/>
  <c r="AE56" i="40" s="1"/>
  <c r="AC71" i="40"/>
  <c r="AE71" i="40" s="1"/>
  <c r="AC72" i="40"/>
  <c r="AE72" i="40" s="1"/>
  <c r="AC69" i="40"/>
  <c r="AE69" i="40" s="1"/>
  <c r="AC70" i="40"/>
  <c r="AE70" i="40" s="1"/>
  <c r="AE54" i="40"/>
  <c r="AC80" i="40"/>
  <c r="AC94" i="40"/>
  <c r="AE94" i="40" s="1"/>
  <c r="AC92" i="40"/>
  <c r="AE92" i="40" s="1"/>
  <c r="AC91" i="40"/>
  <c r="AE91" i="40" s="1"/>
  <c r="AC93" i="40"/>
  <c r="AE93" i="40" s="1"/>
  <c r="AC11" i="40"/>
  <c r="AE11" i="40" s="1"/>
  <c r="AC62" i="40"/>
  <c r="AE62" i="40" s="1"/>
  <c r="AC64" i="40"/>
  <c r="AE64" i="40" s="1"/>
  <c r="AC63" i="40"/>
  <c r="AE63" i="40" s="1"/>
  <c r="AC38" i="40"/>
  <c r="AE38" i="40" s="1"/>
  <c r="AC39" i="40"/>
  <c r="AE39" i="40" s="1"/>
  <c r="AC40" i="40"/>
  <c r="AE40" i="40" s="1"/>
  <c r="AE61" i="40"/>
  <c r="AC28" i="40"/>
  <c r="AE28" i="40" s="1"/>
  <c r="AC29" i="40"/>
  <c r="AE29" i="40" s="1"/>
  <c r="AE15" i="40"/>
  <c r="AC89" i="43"/>
  <c r="AC62" i="43"/>
  <c r="AE62" i="43" s="1"/>
  <c r="AC64" i="43"/>
  <c r="AE64" i="43" s="1"/>
  <c r="AC63" i="43"/>
  <c r="AE63" i="43" s="1"/>
  <c r="AC65" i="43"/>
  <c r="AE65" i="43" s="1"/>
  <c r="EI85" i="29"/>
  <c r="BU216" i="29" s="1"/>
  <c r="EH83" i="29"/>
  <c r="BT151" i="29" s="1"/>
  <c r="EI83" i="29"/>
  <c r="BU151" i="29" s="1"/>
  <c r="EH39" i="29"/>
  <c r="EI39" i="29"/>
  <c r="P12" i="10"/>
  <c r="CL51" i="29"/>
  <c r="CS55" i="29"/>
  <c r="CS52" i="29"/>
  <c r="CS56" i="29"/>
  <c r="CV55" i="29"/>
  <c r="CQ55" i="29"/>
  <c r="CR34" i="29"/>
  <c r="CR60" i="29"/>
  <c r="CQ58" i="29"/>
  <c r="CH52" i="29"/>
  <c r="CK52" i="29"/>
  <c r="CV60" i="29"/>
  <c r="CQ56" i="29"/>
  <c r="CS58" i="29"/>
  <c r="CU55" i="29"/>
  <c r="CN52" i="29"/>
  <c r="CN51" i="29"/>
  <c r="CR55" i="29"/>
  <c r="CV52" i="29"/>
  <c r="CR36" i="29"/>
  <c r="CR58" i="29"/>
  <c r="CQ51" i="29"/>
  <c r="CJ51" i="29"/>
  <c r="CR31" i="29"/>
  <c r="CN55" i="29"/>
  <c r="CK51" i="29"/>
  <c r="CN58" i="29"/>
  <c r="CV51" i="29"/>
  <c r="CI58" i="29"/>
  <c r="CR54" i="29"/>
  <c r="CI55" i="29"/>
  <c r="CH55" i="29"/>
  <c r="CV54" i="29"/>
  <c r="CV58" i="29"/>
  <c r="CL55" i="29"/>
  <c r="CL58" i="29"/>
  <c r="CS51" i="29"/>
  <c r="CR30" i="29"/>
  <c r="ER249" i="29" l="1"/>
  <c r="X19" i="49"/>
  <c r="Z19" i="49" s="1"/>
  <c r="ER151" i="29"/>
  <c r="X14" i="49"/>
  <c r="Y14" i="49" s="1"/>
  <c r="ES107" i="29"/>
  <c r="X8" i="49"/>
  <c r="Z8" i="49" s="1"/>
  <c r="ER278" i="29"/>
  <c r="X20" i="49"/>
  <c r="Z20" i="49" s="1"/>
  <c r="ES100" i="29"/>
  <c r="X5" i="49"/>
  <c r="Z5" i="49" s="1"/>
  <c r="Y12" i="49"/>
  <c r="ER248" i="29"/>
  <c r="X18" i="49"/>
  <c r="Z18" i="49" s="1"/>
  <c r="Z12" i="49"/>
  <c r="EN88" i="29"/>
  <c r="EN81" i="29"/>
  <c r="EM88" i="29"/>
  <c r="EM81" i="29"/>
  <c r="AZ78" i="29"/>
  <c r="EM50" i="29"/>
  <c r="CD251" i="29"/>
  <c r="CE251" i="29"/>
  <c r="BZ129" i="29"/>
  <c r="BS128" i="29"/>
  <c r="ER64" i="29"/>
  <c r="ET249" i="29" s="1"/>
  <c r="R256" i="29"/>
  <c r="D251" i="29"/>
  <c r="N220" i="29"/>
  <c r="O220" i="29"/>
  <c r="D219" i="29"/>
  <c r="D157" i="29"/>
  <c r="EQ57" i="29"/>
  <c r="Q136" i="29"/>
  <c r="EQ53" i="29"/>
  <c r="Q142" i="29"/>
  <c r="D135" i="29"/>
  <c r="BB54" i="29"/>
  <c r="BD54" i="29" s="1"/>
  <c r="Q138" i="29" s="1"/>
  <c r="D138" i="29"/>
  <c r="N129" i="29"/>
  <c r="K126" i="29"/>
  <c r="EQ40" i="29"/>
  <c r="EP249" i="29" s="1"/>
  <c r="Q252" i="29"/>
  <c r="ER40" i="29"/>
  <c r="EQ249" i="29" s="1"/>
  <c r="R252" i="29"/>
  <c r="EQ33" i="29"/>
  <c r="Q125" i="29"/>
  <c r="ER33" i="29"/>
  <c r="R125" i="29"/>
  <c r="D249" i="29"/>
  <c r="BA82" i="29"/>
  <c r="BA78" i="29"/>
  <c r="AY82" i="29"/>
  <c r="D152" i="29" s="1"/>
  <c r="BC81" i="29"/>
  <c r="EP81" i="29" s="1"/>
  <c r="EL81" i="29"/>
  <c r="AA12" i="49" s="1"/>
  <c r="BB81" i="29"/>
  <c r="EO81" i="29" s="1"/>
  <c r="EN37" i="29"/>
  <c r="BA85" i="29"/>
  <c r="EN39" i="29"/>
  <c r="BA87" i="29"/>
  <c r="EN35" i="29"/>
  <c r="BA83" i="29"/>
  <c r="EM39" i="29"/>
  <c r="AZ87" i="29"/>
  <c r="AZ82" i="29"/>
  <c r="EM37" i="29"/>
  <c r="AZ85" i="29"/>
  <c r="EM35" i="29"/>
  <c r="AZ83" i="29"/>
  <c r="AY78" i="29"/>
  <c r="I9" i="49" s="1"/>
  <c r="EL39" i="29"/>
  <c r="EO248" i="29" s="1"/>
  <c r="AY87" i="29"/>
  <c r="EL37" i="29"/>
  <c r="EO216" i="29" s="1"/>
  <c r="AY85" i="29"/>
  <c r="D216" i="29" s="1"/>
  <c r="EL35" i="29"/>
  <c r="EO151" i="29" s="1"/>
  <c r="AY83" i="29"/>
  <c r="D151" i="29" s="1"/>
  <c r="BC88" i="29"/>
  <c r="BE88" i="29" s="1"/>
  <c r="F249" i="29" s="1"/>
  <c r="BC50" i="29"/>
  <c r="EP50" i="29" s="1"/>
  <c r="BE57" i="29"/>
  <c r="EO53" i="29"/>
  <c r="BC54" i="29"/>
  <c r="BE54" i="29" s="1"/>
  <c r="R138" i="29" s="1"/>
  <c r="EP64" i="29"/>
  <c r="EO57" i="29"/>
  <c r="BD64" i="29"/>
  <c r="BE53" i="29"/>
  <c r="BB88" i="29"/>
  <c r="BD88" i="29" s="1"/>
  <c r="EL88" i="29"/>
  <c r="BB50" i="29"/>
  <c r="EO50" i="29" s="1"/>
  <c r="CE51" i="29"/>
  <c r="CE60" i="29"/>
  <c r="BY191" i="29" s="1"/>
  <c r="CE58" i="29"/>
  <c r="EC58" i="29" s="1"/>
  <c r="BS163" i="29" s="1"/>
  <c r="CE54" i="29"/>
  <c r="CE56" i="29"/>
  <c r="CE34" i="29"/>
  <c r="CE36" i="29"/>
  <c r="CE30" i="29"/>
  <c r="CE31" i="29"/>
  <c r="BE59" i="29"/>
  <c r="BE65" i="29"/>
  <c r="BB56" i="29"/>
  <c r="BD56" i="29" s="1"/>
  <c r="Q141" i="29" s="1"/>
  <c r="BB52" i="29"/>
  <c r="BD52" i="29" s="1"/>
  <c r="Q139" i="29" s="1"/>
  <c r="BC55" i="29"/>
  <c r="BE55" i="29" s="1"/>
  <c r="R137" i="29" s="1"/>
  <c r="BB55" i="29"/>
  <c r="BD55" i="29" s="1"/>
  <c r="Q137" i="29" s="1"/>
  <c r="BC58" i="29"/>
  <c r="BE58" i="29" s="1"/>
  <c r="N163" i="29" s="1"/>
  <c r="BB58" i="29"/>
  <c r="BD58" i="29" s="1"/>
  <c r="M163" i="29" s="1"/>
  <c r="BC52" i="29"/>
  <c r="BE52" i="29" s="1"/>
  <c r="R139" i="29" s="1"/>
  <c r="BD63" i="29"/>
  <c r="BC34" i="29"/>
  <c r="BE34" i="29" s="1"/>
  <c r="BB51" i="29"/>
  <c r="BD51" i="29" s="1"/>
  <c r="Q140" i="29" s="1"/>
  <c r="BC56" i="29"/>
  <c r="BE56" i="29" s="1"/>
  <c r="R141" i="29" s="1"/>
  <c r="BC51" i="29"/>
  <c r="BE51" i="29" s="1"/>
  <c r="R140" i="29" s="1"/>
  <c r="BD65" i="29"/>
  <c r="BE63" i="29"/>
  <c r="BD59" i="29"/>
  <c r="M162" i="29" s="1"/>
  <c r="BB35" i="29"/>
  <c r="EO35" i="29" s="1"/>
  <c r="BB37" i="29"/>
  <c r="BD37" i="29" s="1"/>
  <c r="BB34" i="29"/>
  <c r="BD34" i="29" s="1"/>
  <c r="BC35" i="29"/>
  <c r="EP35" i="29" s="1"/>
  <c r="BC37" i="29"/>
  <c r="EP37" i="29" s="1"/>
  <c r="BC39" i="29"/>
  <c r="EP39" i="29" s="1"/>
  <c r="BB39" i="29"/>
  <c r="EO39" i="29" s="1"/>
  <c r="EG28" i="29"/>
  <c r="EF28" i="29"/>
  <c r="EH28" i="29" s="1"/>
  <c r="AE16" i="40"/>
  <c r="AC18" i="40"/>
  <c r="AC24" i="40"/>
  <c r="AC58" i="40"/>
  <c r="AE49" i="40"/>
  <c r="AE44" i="40"/>
  <c r="AC12" i="40"/>
  <c r="AC41" i="40"/>
  <c r="AC7" i="40"/>
  <c r="AC30" i="40"/>
  <c r="AC65" i="40"/>
  <c r="AC96" i="40"/>
  <c r="AC73" i="40"/>
  <c r="AC66" i="43"/>
  <c r="V39" i="23"/>
  <c r="CJ52" i="29"/>
  <c r="CO55" i="29"/>
  <c r="CP55" i="29"/>
  <c r="Y19" i="49" l="1"/>
  <c r="Y20" i="49"/>
  <c r="Y8" i="49"/>
  <c r="EL249" i="29"/>
  <c r="AA19" i="49"/>
  <c r="AC12" i="49"/>
  <c r="AB12" i="49"/>
  <c r="Z14" i="49"/>
  <c r="Y18" i="49"/>
  <c r="Y5" i="49"/>
  <c r="EN87" i="29"/>
  <c r="EN85" i="29"/>
  <c r="EN83" i="29"/>
  <c r="EM83" i="29"/>
  <c r="EM85" i="29"/>
  <c r="EM87" i="29"/>
  <c r="EC60" i="29"/>
  <c r="BS191" i="29" s="1"/>
  <c r="EE36" i="29"/>
  <c r="BY187" i="29"/>
  <c r="EC56" i="29"/>
  <c r="EC80" i="29" s="1"/>
  <c r="BY141" i="29"/>
  <c r="EC54" i="29"/>
  <c r="BS138" i="29" s="1"/>
  <c r="BY138" i="29"/>
  <c r="EC51" i="29"/>
  <c r="BS140" i="29" s="1"/>
  <c r="BY140" i="29"/>
  <c r="CF128" i="29"/>
  <c r="EE31" i="29"/>
  <c r="BY126" i="29"/>
  <c r="EE30" i="29"/>
  <c r="BY127" i="29"/>
  <c r="EQ65" i="29"/>
  <c r="ES278" i="29" s="1"/>
  <c r="P284" i="29"/>
  <c r="ER65" i="29"/>
  <c r="ET278" i="29" s="1"/>
  <c r="Q284" i="29"/>
  <c r="EQ64" i="29"/>
  <c r="ES249" i="29" s="1"/>
  <c r="Q256" i="29"/>
  <c r="ER63" i="29"/>
  <c r="ET248" i="29" s="1"/>
  <c r="R255" i="29"/>
  <c r="EQ63" i="29"/>
  <c r="ES248" i="29" s="1"/>
  <c r="Q255" i="29"/>
  <c r="ER59" i="29"/>
  <c r="N162" i="29"/>
  <c r="EQ59" i="29"/>
  <c r="ES151" i="29" s="1"/>
  <c r="N157" i="29"/>
  <c r="M157" i="29"/>
  <c r="ER53" i="29"/>
  <c r="EU107" i="29" s="1"/>
  <c r="R142" i="29"/>
  <c r="ER57" i="29"/>
  <c r="R136" i="29"/>
  <c r="EQ37" i="29"/>
  <c r="EP216" i="29" s="1"/>
  <c r="N219" i="29"/>
  <c r="EQ88" i="29"/>
  <c r="EM249" i="29" s="1"/>
  <c r="E249" i="29"/>
  <c r="D248" i="29"/>
  <c r="BD81" i="29"/>
  <c r="E101" i="29" s="1"/>
  <c r="BE81" i="29"/>
  <c r="ER81" i="29" s="1"/>
  <c r="ER88" i="29"/>
  <c r="EN249" i="29" s="1"/>
  <c r="BB87" i="29"/>
  <c r="EO87" i="29" s="1"/>
  <c r="BE50" i="29"/>
  <c r="EL87" i="29"/>
  <c r="BC87" i="29"/>
  <c r="EP87" i="29" s="1"/>
  <c r="EO88" i="29"/>
  <c r="EP88" i="29"/>
  <c r="BD50" i="29"/>
  <c r="Q135" i="29" s="1"/>
  <c r="EE34" i="29"/>
  <c r="ED58" i="29"/>
  <c r="EE58" i="29"/>
  <c r="ED60" i="29"/>
  <c r="EE60" i="29"/>
  <c r="EE56" i="29"/>
  <c r="ED56" i="29"/>
  <c r="ED54" i="29"/>
  <c r="EE54" i="29"/>
  <c r="ED51" i="29"/>
  <c r="EE51" i="29"/>
  <c r="EC30" i="29"/>
  <c r="ED30" i="29"/>
  <c r="EC36" i="29"/>
  <c r="ED36" i="29"/>
  <c r="EC34" i="29"/>
  <c r="BS157" i="29" s="1"/>
  <c r="ED34" i="29"/>
  <c r="EC31" i="29"/>
  <c r="ED31" i="29"/>
  <c r="CE52" i="29"/>
  <c r="EE52" i="29" s="1"/>
  <c r="CE55" i="29"/>
  <c r="BB82" i="29"/>
  <c r="BD82" i="29" s="1"/>
  <c r="E152" i="29" s="1"/>
  <c r="BB85" i="29"/>
  <c r="BD85" i="29" s="1"/>
  <c r="E216" i="29" s="1"/>
  <c r="BD35" i="29"/>
  <c r="BC83" i="29"/>
  <c r="BE83" i="29" s="1"/>
  <c r="F151" i="29" s="1"/>
  <c r="BB83" i="29"/>
  <c r="EO83" i="29" s="1"/>
  <c r="EL83" i="29"/>
  <c r="BC85" i="29"/>
  <c r="BE85" i="29" s="1"/>
  <c r="F216" i="29" s="1"/>
  <c r="EL85" i="29"/>
  <c r="BC82" i="29"/>
  <c r="BE82" i="29" s="1"/>
  <c r="F152" i="29" s="1"/>
  <c r="BE37" i="29"/>
  <c r="EO37" i="29"/>
  <c r="BE35" i="29"/>
  <c r="BD39" i="29"/>
  <c r="BE39" i="29"/>
  <c r="EL216" i="29" l="1"/>
  <c r="AA16" i="49"/>
  <c r="EL248" i="29"/>
  <c r="AA18" i="49"/>
  <c r="EL151" i="29"/>
  <c r="AA14" i="49"/>
  <c r="AC19" i="49"/>
  <c r="AB19" i="49"/>
  <c r="EN56" i="29"/>
  <c r="EN51" i="29"/>
  <c r="EN58" i="29"/>
  <c r="EN54" i="29"/>
  <c r="EN60" i="29"/>
  <c r="EM60" i="29"/>
  <c r="EM51" i="29"/>
  <c r="EM54" i="29"/>
  <c r="EM58" i="29"/>
  <c r="EM56" i="29"/>
  <c r="ET151" i="29"/>
  <c r="EC84" i="29"/>
  <c r="BS184" i="29" s="1"/>
  <c r="BS187" i="29"/>
  <c r="BS141" i="29"/>
  <c r="EC52" i="29"/>
  <c r="EC76" i="29" s="1"/>
  <c r="BY139" i="29"/>
  <c r="EC55" i="29"/>
  <c r="BS137" i="29" s="1"/>
  <c r="BY137" i="29"/>
  <c r="BS126" i="29"/>
  <c r="EC78" i="29"/>
  <c r="BS127" i="29"/>
  <c r="M156" i="29"/>
  <c r="ER50" i="29"/>
  <c r="EU100" i="29" s="1"/>
  <c r="R135" i="29"/>
  <c r="EQ50" i="29"/>
  <c r="ER39" i="29"/>
  <c r="EQ248" i="29" s="1"/>
  <c r="R251" i="29"/>
  <c r="EQ39" i="29"/>
  <c r="EP248" i="29" s="1"/>
  <c r="Q251" i="29"/>
  <c r="ER37" i="29"/>
  <c r="EQ216" i="29" s="1"/>
  <c r="O219" i="29"/>
  <c r="ER35" i="29"/>
  <c r="EQ151" i="29" s="1"/>
  <c r="N156" i="29"/>
  <c r="EQ35" i="29"/>
  <c r="EP151" i="29" s="1"/>
  <c r="F101" i="29"/>
  <c r="BD87" i="29"/>
  <c r="EQ81" i="29"/>
  <c r="ED84" i="29"/>
  <c r="EE80" i="29"/>
  <c r="EE84" i="29"/>
  <c r="EN34" i="29"/>
  <c r="EE82" i="29"/>
  <c r="EE78" i="29"/>
  <c r="ED78" i="29"/>
  <c r="EM34" i="29"/>
  <c r="ED82" i="29"/>
  <c r="ED80" i="29"/>
  <c r="BE87" i="29"/>
  <c r="F248" i="29" s="1"/>
  <c r="EL34" i="29"/>
  <c r="EO152" i="29" s="1"/>
  <c r="EC82" i="29"/>
  <c r="EQ85" i="29"/>
  <c r="EM216" i="29" s="1"/>
  <c r="ER85" i="29"/>
  <c r="EN216" i="29" s="1"/>
  <c r="ER83" i="29"/>
  <c r="EN151" i="29" s="1"/>
  <c r="ED52" i="29"/>
  <c r="EN52" i="29"/>
  <c r="ED55" i="29"/>
  <c r="EE55" i="29"/>
  <c r="EG60" i="29"/>
  <c r="EP60" i="29" s="1"/>
  <c r="EF60" i="29"/>
  <c r="EO60" i="29" s="1"/>
  <c r="EF58" i="29"/>
  <c r="EH58" i="29" s="1"/>
  <c r="EL60" i="29"/>
  <c r="EF51" i="29"/>
  <c r="EH51" i="29" s="1"/>
  <c r="EG31" i="29"/>
  <c r="EG51" i="29"/>
  <c r="EI51" i="29" s="1"/>
  <c r="EL51" i="29"/>
  <c r="X6" i="49" s="1"/>
  <c r="EF54" i="29"/>
  <c r="EH54" i="29" s="1"/>
  <c r="EL58" i="29"/>
  <c r="EF56" i="29"/>
  <c r="EO56" i="29" s="1"/>
  <c r="EG54" i="29"/>
  <c r="EI54" i="29" s="1"/>
  <c r="EL54" i="29"/>
  <c r="X9" i="49" s="1"/>
  <c r="EL56" i="29"/>
  <c r="X11" i="49" s="1"/>
  <c r="EG56" i="29"/>
  <c r="EP56" i="29" s="1"/>
  <c r="EG34" i="29"/>
  <c r="EI34" i="29" s="1"/>
  <c r="EG58" i="29"/>
  <c r="EP58" i="29" s="1"/>
  <c r="EF31" i="29"/>
  <c r="EF34" i="29"/>
  <c r="EH34" i="29" s="1"/>
  <c r="EG30" i="29"/>
  <c r="EF30" i="29"/>
  <c r="EO85" i="29"/>
  <c r="EP83" i="29"/>
  <c r="BD83" i="29"/>
  <c r="E151" i="29" s="1"/>
  <c r="EP85" i="29"/>
  <c r="Z31" i="23"/>
  <c r="Z32" i="23"/>
  <c r="Z33" i="23"/>
  <c r="Z38" i="23"/>
  <c r="Z34" i="23"/>
  <c r="Z35" i="23"/>
  <c r="AE35" i="23" l="1"/>
  <c r="AE34" i="23"/>
  <c r="AE38" i="23"/>
  <c r="AE33" i="23"/>
  <c r="AE32" i="23"/>
  <c r="AE31" i="23"/>
  <c r="AE30" i="23"/>
  <c r="AB14" i="49"/>
  <c r="AC14" i="49"/>
  <c r="AB18" i="49"/>
  <c r="AC18" i="49"/>
  <c r="AB16" i="49"/>
  <c r="AC16" i="49"/>
  <c r="ER184" i="29"/>
  <c r="X15" i="49"/>
  <c r="Z15" i="49" s="1"/>
  <c r="Y9" i="49"/>
  <c r="Z9" i="49"/>
  <c r="ER152" i="29"/>
  <c r="X13" i="49"/>
  <c r="Y13" i="49" s="1"/>
  <c r="Y6" i="49"/>
  <c r="Y11" i="49"/>
  <c r="Z6" i="49"/>
  <c r="Z11" i="49"/>
  <c r="EN78" i="29"/>
  <c r="EN82" i="29"/>
  <c r="EM82" i="29"/>
  <c r="EM78" i="29"/>
  <c r="EN55" i="29"/>
  <c r="EM52" i="29"/>
  <c r="EM55" i="29"/>
  <c r="ET107" i="29"/>
  <c r="ET100" i="29"/>
  <c r="EQ58" i="29"/>
  <c r="ES152" i="29" s="1"/>
  <c r="CE163" i="29"/>
  <c r="EQ34" i="29"/>
  <c r="EP152" i="29" s="1"/>
  <c r="CE157" i="29"/>
  <c r="ER34" i="29"/>
  <c r="EQ152" i="29" s="1"/>
  <c r="CF157" i="29"/>
  <c r="BS152" i="29"/>
  <c r="ER54" i="29"/>
  <c r="CG138" i="29"/>
  <c r="ER51" i="29"/>
  <c r="EU105" i="29" s="1"/>
  <c r="CG140" i="29"/>
  <c r="EQ54" i="29"/>
  <c r="CF138" i="29"/>
  <c r="EQ51" i="29"/>
  <c r="ET105" i="29" s="1"/>
  <c r="CF140" i="29"/>
  <c r="EL52" i="29"/>
  <c r="EL55" i="29"/>
  <c r="X10" i="49" s="1"/>
  <c r="BS139" i="29"/>
  <c r="EC79" i="29"/>
  <c r="AC35" i="23"/>
  <c r="EQ87" i="29"/>
  <c r="EM248" i="29" s="1"/>
  <c r="E248" i="29"/>
  <c r="EE79" i="29"/>
  <c r="EE76" i="29"/>
  <c r="ER87" i="29"/>
  <c r="EN248" i="29" s="1"/>
  <c r="ED76" i="29"/>
  <c r="ED79" i="29"/>
  <c r="ES106" i="29"/>
  <c r="ES103" i="29"/>
  <c r="ES105" i="29"/>
  <c r="ES101" i="29"/>
  <c r="EL82" i="29"/>
  <c r="BS106" i="29"/>
  <c r="EQ83" i="29"/>
  <c r="EM151" i="29" s="1"/>
  <c r="EF78" i="29"/>
  <c r="EG78" i="29"/>
  <c r="BS101" i="29"/>
  <c r="EI60" i="29"/>
  <c r="EH60" i="29"/>
  <c r="EO58" i="29"/>
  <c r="EG80" i="29"/>
  <c r="EF82" i="29"/>
  <c r="EO82" i="29" s="1"/>
  <c r="EG82" i="29"/>
  <c r="EP82" i="29" s="1"/>
  <c r="EF80" i="29"/>
  <c r="EO51" i="29"/>
  <c r="EO54" i="29"/>
  <c r="EH56" i="29"/>
  <c r="EP51" i="29"/>
  <c r="EP54" i="29"/>
  <c r="EF55" i="29"/>
  <c r="EO55" i="29" s="1"/>
  <c r="EG55" i="29"/>
  <c r="EP55" i="29" s="1"/>
  <c r="EI58" i="29"/>
  <c r="EI56" i="29"/>
  <c r="EF52" i="29"/>
  <c r="EO52" i="29" s="1"/>
  <c r="EG52" i="29"/>
  <c r="EI52" i="29" s="1"/>
  <c r="EP34" i="29"/>
  <c r="EO34" i="29"/>
  <c r="AD38" i="23"/>
  <c r="AC38" i="23"/>
  <c r="AC33" i="23"/>
  <c r="AD33" i="23"/>
  <c r="AD31" i="23"/>
  <c r="AC31" i="23"/>
  <c r="AC34" i="23"/>
  <c r="AD34" i="23"/>
  <c r="AD35" i="23"/>
  <c r="AC32" i="23"/>
  <c r="AD32" i="23"/>
  <c r="Z39" i="23"/>
  <c r="AG32" i="23" l="1"/>
  <c r="AG33" i="23"/>
  <c r="AG34" i="23"/>
  <c r="AG36" i="23"/>
  <c r="AG31" i="23"/>
  <c r="AG35" i="23"/>
  <c r="AG30" i="23"/>
  <c r="EL152" i="29"/>
  <c r="AA13" i="49"/>
  <c r="Y15" i="49"/>
  <c r="Y10" i="49"/>
  <c r="Z13" i="49"/>
  <c r="Z10" i="49"/>
  <c r="ES104" i="29"/>
  <c r="X7" i="49"/>
  <c r="Z7" i="49" s="1"/>
  <c r="EQ60" i="29"/>
  <c r="ES184" i="29" s="1"/>
  <c r="CF191" i="29"/>
  <c r="ER60" i="29"/>
  <c r="ET184" i="29" s="1"/>
  <c r="CG191" i="29"/>
  <c r="ER58" i="29"/>
  <c r="ET152" i="29" s="1"/>
  <c r="CF163" i="29"/>
  <c r="ER56" i="29"/>
  <c r="EU106" i="29" s="1"/>
  <c r="CG141" i="29"/>
  <c r="ER52" i="29"/>
  <c r="CG139" i="29"/>
  <c r="EQ56" i="29"/>
  <c r="ET106" i="29" s="1"/>
  <c r="CF141" i="29"/>
  <c r="ES102" i="29"/>
  <c r="EU101" i="29"/>
  <c r="EU103" i="29"/>
  <c r="BS102" i="29"/>
  <c r="EF76" i="29"/>
  <c r="EF79" i="29"/>
  <c r="EH82" i="29"/>
  <c r="BT152" i="29" s="1"/>
  <c r="EI82" i="29"/>
  <c r="BU152" i="29" s="1"/>
  <c r="EG79" i="29"/>
  <c r="EH55" i="29"/>
  <c r="EG76" i="29"/>
  <c r="EI55" i="29"/>
  <c r="EP52" i="29"/>
  <c r="EH52" i="29"/>
  <c r="Q45" i="35"/>
  <c r="M31" i="29" s="1"/>
  <c r="Q44" i="35"/>
  <c r="M26" i="29" s="1"/>
  <c r="BA26" i="29" s="1"/>
  <c r="Q53" i="35"/>
  <c r="M29" i="29" s="1"/>
  <c r="Q52" i="35"/>
  <c r="M41" i="29" s="1"/>
  <c r="Q46" i="35"/>
  <c r="M36" i="29" s="1"/>
  <c r="Q49" i="35"/>
  <c r="M27" i="29" s="1"/>
  <c r="Q48" i="35"/>
  <c r="M28" i="29" s="1"/>
  <c r="Q51" i="35"/>
  <c r="M32" i="29" s="1"/>
  <c r="AH36" i="23" l="1"/>
  <c r="AJ36" i="23"/>
  <c r="AI36" i="23"/>
  <c r="AI35" i="23"/>
  <c r="AJ35" i="23"/>
  <c r="AH35" i="23"/>
  <c r="AI31" i="23"/>
  <c r="AH31" i="23"/>
  <c r="AJ31" i="23"/>
  <c r="AJ33" i="23"/>
  <c r="AH33" i="23"/>
  <c r="AI33" i="23"/>
  <c r="AI34" i="23"/>
  <c r="AJ34" i="23"/>
  <c r="AH34" i="23"/>
  <c r="AJ32" i="23"/>
  <c r="AI32" i="23"/>
  <c r="AH32" i="23"/>
  <c r="AH30" i="23"/>
  <c r="AJ30" i="23"/>
  <c r="AI30" i="23"/>
  <c r="AB13" i="49"/>
  <c r="AC13" i="49"/>
  <c r="Y7" i="49"/>
  <c r="BA74" i="29"/>
  <c r="EN26" i="29"/>
  <c r="AY26" i="29"/>
  <c r="D124" i="29" s="1"/>
  <c r="AZ26" i="29"/>
  <c r="ER55" i="29"/>
  <c r="CG137" i="29"/>
  <c r="EQ52" i="29"/>
  <c r="ET104" i="29" s="1"/>
  <c r="CF139" i="29"/>
  <c r="EQ55" i="29"/>
  <c r="CF137" i="29"/>
  <c r="M124" i="29"/>
  <c r="BA41" i="29"/>
  <c r="M280" i="29"/>
  <c r="BA36" i="29"/>
  <c r="N187" i="29"/>
  <c r="BA28" i="29"/>
  <c r="M128" i="29"/>
  <c r="BA32" i="29"/>
  <c r="M130" i="29"/>
  <c r="BA27" i="29"/>
  <c r="M129" i="29"/>
  <c r="BA29" i="29"/>
  <c r="M131" i="29"/>
  <c r="BA31" i="29"/>
  <c r="M126" i="29"/>
  <c r="ET103" i="29"/>
  <c r="EU104" i="29"/>
  <c r="ET101" i="29"/>
  <c r="ER82" i="29"/>
  <c r="EN152" i="29" s="1"/>
  <c r="EQ82" i="29"/>
  <c r="EM152" i="29" s="1"/>
  <c r="AY29" i="29"/>
  <c r="AZ29" i="29"/>
  <c r="AY31" i="29"/>
  <c r="AZ31" i="29"/>
  <c r="AY32" i="29"/>
  <c r="AZ32" i="29"/>
  <c r="AY28" i="29"/>
  <c r="AZ28" i="29"/>
  <c r="AY27" i="29"/>
  <c r="AZ27" i="29"/>
  <c r="AY36" i="29"/>
  <c r="AZ36" i="29"/>
  <c r="AY41" i="29"/>
  <c r="AZ41" i="29"/>
  <c r="EG26" i="29"/>
  <c r="EI26" i="29" s="1"/>
  <c r="BA80" i="29" l="1"/>
  <c r="BA79" i="29"/>
  <c r="BA76" i="29"/>
  <c r="BA77" i="29"/>
  <c r="BA84" i="29"/>
  <c r="BA75" i="29"/>
  <c r="BA89" i="29"/>
  <c r="AZ79" i="29"/>
  <c r="AZ75" i="29"/>
  <c r="AZ77" i="29"/>
  <c r="AZ76" i="29"/>
  <c r="AZ89" i="29"/>
  <c r="AZ80" i="29"/>
  <c r="EM26" i="29"/>
  <c r="AZ84" i="29"/>
  <c r="AY74" i="29"/>
  <c r="EL26" i="29"/>
  <c r="AZ74" i="29"/>
  <c r="EU102" i="29"/>
  <c r="ET102" i="29"/>
  <c r="CG124" i="29"/>
  <c r="D187" i="29"/>
  <c r="AY75" i="29"/>
  <c r="EN74" i="29"/>
  <c r="AY89" i="29"/>
  <c r="D278" i="29" s="1"/>
  <c r="D280" i="29"/>
  <c r="AY84" i="29"/>
  <c r="D184" i="29" s="1"/>
  <c r="AY80" i="29"/>
  <c r="D130" i="29"/>
  <c r="AY76" i="29"/>
  <c r="D128" i="29"/>
  <c r="AY79" i="29"/>
  <c r="D126" i="29"/>
  <c r="D129" i="29"/>
  <c r="AY77" i="29"/>
  <c r="D131" i="29"/>
  <c r="BC26" i="29"/>
  <c r="BE26" i="29" s="1"/>
  <c r="BB26" i="29"/>
  <c r="BD26" i="29" s="1"/>
  <c r="EM41" i="29"/>
  <c r="EN41" i="29"/>
  <c r="EM32" i="29"/>
  <c r="EN32" i="29"/>
  <c r="EM29" i="29"/>
  <c r="EN29" i="29"/>
  <c r="EM30" i="29"/>
  <c r="EN30" i="29"/>
  <c r="EM28" i="29"/>
  <c r="EN28" i="29"/>
  <c r="EM31" i="29"/>
  <c r="EN31" i="29"/>
  <c r="U5" i="49" l="1"/>
  <c r="EN77" i="29"/>
  <c r="EN89" i="29"/>
  <c r="EN76" i="29"/>
  <c r="EN79" i="29"/>
  <c r="EN84" i="29"/>
  <c r="EN80" i="29"/>
  <c r="EM74" i="29"/>
  <c r="EM89" i="29"/>
  <c r="EM79" i="29"/>
  <c r="EM84" i="29"/>
  <c r="EM76" i="29"/>
  <c r="EM77" i="29"/>
  <c r="EM80" i="29"/>
  <c r="D100" i="29"/>
  <c r="EL74" i="29"/>
  <c r="AA5" i="49" s="1"/>
  <c r="R124" i="29"/>
  <c r="Q124" i="29"/>
  <c r="BB74" i="29"/>
  <c r="BD74" i="29" s="1"/>
  <c r="E100" i="29" s="1"/>
  <c r="BC74" i="29"/>
  <c r="D102" i="29"/>
  <c r="EP26" i="29"/>
  <c r="EO26" i="29"/>
  <c r="BC28" i="29"/>
  <c r="EP28" i="29" s="1"/>
  <c r="BB31" i="29"/>
  <c r="EO31" i="29" s="1"/>
  <c r="BB36" i="29"/>
  <c r="BB28" i="29"/>
  <c r="EO28" i="29" s="1"/>
  <c r="BC32" i="29"/>
  <c r="EP32" i="29" s="1"/>
  <c r="BC30" i="29"/>
  <c r="EP30" i="29" s="1"/>
  <c r="BB32" i="29"/>
  <c r="EO32" i="29" s="1"/>
  <c r="BB27" i="29"/>
  <c r="BB30" i="29"/>
  <c r="EO30" i="29" s="1"/>
  <c r="BC41" i="29"/>
  <c r="EP41" i="29" s="1"/>
  <c r="BC29" i="29"/>
  <c r="EP29" i="29" s="1"/>
  <c r="BB41" i="29"/>
  <c r="EO41" i="29" s="1"/>
  <c r="BB29" i="29"/>
  <c r="EO29" i="29" s="1"/>
  <c r="BC27" i="29"/>
  <c r="BC31" i="29"/>
  <c r="EP31" i="29" s="1"/>
  <c r="BC36" i="29"/>
  <c r="EH89" i="29"/>
  <c r="BT278" i="29" s="1"/>
  <c r="EI89" i="29"/>
  <c r="BU278" i="29" s="1"/>
  <c r="EH32" i="29"/>
  <c r="EI32" i="29"/>
  <c r="EH41" i="29"/>
  <c r="EI41" i="29"/>
  <c r="EI28" i="29"/>
  <c r="EH30" i="29"/>
  <c r="EI30" i="29"/>
  <c r="EH29" i="29"/>
  <c r="EI29" i="29"/>
  <c r="EH31" i="29"/>
  <c r="EI31" i="29"/>
  <c r="EL31" i="29"/>
  <c r="EL29" i="29"/>
  <c r="EL28" i="29"/>
  <c r="EL32" i="29"/>
  <c r="EL30" i="29"/>
  <c r="EL41" i="29"/>
  <c r="EO278" i="29" s="1"/>
  <c r="AB5" i="49" l="1"/>
  <c r="AC5" i="49"/>
  <c r="CF280" i="29"/>
  <c r="CE280" i="29"/>
  <c r="CG131" i="29"/>
  <c r="CF130" i="29"/>
  <c r="CF131" i="29"/>
  <c r="CG127" i="29"/>
  <c r="CF126" i="29"/>
  <c r="CG130" i="29"/>
  <c r="CF127" i="29"/>
  <c r="CG128" i="29"/>
  <c r="CG126" i="29"/>
  <c r="EP104" i="29"/>
  <c r="EP106" i="29"/>
  <c r="EP107" i="29"/>
  <c r="EP101" i="29"/>
  <c r="D105" i="29"/>
  <c r="D106" i="29"/>
  <c r="D107" i="29"/>
  <c r="D104" i="29"/>
  <c r="D103" i="29"/>
  <c r="EP74" i="29"/>
  <c r="BC77" i="29"/>
  <c r="EP77" i="29" s="1"/>
  <c r="BC76" i="29"/>
  <c r="EP76" i="29" s="1"/>
  <c r="BB76" i="29"/>
  <c r="EO76" i="29" s="1"/>
  <c r="BC84" i="29"/>
  <c r="BB89" i="29"/>
  <c r="EO89" i="29" s="1"/>
  <c r="BC79" i="29"/>
  <c r="EP79" i="29" s="1"/>
  <c r="BB84" i="29"/>
  <c r="BB79" i="29"/>
  <c r="EO79" i="29" s="1"/>
  <c r="BC78" i="29"/>
  <c r="EP78" i="29" s="1"/>
  <c r="BB78" i="29"/>
  <c r="EO78" i="29" s="1"/>
  <c r="BC80" i="29"/>
  <c r="EP80" i="29" s="1"/>
  <c r="BB77" i="29"/>
  <c r="EO77" i="29" s="1"/>
  <c r="BC75" i="29"/>
  <c r="BB75" i="29"/>
  <c r="BB80" i="29"/>
  <c r="EO80" i="29" s="1"/>
  <c r="BC89" i="29"/>
  <c r="EP89" i="29" s="1"/>
  <c r="EO74" i="29"/>
  <c r="BD31" i="29"/>
  <c r="BD30" i="29"/>
  <c r="BE29" i="29"/>
  <c r="BE32" i="29"/>
  <c r="BD29" i="29"/>
  <c r="BD32" i="29"/>
  <c r="BD41" i="29"/>
  <c r="BD36" i="29"/>
  <c r="BE27" i="29"/>
  <c r="BE41" i="29"/>
  <c r="BD27" i="29"/>
  <c r="BE28" i="29"/>
  <c r="BE36" i="29"/>
  <c r="BD28" i="29"/>
  <c r="BE31" i="29"/>
  <c r="BE30" i="29"/>
  <c r="ER26" i="29"/>
  <c r="ER100" i="29" s="1"/>
  <c r="EQ26" i="29"/>
  <c r="EQ100" i="29" s="1"/>
  <c r="EH76" i="29"/>
  <c r="EI76" i="29"/>
  <c r="EH80" i="29"/>
  <c r="EI80" i="29"/>
  <c r="EH78" i="29"/>
  <c r="EI78" i="29"/>
  <c r="EH79" i="29"/>
  <c r="BT102" i="29" s="1"/>
  <c r="EI79" i="29"/>
  <c r="EH77" i="29"/>
  <c r="EI77" i="29"/>
  <c r="EL89" i="29"/>
  <c r="EL76" i="29"/>
  <c r="AA7" i="49" s="1"/>
  <c r="EL78" i="29"/>
  <c r="AA9" i="49" s="1"/>
  <c r="EL79" i="29"/>
  <c r="AA10" i="49" s="1"/>
  <c r="EL80" i="29"/>
  <c r="AA11" i="49" s="1"/>
  <c r="EL77" i="29"/>
  <c r="AA8" i="49" s="1"/>
  <c r="F39" i="23"/>
  <c r="AC10" i="49" l="1"/>
  <c r="AB10" i="49"/>
  <c r="AB11" i="49"/>
  <c r="AC11" i="49"/>
  <c r="AC9" i="49"/>
  <c r="AB9" i="49"/>
  <c r="AB7" i="49"/>
  <c r="AC7" i="49"/>
  <c r="EL278" i="29"/>
  <c r="AA20" i="49"/>
  <c r="AB8" i="49"/>
  <c r="AC8" i="49"/>
  <c r="Q187" i="29"/>
  <c r="R187" i="29"/>
  <c r="Q129" i="29"/>
  <c r="R129" i="29"/>
  <c r="ER41" i="29"/>
  <c r="EQ278" i="29" s="1"/>
  <c r="Q280" i="29"/>
  <c r="EQ41" i="29"/>
  <c r="EP278" i="29" s="1"/>
  <c r="P280" i="29"/>
  <c r="EQ29" i="29"/>
  <c r="EQ107" i="29" s="1"/>
  <c r="Q131" i="29"/>
  <c r="ER29" i="29"/>
  <c r="ER107" i="29" s="1"/>
  <c r="R131" i="29"/>
  <c r="EQ31" i="29"/>
  <c r="Q126" i="29"/>
  <c r="EQ30" i="29"/>
  <c r="Q127" i="29"/>
  <c r="ER30" i="29"/>
  <c r="R127" i="29"/>
  <c r="ER31" i="29"/>
  <c r="R126" i="29"/>
  <c r="EQ28" i="29"/>
  <c r="EQ104" i="29" s="1"/>
  <c r="Q128" i="29"/>
  <c r="EQ32" i="29"/>
  <c r="EQ106" i="29" s="1"/>
  <c r="Q130" i="29"/>
  <c r="ER28" i="29"/>
  <c r="ER104" i="29" s="1"/>
  <c r="R128" i="29"/>
  <c r="ER32" i="29"/>
  <c r="ER106" i="29" s="1"/>
  <c r="R130" i="29"/>
  <c r="BT106" i="29"/>
  <c r="EM106" i="29"/>
  <c r="BU106" i="29"/>
  <c r="EM107" i="29"/>
  <c r="EM104" i="29"/>
  <c r="BU107" i="29"/>
  <c r="BT101" i="29"/>
  <c r="BT107" i="29"/>
  <c r="BU102" i="29"/>
  <c r="EM101" i="29"/>
  <c r="BU101" i="29"/>
  <c r="EQ101" i="29"/>
  <c r="ER101" i="29"/>
  <c r="EM100" i="29"/>
  <c r="BD80" i="29"/>
  <c r="E106" i="29" s="1"/>
  <c r="BE78" i="29"/>
  <c r="F103" i="29" s="1"/>
  <c r="BD89" i="29"/>
  <c r="E278" i="29" s="1"/>
  <c r="BE75" i="29"/>
  <c r="F105" i="29" s="1"/>
  <c r="BD75" i="29"/>
  <c r="E105" i="29" s="1"/>
  <c r="BE79" i="29"/>
  <c r="F102" i="29" s="1"/>
  <c r="BD78" i="29"/>
  <c r="E103" i="29" s="1"/>
  <c r="BD84" i="29"/>
  <c r="E184" i="29" s="1"/>
  <c r="BD79" i="29"/>
  <c r="E102" i="29" s="1"/>
  <c r="BE77" i="29"/>
  <c r="F107" i="29" s="1"/>
  <c r="BE84" i="29"/>
  <c r="F184" i="29" s="1"/>
  <c r="BD77" i="29"/>
  <c r="E107" i="29" s="1"/>
  <c r="BE76" i="29"/>
  <c r="F104" i="29" s="1"/>
  <c r="BD76" i="29"/>
  <c r="E104" i="29" s="1"/>
  <c r="BE80" i="29"/>
  <c r="F106" i="29" s="1"/>
  <c r="BE89" i="29"/>
  <c r="F278" i="29" s="1"/>
  <c r="BE74" i="29"/>
  <c r="F100" i="29" s="1"/>
  <c r="AC20" i="49" l="1"/>
  <c r="AB20" i="49"/>
  <c r="EQ89" i="29"/>
  <c r="EM278" i="29" s="1"/>
  <c r="ER77" i="29"/>
  <c r="ER78" i="29"/>
  <c r="EQ79" i="29"/>
  <c r="EQ80" i="29"/>
  <c r="ER89" i="29"/>
  <c r="EN278" i="29" s="1"/>
  <c r="ER80" i="29"/>
  <c r="EQ78" i="29"/>
  <c r="EQ76" i="29"/>
  <c r="ER79" i="29"/>
  <c r="ER76" i="29"/>
  <c r="EQ77" i="29"/>
  <c r="ER74" i="29"/>
  <c r="EQ74" i="29"/>
  <c r="EN107" i="29" l="1"/>
  <c r="EO100" i="29"/>
  <c r="EO104" i="29"/>
  <c r="EN106" i="29"/>
  <c r="EO107" i="29"/>
  <c r="EN100" i="29"/>
  <c r="EO106" i="29"/>
  <c r="EN104" i="29"/>
  <c r="EO101" i="29"/>
  <c r="EN101" i="29"/>
  <c r="EG38" i="29"/>
  <c r="EP38" i="29" s="1"/>
  <c r="EN38" i="29"/>
  <c r="EF38" i="29"/>
  <c r="EO38" i="29" s="1"/>
  <c r="EM38" i="29"/>
  <c r="EL38" i="29"/>
  <c r="EO217" i="29" s="1"/>
  <c r="EG86" i="29" l="1"/>
  <c r="EP86" i="29" s="1"/>
  <c r="EG36" i="29"/>
  <c r="EP36" i="29" s="1"/>
  <c r="EN36" i="29"/>
  <c r="EF36" i="29"/>
  <c r="EO36" i="29" s="1"/>
  <c r="EM36" i="29"/>
  <c r="EF86" i="29"/>
  <c r="EO86" i="29" s="1"/>
  <c r="EI38" i="29"/>
  <c r="EH38" i="29"/>
  <c r="EL86" i="29"/>
  <c r="EL36" i="29"/>
  <c r="EO184" i="29" s="1"/>
  <c r="EL217" i="29" l="1"/>
  <c r="AA17" i="49"/>
  <c r="EQ38" i="29"/>
  <c r="EP217" i="29" s="1"/>
  <c r="CD220" i="29"/>
  <c r="ER38" i="29"/>
  <c r="EQ217" i="29" s="1"/>
  <c r="CE220" i="29"/>
  <c r="EG84" i="29"/>
  <c r="EP84" i="29" s="1"/>
  <c r="EF84" i="29"/>
  <c r="EO84" i="29" s="1"/>
  <c r="EH86" i="29"/>
  <c r="BT217" i="29" s="1"/>
  <c r="EI86" i="29"/>
  <c r="BU217" i="29" s="1"/>
  <c r="EH36" i="29"/>
  <c r="EI36" i="29"/>
  <c r="EL84" i="29"/>
  <c r="E16" i="23"/>
  <c r="EL184" i="29" l="1"/>
  <c r="AA15" i="49"/>
  <c r="AC17" i="49"/>
  <c r="AB17" i="49"/>
  <c r="EQ36" i="29"/>
  <c r="EP184" i="29" s="1"/>
  <c r="CF187" i="29"/>
  <c r="ER36" i="29"/>
  <c r="EQ184" i="29" s="1"/>
  <c r="CG187" i="29"/>
  <c r="ER86" i="29"/>
  <c r="EN217" i="29" s="1"/>
  <c r="EQ86" i="29"/>
  <c r="EM217" i="29" s="1"/>
  <c r="EH84" i="29"/>
  <c r="BT184" i="29" s="1"/>
  <c r="EI84" i="29"/>
  <c r="BU184" i="29" s="1"/>
  <c r="E17" i="23"/>
  <c r="E35" i="23" s="1"/>
  <c r="D25" i="23"/>
  <c r="C25" i="23"/>
  <c r="E32" i="23"/>
  <c r="E15" i="23"/>
  <c r="AC15" i="49" l="1"/>
  <c r="AB15" i="49"/>
  <c r="ER84" i="29"/>
  <c r="EN184" i="29" s="1"/>
  <c r="EQ84" i="29"/>
  <c r="EM184" i="29" s="1"/>
  <c r="E24" i="23"/>
  <c r="G32" i="23"/>
  <c r="E30" i="23"/>
  <c r="C34" i="23"/>
  <c r="C37" i="23"/>
  <c r="C36" i="23"/>
  <c r="C35" i="23"/>
  <c r="C33" i="23"/>
  <c r="C30" i="23"/>
  <c r="C38" i="23"/>
  <c r="D35" i="23"/>
  <c r="D30" i="23"/>
  <c r="D34" i="23"/>
  <c r="G30" i="23" l="1"/>
  <c r="G35" i="23"/>
  <c r="G36" i="23"/>
  <c r="G34" i="23"/>
  <c r="G37" i="23"/>
  <c r="E39" i="23"/>
  <c r="G38" i="23"/>
  <c r="D39" i="23"/>
  <c r="C39" i="23"/>
  <c r="G33" i="23"/>
  <c r="G39" i="23" l="1"/>
  <c r="J38" i="23" s="1"/>
  <c r="J36" i="23" l="1"/>
  <c r="J37" i="23"/>
  <c r="J34" i="23"/>
  <c r="J35" i="23"/>
  <c r="J32" i="23"/>
  <c r="J33" i="23"/>
  <c r="I38" i="23"/>
  <c r="J30" i="23"/>
  <c r="I36" i="23"/>
  <c r="I37" i="23"/>
  <c r="I34" i="23"/>
  <c r="I35" i="23"/>
  <c r="I32" i="23"/>
  <c r="I33" i="23"/>
  <c r="H36" i="23"/>
  <c r="I30" i="23"/>
  <c r="H30" i="23"/>
  <c r="H35" i="23"/>
  <c r="H37" i="23"/>
  <c r="H34" i="23"/>
  <c r="H38" i="23"/>
  <c r="H32" i="23"/>
  <c r="H33" i="23"/>
  <c r="K36" i="23" l="1"/>
  <c r="L36" i="23"/>
  <c r="M33" i="23"/>
  <c r="M32" i="23"/>
  <c r="M37" i="23"/>
  <c r="M30" i="23"/>
  <c r="M38" i="23"/>
  <c r="M36" i="23"/>
  <c r="M34" i="23"/>
  <c r="M35" i="23"/>
  <c r="K30" i="23"/>
  <c r="L30" i="23"/>
  <c r="K38" i="23"/>
  <c r="L38" i="23"/>
  <c r="K35" i="23"/>
  <c r="L35" i="23"/>
  <c r="L32" i="23"/>
  <c r="K32" i="23"/>
  <c r="L34" i="23"/>
  <c r="K34" i="23"/>
  <c r="L37" i="23"/>
  <c r="K37" i="23"/>
  <c r="H39" i="23"/>
  <c r="L33" i="23"/>
  <c r="K33" i="23"/>
  <c r="O30" i="23" l="1"/>
  <c r="O33" i="23"/>
  <c r="R33" i="23" s="1"/>
  <c r="O36" i="23"/>
  <c r="R36" i="23" s="1"/>
  <c r="O37" i="23"/>
  <c r="R37" i="23" s="1"/>
  <c r="O34" i="23"/>
  <c r="R34" i="23" s="1"/>
  <c r="O35" i="23"/>
  <c r="R35" i="23" s="1"/>
  <c r="O32" i="23"/>
  <c r="R32" i="23" s="1"/>
  <c r="O31" i="23"/>
  <c r="R31" i="23" s="1"/>
  <c r="AH23" i="10"/>
  <c r="CA27" i="29" s="1"/>
  <c r="R30" i="23" l="1"/>
  <c r="Q30" i="23"/>
  <c r="P36" i="23"/>
  <c r="Q36" i="23"/>
  <c r="P31" i="23"/>
  <c r="Q31" i="23"/>
  <c r="P35" i="23"/>
  <c r="Q35" i="23"/>
  <c r="P32" i="23"/>
  <c r="Q32" i="23"/>
  <c r="P34" i="23"/>
  <c r="Q34" i="23"/>
  <c r="P37" i="23"/>
  <c r="Q37" i="23"/>
  <c r="P33" i="23"/>
  <c r="Q33" i="23"/>
  <c r="P30" i="23"/>
  <c r="EE27" i="29"/>
  <c r="CD129" i="29"/>
  <c r="EC27" i="29"/>
  <c r="ED27" i="29"/>
  <c r="EE75" i="29" l="1"/>
  <c r="EN27" i="29"/>
  <c r="EC75" i="29"/>
  <c r="BS105" i="29" s="1"/>
  <c r="BS129" i="29"/>
  <c r="EM27" i="29"/>
  <c r="ED75" i="29"/>
  <c r="EG27" i="29"/>
  <c r="EF27" i="29"/>
  <c r="EL27" i="29"/>
  <c r="EP105" i="29" s="1"/>
  <c r="EN75" i="29" l="1"/>
  <c r="EM75" i="29"/>
  <c r="BS104" i="29"/>
  <c r="EP103" i="29"/>
  <c r="EP102" i="29"/>
  <c r="BS103" i="29"/>
  <c r="EH27" i="29"/>
  <c r="EO27" i="29"/>
  <c r="EI27" i="29"/>
  <c r="EP27" i="29"/>
  <c r="EG75" i="29"/>
  <c r="EF75" i="29"/>
  <c r="EL75" i="29"/>
  <c r="EM105" i="29" l="1"/>
  <c r="AA6" i="49"/>
  <c r="ER27" i="29"/>
  <c r="ER105" i="29" s="1"/>
  <c r="CG129" i="29"/>
  <c r="EQ27" i="29"/>
  <c r="EQ105" i="29" s="1"/>
  <c r="CF129" i="29"/>
  <c r="EQ103" i="29"/>
  <c r="EQ102" i="29"/>
  <c r="EM103" i="29"/>
  <c r="EM102" i="29"/>
  <c r="ER103" i="29"/>
  <c r="ER102" i="29"/>
  <c r="EH75" i="29"/>
  <c r="BT105" i="29" s="1"/>
  <c r="EO75" i="29"/>
  <c r="EI75" i="29"/>
  <c r="BU105" i="29" s="1"/>
  <c r="EP75" i="29"/>
  <c r="AC6" i="49" l="1"/>
  <c r="AB6" i="49"/>
  <c r="BT103" i="29"/>
  <c r="BT104" i="29"/>
  <c r="BU103" i="29"/>
  <c r="BU104" i="29"/>
  <c r="ER75" i="29"/>
  <c r="EO105" i="29" s="1"/>
  <c r="BU100" i="29"/>
  <c r="EQ75" i="29"/>
  <c r="EN105" i="29" s="1"/>
  <c r="BT100" i="29"/>
  <c r="EN103" i="29" l="1"/>
  <c r="EN102" i="29"/>
  <c r="EO103" i="29"/>
  <c r="EO102" i="29"/>
  <c r="L17" i="49" l="1"/>
  <c r="L12" i="49"/>
  <c r="L19" i="49"/>
  <c r="R17" i="49" l="1"/>
  <c r="O19" i="49"/>
  <c r="M19" i="49"/>
  <c r="N19" i="49"/>
  <c r="O8" i="49"/>
  <c r="O14" i="49"/>
  <c r="N12" i="49"/>
  <c r="M12" i="49"/>
  <c r="O12" i="49"/>
  <c r="O18" i="49"/>
  <c r="N17" i="49"/>
  <c r="M17" i="49"/>
  <c r="O20" i="49"/>
  <c r="L8" i="49" l="1"/>
  <c r="R12" i="49"/>
  <c r="Q8" i="49"/>
  <c r="P8" i="49"/>
  <c r="L20" i="49"/>
  <c r="Q12" i="49"/>
  <c r="P12" i="49"/>
  <c r="L14" i="49"/>
  <c r="R19" i="49"/>
  <c r="Q20" i="49"/>
  <c r="P20" i="49"/>
  <c r="L11" i="49"/>
  <c r="O5" i="49"/>
  <c r="P19" i="49"/>
  <c r="Q19" i="49"/>
  <c r="L18" i="49"/>
  <c r="Q14" i="49"/>
  <c r="P14" i="49"/>
  <c r="S17" i="49"/>
  <c r="T17" i="49"/>
  <c r="L16" i="49"/>
  <c r="Q18" i="49"/>
  <c r="P18" i="49"/>
  <c r="R18" i="49" l="1"/>
  <c r="M18" i="49"/>
  <c r="N18" i="49"/>
  <c r="M20" i="49"/>
  <c r="N20" i="49"/>
  <c r="C19" i="49"/>
  <c r="R20" i="49"/>
  <c r="N16" i="49"/>
  <c r="M16" i="49"/>
  <c r="T19" i="49"/>
  <c r="S19" i="49"/>
  <c r="R8" i="49"/>
  <c r="Q5" i="49"/>
  <c r="P5" i="49"/>
  <c r="N14" i="49"/>
  <c r="M14" i="49"/>
  <c r="S12" i="49"/>
  <c r="T12" i="49"/>
  <c r="C12" i="49"/>
  <c r="R14" i="49"/>
  <c r="M11" i="49"/>
  <c r="N11" i="49"/>
  <c r="N8" i="49"/>
  <c r="M8" i="49"/>
  <c r="C17" i="49"/>
  <c r="R16" i="49"/>
  <c r="E12" i="49" l="1"/>
  <c r="D12" i="49"/>
  <c r="S20" i="49"/>
  <c r="T20" i="49"/>
  <c r="T18" i="49"/>
  <c r="S18" i="49"/>
  <c r="I17" i="49"/>
  <c r="S8" i="49"/>
  <c r="T8" i="49"/>
  <c r="D19" i="49"/>
  <c r="E19" i="49"/>
  <c r="S16" i="49"/>
  <c r="T16" i="49"/>
  <c r="S14" i="49"/>
  <c r="T14" i="49"/>
  <c r="R5" i="49"/>
  <c r="E17" i="49"/>
  <c r="D17" i="49"/>
  <c r="M5" i="49"/>
  <c r="N5" i="49"/>
  <c r="F12" i="49" l="1"/>
  <c r="F8" i="49"/>
  <c r="F20" i="49"/>
  <c r="K17" i="49"/>
  <c r="J17" i="49"/>
  <c r="F14" i="49"/>
  <c r="F18" i="49"/>
  <c r="F15" i="49"/>
  <c r="F19" i="49"/>
  <c r="S5" i="49"/>
  <c r="T5" i="49"/>
  <c r="U19" i="49"/>
  <c r="U12" i="49"/>
  <c r="G14" i="49" l="1"/>
  <c r="H14" i="49"/>
  <c r="V12" i="49"/>
  <c r="W12" i="49"/>
  <c r="I19" i="49"/>
  <c r="H19" i="49"/>
  <c r="G19" i="49"/>
  <c r="E9" i="49"/>
  <c r="D9" i="49"/>
  <c r="H20" i="49"/>
  <c r="G20" i="49"/>
  <c r="I12" i="49"/>
  <c r="H15" i="49"/>
  <c r="G15" i="49"/>
  <c r="V19" i="49"/>
  <c r="W19" i="49"/>
  <c r="H18" i="49"/>
  <c r="G18" i="49"/>
  <c r="H8" i="49"/>
  <c r="G8" i="49"/>
  <c r="G12" i="49"/>
  <c r="H12" i="49"/>
  <c r="F5" i="49"/>
  <c r="F9" i="49" l="1"/>
  <c r="F11" i="49"/>
  <c r="F7" i="49"/>
  <c r="F13" i="49"/>
  <c r="J12" i="49"/>
  <c r="K12" i="49"/>
  <c r="K19" i="49"/>
  <c r="J19" i="49"/>
  <c r="F10" i="49"/>
  <c r="L7" i="49"/>
  <c r="C13" i="49"/>
  <c r="H5" i="49"/>
  <c r="G5" i="49"/>
  <c r="C16" i="49"/>
  <c r="F6" i="49"/>
  <c r="C14" i="49"/>
  <c r="C18" i="49"/>
  <c r="E14" i="49" l="1"/>
  <c r="D14" i="49"/>
  <c r="I18" i="49"/>
  <c r="H6" i="49"/>
  <c r="G6" i="49"/>
  <c r="M7" i="49"/>
  <c r="N7" i="49"/>
  <c r="G13" i="49"/>
  <c r="H13" i="49"/>
  <c r="G7" i="49"/>
  <c r="H7" i="49"/>
  <c r="I14" i="49"/>
  <c r="E16" i="49"/>
  <c r="D16" i="49"/>
  <c r="G10" i="49"/>
  <c r="H10" i="49"/>
  <c r="I16" i="49"/>
  <c r="E18" i="49"/>
  <c r="D18" i="49"/>
  <c r="H11" i="49"/>
  <c r="G11" i="49"/>
  <c r="H9" i="49"/>
  <c r="G9" i="49"/>
  <c r="D13" i="49"/>
  <c r="E13" i="49"/>
  <c r="K14" i="49" l="1"/>
  <c r="J14" i="49"/>
  <c r="J16" i="49"/>
  <c r="K16" i="49"/>
  <c r="K9" i="49"/>
  <c r="J9" i="49"/>
  <c r="K18" i="49"/>
  <c r="J18" i="49"/>
  <c r="O13" i="49" l="1"/>
  <c r="U14" i="49"/>
  <c r="U16" i="49"/>
  <c r="U18" i="49"/>
  <c r="I13" i="49"/>
  <c r="J13" i="49" l="1"/>
  <c r="K13" i="49"/>
  <c r="P13" i="49"/>
  <c r="Q13" i="49"/>
  <c r="V18" i="49"/>
  <c r="W18" i="49"/>
  <c r="W16" i="49"/>
  <c r="V16" i="49"/>
  <c r="W14" i="49"/>
  <c r="V14" i="49"/>
  <c r="O11" i="49" l="1"/>
  <c r="O15" i="49"/>
  <c r="L15" i="49"/>
  <c r="L10" i="49"/>
  <c r="L13" i="49"/>
  <c r="O6" i="49"/>
  <c r="O9" i="49"/>
  <c r="L9" i="49"/>
  <c r="M13" i="49" l="1"/>
  <c r="N13" i="49"/>
  <c r="Q11" i="49"/>
  <c r="P11" i="49"/>
  <c r="M9" i="49"/>
  <c r="N9" i="49"/>
  <c r="M10" i="49"/>
  <c r="N10" i="49"/>
  <c r="P9" i="49"/>
  <c r="Q9" i="49"/>
  <c r="M15" i="49"/>
  <c r="N15" i="49"/>
  <c r="O10" i="49"/>
  <c r="R13" i="49"/>
  <c r="O7" i="49"/>
  <c r="Q6" i="49"/>
  <c r="P6" i="49"/>
  <c r="Q15" i="49"/>
  <c r="P15" i="49"/>
  <c r="U13" i="49"/>
  <c r="R15" i="49"/>
  <c r="R9" i="49"/>
  <c r="R11" i="49"/>
  <c r="R10" i="49" l="1"/>
  <c r="V13" i="49"/>
  <c r="W13" i="49"/>
  <c r="T13" i="49"/>
  <c r="S13" i="49"/>
  <c r="S11" i="49"/>
  <c r="T11" i="49"/>
  <c r="P10" i="49"/>
  <c r="Q10" i="49"/>
  <c r="R7" i="49"/>
  <c r="S9" i="49"/>
  <c r="T9" i="49"/>
  <c r="T15" i="49"/>
  <c r="S15" i="49"/>
  <c r="Q7" i="49"/>
  <c r="P7" i="49"/>
  <c r="T7" i="49" l="1"/>
  <c r="S7" i="49"/>
  <c r="T10" i="49"/>
  <c r="S10" i="49"/>
  <c r="C5" i="49"/>
  <c r="C10" i="49" l="1"/>
  <c r="C6" i="49"/>
  <c r="E5" i="49"/>
  <c r="D5" i="49"/>
  <c r="C7" i="49"/>
  <c r="C15" i="49"/>
  <c r="C20" i="49"/>
  <c r="C8" i="49"/>
  <c r="C11" i="49"/>
  <c r="I5" i="49"/>
  <c r="I6" i="49" l="1"/>
  <c r="E11" i="49"/>
  <c r="D11" i="49"/>
  <c r="E7" i="49"/>
  <c r="D7" i="49"/>
  <c r="I7" i="49"/>
  <c r="I20" i="49"/>
  <c r="I8" i="49"/>
  <c r="E8" i="49"/>
  <c r="D8" i="49"/>
  <c r="I11" i="49"/>
  <c r="I10" i="49"/>
  <c r="D20" i="49"/>
  <c r="E20" i="49"/>
  <c r="D6" i="49"/>
  <c r="E6" i="49"/>
  <c r="I15" i="49"/>
  <c r="K5" i="49"/>
  <c r="J5" i="49"/>
  <c r="E15" i="49"/>
  <c r="D15" i="49"/>
  <c r="D10" i="49"/>
  <c r="E10" i="49"/>
  <c r="U20" i="49" l="1"/>
  <c r="J8" i="49"/>
  <c r="K8" i="49"/>
  <c r="U10" i="49"/>
  <c r="J15" i="49"/>
  <c r="K15" i="49"/>
  <c r="K10" i="49"/>
  <c r="J10" i="49"/>
  <c r="K20" i="49"/>
  <c r="J20" i="49"/>
  <c r="U9" i="49"/>
  <c r="U11" i="49"/>
  <c r="U7" i="49"/>
  <c r="J6" i="49"/>
  <c r="K6" i="49"/>
  <c r="U8" i="49"/>
  <c r="W5" i="49"/>
  <c r="V5" i="49"/>
  <c r="K11" i="49"/>
  <c r="J11" i="49"/>
  <c r="K7" i="49"/>
  <c r="J7" i="49"/>
  <c r="W11" i="49" l="1"/>
  <c r="V11" i="49"/>
  <c r="V8" i="49"/>
  <c r="W8" i="49"/>
  <c r="W9" i="49"/>
  <c r="V9" i="49"/>
  <c r="W10" i="49"/>
  <c r="V10" i="49"/>
  <c r="V7" i="49"/>
  <c r="W7" i="49"/>
  <c r="W20" i="49"/>
  <c r="V20" i="49"/>
  <c r="U17" i="49" l="1"/>
  <c r="U15" i="49" l="1"/>
  <c r="W17" i="49"/>
  <c r="V17" i="49"/>
  <c r="V15" i="49" l="1"/>
  <c r="W15" i="49"/>
  <c r="L6" i="49" l="1"/>
  <c r="R6" i="49" l="1"/>
  <c r="U6" i="49"/>
  <c r="M6" i="49"/>
  <c r="N6" i="49"/>
  <c r="V6" i="49" l="1"/>
  <c r="W6" i="49"/>
  <c r="T6" i="49"/>
  <c r="S6" i="49"/>
</calcChain>
</file>

<file path=xl/comments1.xml><?xml version="1.0" encoding="utf-8"?>
<comments xmlns="http://schemas.openxmlformats.org/spreadsheetml/2006/main">
  <authors>
    <author>Paul Metcalfe</author>
  </authors>
  <commentList>
    <comment ref="G21" authorId="0" shapeId="0">
      <text>
        <r>
          <rPr>
            <b/>
            <sz val="9"/>
            <color indexed="81"/>
            <rFont val="Tahoma"/>
            <family val="2"/>
          </rPr>
          <t>Paul Metcalfe:</t>
        </r>
        <r>
          <rPr>
            <sz val="9"/>
            <color indexed="81"/>
            <rFont val="Tahoma"/>
            <family val="2"/>
          </rPr>
          <t xml:space="preserve">
Service level consistent with 'Attribute grid' page, whereas 'WTP (Current bill)' page said 1/13 not 1/15</t>
        </r>
      </text>
    </comment>
  </commentList>
</comments>
</file>

<file path=xl/comments2.xml><?xml version="1.0" encoding="utf-8"?>
<comments xmlns="http://schemas.openxmlformats.org/spreadsheetml/2006/main">
  <authors>
    <author>Paul Metcalfe</author>
  </authors>
  <commentList>
    <comment ref="G14" authorId="0" shapeId="0">
      <text>
        <r>
          <rPr>
            <b/>
            <sz val="9"/>
            <color indexed="81"/>
            <rFont val="Tahoma"/>
            <family val="2"/>
          </rPr>
          <t>Paul Metcalfe:</t>
        </r>
        <r>
          <rPr>
            <sz val="9"/>
            <color indexed="81"/>
            <rFont val="Tahoma"/>
            <family val="2"/>
          </rPr>
          <t xml:space="preserve">
Service level consistent with 'Attribute grid' page, whereas 'WTP (Current bill)' page said 1/13 not 1/15</t>
        </r>
      </text>
    </comment>
  </commentList>
</comments>
</file>

<file path=xl/comments3.xml><?xml version="1.0" encoding="utf-8"?>
<comments xmlns="http://schemas.openxmlformats.org/spreadsheetml/2006/main">
  <authors>
    <author>Paul Metcalfe</author>
  </authors>
  <commentList>
    <comment ref="J349" authorId="0" shapeId="0">
      <text>
        <r>
          <rPr>
            <b/>
            <sz val="9"/>
            <color indexed="81"/>
            <rFont val="Tahoma"/>
            <family val="2"/>
          </rPr>
          <t>Paul Metcalfe:</t>
        </r>
        <r>
          <rPr>
            <sz val="9"/>
            <color indexed="81"/>
            <rFont val="Tahoma"/>
            <family val="2"/>
          </rPr>
          <t xml:space="preserve">
Assumes i unterruption=</t>
        </r>
      </text>
    </comment>
  </commentList>
</comments>
</file>

<file path=xl/sharedStrings.xml><?xml version="1.0" encoding="utf-8"?>
<sst xmlns="http://schemas.openxmlformats.org/spreadsheetml/2006/main" count="5706" uniqueCount="1095">
  <si>
    <t>www.pjmeconomics.co.uk</t>
  </si>
  <si>
    <t>Date last modified</t>
  </si>
  <si>
    <t>Last modified by</t>
  </si>
  <si>
    <t>Leakage</t>
  </si>
  <si>
    <t>Attribute units</t>
  </si>
  <si>
    <t>Attribute levels</t>
  </si>
  <si>
    <t>Definition</t>
  </si>
  <si>
    <t>Description</t>
  </si>
  <si>
    <t>Units of measurement</t>
  </si>
  <si>
    <t>HH</t>
  </si>
  <si>
    <t>Discoloured tap water</t>
  </si>
  <si>
    <t>Taste and smell of tap water</t>
  </si>
  <si>
    <t>Unexpected supply interruption lasting 3 to 6 hours</t>
  </si>
  <si>
    <t>Unexpected supply interruption lasting 0 to 3 hours</t>
  </si>
  <si>
    <t>Unexpected supply interruption lasting 6 to 12 hours</t>
  </si>
  <si>
    <t>Unexpected supply interruption lasting 12 to 24 hours</t>
  </si>
  <si>
    <t>Unexpected supply interruption lasting 24 to 48 hours</t>
  </si>
  <si>
    <t>Water is discoloured for a week at a time without warning. Usually the tap water is brown in colour. Although this is very unlikely to be harmful to your health, you may choose not to drink it. It can also stain clothes in washing machines.Running the tap for several minutes will not remove the discolouration.Discolouration occurs due to water mains pipes being repaired or because of rust occurring over time in some pipes that are made from iron.</t>
  </si>
  <si>
    <t>Dissolved minerals in drinking water can affect taste and smell. This may be caused by the treatment of the water. When this occurs water has a taste and smell that is not ideal for a week at a time, but it is safe to drink. The problem is persistent, which means that it will occur regularly. Running the tap for several minutes does not remove the taste or smell. Different properties are affected each year.</t>
  </si>
  <si>
    <t>Leaks occur due to cracks in pipes or corrosion as they age. South Staffs Water can reduce leakage by investing to find the leaks faster and repairing them quicker. South Staffs Water can minimise the disruption by using technology that avoids digging up roads. Reducing leakage will have minimal impact on the environment.</t>
  </si>
  <si>
    <t>Per property per year</t>
  </si>
  <si>
    <t xml:space="preserve">Source </t>
  </si>
  <si>
    <t>Per property supplied</t>
  </si>
  <si>
    <t>Number of properties</t>
  </si>
  <si>
    <t>Attribute</t>
  </si>
  <si>
    <t>Discoloured water</t>
  </si>
  <si>
    <t>Chance</t>
  </si>
  <si>
    <t xml:space="preserve">Leakage </t>
  </si>
  <si>
    <t>Temporary use ban</t>
  </si>
  <si>
    <t>SSW1-Table 3.2</t>
  </si>
  <si>
    <t>SSW1-Table 6.4 and Table 6.6</t>
  </si>
  <si>
    <t>Internal sewer flooding</t>
  </si>
  <si>
    <t>1 in 10 years</t>
  </si>
  <si>
    <t>1 in 15 years</t>
  </si>
  <si>
    <t>1 in 20 years</t>
  </si>
  <si>
    <t>1 property</t>
  </si>
  <si>
    <t>N/A</t>
  </si>
  <si>
    <t>File name</t>
  </si>
  <si>
    <t>Comparative Review of Willingness to Pay Results (Accent and PJM)-June 2014</t>
  </si>
  <si>
    <t>SSW</t>
  </si>
  <si>
    <t>N</t>
  </si>
  <si>
    <t>Providing a high quality water supply that is always safe to drink</t>
  </si>
  <si>
    <t>Making sure water always comes out of the tap - ie no supply interruptions</t>
  </si>
  <si>
    <t>Offering fair and accurate billing</t>
  </si>
  <si>
    <t>Offering great customer service</t>
  </si>
  <si>
    <t>Educating customers on how to use water more responsibly (and save money)</t>
  </si>
  <si>
    <t>Keeping customers regularly updated about our plans and how changes might impact on them</t>
  </si>
  <si>
    <t>Reducing the amount of water that leaks from our pipes</t>
  </si>
  <si>
    <t>Ensuring we manage our company finances carefully</t>
  </si>
  <si>
    <t>Having plans in place to ensure we have enough water for a growing population</t>
  </si>
  <si>
    <t>Investing in new technology and ways of working that help customers better control their water usage: such as smart meters &amp; apps</t>
  </si>
  <si>
    <t>Making sure we balance offering affordable bills against the need to invest in our network for the long-term</t>
  </si>
  <si>
    <t>Managing the impact of climate change – such as increased heavy rainfall leading to flooding, burst pipes due to extreme temperatures</t>
  </si>
  <si>
    <t>Protecting and improving the natural environment for wildlife and plants</t>
  </si>
  <si>
    <t>Installing systems that capture rainwater and non-toxic used water for use in flushing toilets and the garden</t>
  </si>
  <si>
    <t>Assisting more customers who need extra support the most: financial and/or special services</t>
  </si>
  <si>
    <t>Reducing our carbon footprint (i.e. using less electricity)</t>
  </si>
  <si>
    <t>Ensuring the water always tastes and smells good</t>
  </si>
  <si>
    <t>Making sure the water is never discoloured / cloudy / has particles in it</t>
  </si>
  <si>
    <t>Making sure the water does not causes appliances, taps, tiles, etc to scale - which can reduce their usable life</t>
  </si>
  <si>
    <t>Ensuring your water pressure is not too high or low (e.g. a slow dripping tap)</t>
  </si>
  <si>
    <t>Ensuring we minimise traffic disruption caused by repairing our network of pipes</t>
  </si>
  <si>
    <t>Removing all lead pipes from the water network (a harmless additive is added to the water to ensure lead pipes pose no risk to health)</t>
  </si>
  <si>
    <t>Making sure we fix all leaks as quickly as possible</t>
  </si>
  <si>
    <t>1406 WTP_Comparisons_v4.docx</t>
  </si>
  <si>
    <t>0721 South Staffs technical report 120117 DF.docx</t>
  </si>
  <si>
    <t>386281_Cambridge_Only_Wtd_Final.xlsx</t>
  </si>
  <si>
    <t>386281_South_Staff_Only_Wtd_Final.xlsx</t>
  </si>
  <si>
    <t>Priorities online survey (SSW) All responses 31.1.18.xlsx</t>
  </si>
  <si>
    <t>Priorities online survey (CAM) All responses 31.1.18.xlsx</t>
  </si>
  <si>
    <t>Customer Priorities online survey (Dec 17 &amp; Jan 18) Headlines v4.pptx</t>
  </si>
  <si>
    <t>Reducing leakage</t>
  </si>
  <si>
    <t>Taking water from the River Trent</t>
  </si>
  <si>
    <t xml:space="preserve">Taking more groundwater </t>
  </si>
  <si>
    <t>Installing smart meters</t>
  </si>
  <si>
    <t>South Staff Water customers (305 customers)</t>
  </si>
  <si>
    <t>Cambridge Water customers (207 customers)</t>
  </si>
  <si>
    <t>NA</t>
  </si>
  <si>
    <t>Draft Online Questionnaire FINAL For PROGRAMMING.docx</t>
  </si>
  <si>
    <t>Contains an analysis completed for  BAU contact and complaints data, customer surveys against attributes for WTP</t>
  </si>
  <si>
    <t>Triangulation approach of BAU Data</t>
  </si>
  <si>
    <t>Lead pipes</t>
  </si>
  <si>
    <t>Water hardness</t>
  </si>
  <si>
    <t>Unexpected temporary loss of water supply</t>
  </si>
  <si>
    <t>Flooding from a burst pipe</t>
  </si>
  <si>
    <t>Low water pressure</t>
  </si>
  <si>
    <t>Drought restrictions</t>
  </si>
  <si>
    <t xml:space="preserve">Water metering </t>
  </si>
  <si>
    <t>Protecting wildlife habitats</t>
  </si>
  <si>
    <t>Managing impacts on rivers &amp; streams</t>
  </si>
  <si>
    <t>Your tap water tastes and smells different (e.g of chlorine) for a period of 3 days. (You do not know whether it is safe to drink or not until you contact your water company)</t>
  </si>
  <si>
    <t>The tap water at your property is discoloured for 24 hours. Running the tap for a few minutes will not remove this discolouration. (You do not know whether it is safe to drink or not until you contact your water company)</t>
  </si>
  <si>
    <t>Approximately every 3rd property in your water company’s area is served by a lead pipe, most of these are pipes are owned by the customer. (A harmless additive is added to the water supply to ensure the lead pipe poses no risk to health)</t>
  </si>
  <si>
    <t>Hard water causes appliances, taps, tiles, etc to scale which can reduce their usable life. Softening the water is an option but this can alter the taste of your water.</t>
  </si>
  <si>
    <t xml:space="preserve">There is an unexpected problem with the network, such as a burst main, that means your property is without water for up to 24 hours. </t>
  </si>
  <si>
    <t>A pipe owned by your water company that supplies water to your property bursts and floods the ground floor of your property</t>
  </si>
  <si>
    <t xml:space="preserve">The water at your property loses pressure a number of times throughout the day and night which reduces the water flow to a slow trickle. </t>
  </si>
  <si>
    <t xml:space="preserve">Over time pipes need to be repaired or replaced, therefore you encounter road works on your journeys to and from your home. This means you are delayed by 15 minutes each time you travel. Road works are typically in place for 3 days. </t>
  </si>
  <si>
    <t xml:space="preserve">There is a hosepipe ban in your area for 5 months from May to September. </t>
  </si>
  <si>
    <t>All water companies have a legal duty to protect and improve areas for wildlife and plants in the places where they operate. They currently protect and improve 99 hectares - which is the same areas as 138 football pitches</t>
  </si>
  <si>
    <t>In order to supply customers your water company has to take water from the environment.  This can impact on rivers and streams and the land around them (eg floodplains) in your area. Your water company has a legal duty to restore the river and the wildlife around it in your area.</t>
  </si>
  <si>
    <t>Leakage levels (Company pipes)</t>
  </si>
  <si>
    <t>Non-essential use ban</t>
  </si>
  <si>
    <t>Chance that a ban will be required in any one year</t>
  </si>
  <si>
    <t>Chance of an incident</t>
  </si>
  <si>
    <t>% miles experience low flow</t>
  </si>
  <si>
    <t>Hosepipe /Temporary use bans</t>
  </si>
  <si>
    <t>Pollution incidents</t>
  </si>
  <si>
    <t>River Flows</t>
  </si>
  <si>
    <t>1% change in likelihood</t>
  </si>
  <si>
    <t>1% change per year</t>
  </si>
  <si>
    <t>Traffic disruption</t>
  </si>
  <si>
    <t xml:space="preserve">Protecting wildlife habitats 
</t>
  </si>
  <si>
    <t>The vast majority of business customers and 33%  household customers(SSW)/70% (CW) have a water meter fitted in this region which means they pay just for the water they use. The remaining  properties pay a fixed amount per year depending on the rateable value of their property.</t>
  </si>
  <si>
    <t>WTP Main Outputs 310118 v2.xlsx</t>
  </si>
  <si>
    <t>The amount of water lost through leaks each year. Number of properties that could be supplied</t>
  </si>
  <si>
    <t xml:space="preserve">The water at your property is hard causing lime scale.• Hard water contains minerals and is caused by the natural minerals in the source of the water; Lime scale may build up on appliances like kettles, washing machines and boilers and machines affecting businesses.
</t>
  </si>
  <si>
    <t>Taste and smell of water</t>
  </si>
  <si>
    <t>CAM</t>
  </si>
  <si>
    <t>Customer Priorities</t>
  </si>
  <si>
    <t>Customer Satisfaction</t>
  </si>
  <si>
    <t>Customer Contacts</t>
  </si>
  <si>
    <t>WRMP Full Report - Oct 2017.pptx</t>
  </si>
  <si>
    <t>Mean score </t>
  </si>
  <si>
    <t>Proportion for</t>
  </si>
  <si>
    <t>Most preferred</t>
  </si>
  <si>
    <t>Least preferred</t>
  </si>
  <si>
    <t>Smart metering</t>
  </si>
  <si>
    <t>Increasing Blithfield</t>
  </si>
  <si>
    <t>Trading with another water company</t>
  </si>
  <si>
    <t>Taking water from River Trent</t>
  </si>
  <si>
    <t>Abstracting groundwater</t>
  </si>
  <si>
    <t>Options</t>
  </si>
  <si>
    <t>Source: "WRMP Full Report - Oct 2017.pptx" Slide 128</t>
  </si>
  <si>
    <t>Source: "WRMP Full Report - Oct 2017.pptx" Slide 130</t>
  </si>
  <si>
    <t>Source: "WRMP Full Report - Oct 2017.pptx": Slide 127</t>
  </si>
  <si>
    <t>Source: "WRMP Full Report - Oct 2017.pptx": Slide 129</t>
  </si>
  <si>
    <t>Leakage 1* </t>
  </si>
  <si>
    <t>Reducing customer water usage </t>
  </si>
  <si>
    <t>Leakage 2</t>
  </si>
  <si>
    <t>Overall score </t>
  </si>
  <si>
    <t>Votes allocated</t>
  </si>
  <si>
    <t xml:space="preserve">Options </t>
  </si>
  <si>
    <t>Increased metering**</t>
  </si>
  <si>
    <t>New surface water reservoir</t>
  </si>
  <si>
    <t>New combined reservoir</t>
  </si>
  <si>
    <t>Trading 2</t>
  </si>
  <si>
    <t>Trading 1</t>
  </si>
  <si>
    <t>Abstracting groundwater </t>
  </si>
  <si>
    <t>Increased metering (not smart meters)**</t>
  </si>
  <si>
    <t>South Staff Water customers (718 customers)</t>
  </si>
  <si>
    <t>Cambridge Water customers (309 customers)</t>
  </si>
  <si>
    <t>Regression Analysis results (Accent)</t>
  </si>
  <si>
    <t>Interruption to your supply</t>
  </si>
  <si>
    <t>Persistent low pressure</t>
  </si>
  <si>
    <t>Water leak in local area</t>
  </si>
  <si>
    <t>Water hardness (very hard)</t>
  </si>
  <si>
    <t>Water hardness (moderately hard)</t>
  </si>
  <si>
    <t>Deteoriation in levels considered</t>
  </si>
  <si>
    <t>SSW1-Figure 6.5,6.7 (Annual % WTP per business) and 0721 South Staffs technical report 120117 DF.docx Fig 10 and 11</t>
  </si>
  <si>
    <t>Remove very hard water</t>
  </si>
  <si>
    <t>Remove moderately hard water</t>
  </si>
  <si>
    <t>Exp(coef)</t>
  </si>
  <si>
    <t>TOTAL</t>
  </si>
  <si>
    <t>E</t>
  </si>
  <si>
    <t>M</t>
  </si>
  <si>
    <t>F</t>
  </si>
  <si>
    <t>G</t>
  </si>
  <si>
    <t>L</t>
  </si>
  <si>
    <t>O</t>
  </si>
  <si>
    <t>H</t>
  </si>
  <si>
    <t>K</t>
  </si>
  <si>
    <t>A</t>
  </si>
  <si>
    <t>C</t>
  </si>
  <si>
    <t>J</t>
  </si>
  <si>
    <t>D</t>
  </si>
  <si>
    <t>1 property affected by 1 taste and smell incident (1 day)</t>
  </si>
  <si>
    <t>Discoloured water or non-ideal taste &amp; smell</t>
  </si>
  <si>
    <t>B</t>
  </si>
  <si>
    <t>I</t>
  </si>
  <si>
    <t>Unexpected Supply interruptions - Less than 3 hours</t>
  </si>
  <si>
    <t>Unexpected Supply interruptions- 3-6 hours</t>
  </si>
  <si>
    <t>Unexpected Supply interruptions - 6-12 hours</t>
  </si>
  <si>
    <t>Unexpected Supply interruptions- 12-24 hours</t>
  </si>
  <si>
    <t>1 property affected by a non-essential use ban</t>
  </si>
  <si>
    <t>Occasional low water pressure</t>
  </si>
  <si>
    <t>Hardness of water</t>
  </si>
  <si>
    <t>Attribute Definition</t>
  </si>
  <si>
    <t>Public-HH</t>
  </si>
  <si>
    <t>Public-NHH</t>
  </si>
  <si>
    <t>S1 LOW</t>
  </si>
  <si>
    <t>S1 MEAN</t>
  </si>
  <si>
    <t>S1 HIGH</t>
  </si>
  <si>
    <t>S2 LOW</t>
  </si>
  <si>
    <t>S2 MEAN</t>
  </si>
  <si>
    <t>S2 HIGH</t>
  </si>
  <si>
    <t>LOW</t>
  </si>
  <si>
    <t>MEAN</t>
  </si>
  <si>
    <t>HIGH</t>
  </si>
  <si>
    <t>NHH</t>
  </si>
  <si>
    <t xml:space="preserve">Private-HH </t>
  </si>
  <si>
    <t xml:space="preserve">Private-NHH </t>
  </si>
  <si>
    <t>COMBINED-HH</t>
  </si>
  <si>
    <t>COMBINED-NHH</t>
  </si>
  <si>
    <t>Group</t>
  </si>
  <si>
    <t xml:space="preserve">Unexpected temporary loss of water supply </t>
  </si>
  <si>
    <t xml:space="preserve">Deteoriation in levels </t>
  </si>
  <si>
    <t>COMBINED</t>
  </si>
  <si>
    <t>If this occurs the affected properties will be without water for 3 to 6 hours.</t>
  </si>
  <si>
    <t>• This may happen without warning because of a burst pipe, a problem with a water treatment works or repairs are needed.</t>
  </si>
  <si>
    <t>• The interruption could happen at any time of day or night.</t>
  </si>
  <si>
    <t>• Different properties are affected each year.</t>
  </si>
  <si>
    <t xml:space="preserve">• A ban on using the hose pipe that would typically last for 5 months beginning in May and ending in September. • Under a hosepipe ban, customers are not allowed to use a hosepipe to:
• Water a garden
• Clean a car or van
• Fill or maintain a swimming or paddling pool or ornamental fountain
• Clean outdoor surfaces (e.g. paths or patios)
• The last hosepipe ban in the South Staffs Water region occurred in 1976
</t>
  </si>
  <si>
    <t xml:space="preserve">This ban needs Government approval. It is introduced after a hosepipe ban for households.• Under a non-essential use ban, business customers are not allowed to use a hosepipe to:
• Water outdoor plants on commercial premises; Clean any vehicle, boat, aircraft or railway rolling stock; Clean the exterior of buildings, windows and industrial plant or use water to suppress dust.
• Business customers are also not allowed to:
• Fill or maintain a swimming or paddling pool; Fill or maintain a pond that is for ornamental use; Operate a mechanical vehicle-washer; or Operate an automatic flushing cistern (WC or urinal) in any building that is unoccupied and closed.
</t>
  </si>
  <si>
    <t xml:space="preserve">Low water pressure affects the taps, showers and boilers at properties. This means water runs slower and is less forceful.• Some properties can be affected by persistent low pressure, which means that this occurs all the time or regularly.
• Examples include this happening at weekday breakfast times or at some properties at the top of tall buildings or on hills.
</t>
  </si>
  <si>
    <t xml:space="preserve">Flood water gets into people’s properties due to failure of water company pipes and pumps. An example is burst water pipes. • This is not flooding from rivers or rain water.
• The flood water may contain dirt and debris from the ground &amp; carpets and furniture may need to be replaced.
• Different properties are affected each year &amp; this could happen anywhere.
</t>
  </si>
  <si>
    <t xml:space="preserve">Pollution incidents on rivers and streams in your area, caused by South Staffs Water.• Pollution incidents can happen from time to time due to accidents or equipment failures involving chemicals used to treat the water.
• The impact is localised, minimal and temporary, allowing the rivers to return to their previous quality within days.
• For example fewer than 10 fish will typically be killed and it will still be possible to use the river for recreation.
</t>
  </si>
  <si>
    <t xml:space="preserve">The water environment is impacted by South Staffs Water as well as other sectors, including farming and industry.• Removal of water for drinking water supply can cause low water levels and flow in rivers and streams.
• This can cause an adverse impact on visual amenity, recreational use of the river and habitats for plants and wildlife.
• South Staffs Water can invest to reduce this impact, which can contribute to an overall improvement in the quality of the river environment.
</t>
  </si>
  <si>
    <t>9.1% (31 miles)</t>
  </si>
  <si>
    <t>6% (20 miles)</t>
  </si>
  <si>
    <t>0% (0 miles)</t>
  </si>
  <si>
    <t>PC Valuation v2.xlsx</t>
  </si>
  <si>
    <t xml:space="preserve"> </t>
  </si>
  <si>
    <t>South Staff Water HH</t>
  </si>
  <si>
    <t>Cambridge Water HH</t>
  </si>
  <si>
    <t>Leakage 1: Reducing leakage above and beyond the current targets and Leakage 2: Significantly reducing leaks above and beyond current targets by using new approaches</t>
  </si>
  <si>
    <t xml:space="preserve"> *Could only choose Leakage 2 if had chosen Leakage 1   **Could only choose Smart metering if had chosen Increased metering</t>
  </si>
  <si>
    <t xml:space="preserve">Notes: </t>
  </si>
  <si>
    <t>South Staff Water customers (31 customers)</t>
  </si>
  <si>
    <t>Cambridge Water customers (27 customers)</t>
  </si>
  <si>
    <t>Reducing customer water usage/More education campaigns</t>
  </si>
  <si>
    <t>Priorities scale</t>
  </si>
  <si>
    <t>Building a new water reservoir</t>
  </si>
  <si>
    <t>Increasing the amount of water in the Blithfield reservoir</t>
  </si>
  <si>
    <t xml:space="preserve">South Staff Water </t>
  </si>
  <si>
    <t>Final Triangulation Calculations</t>
  </si>
  <si>
    <t>RAG WEIGHTS</t>
  </si>
  <si>
    <t>Green</t>
  </si>
  <si>
    <t>Amber</t>
  </si>
  <si>
    <t>Red</t>
  </si>
  <si>
    <t>Overall RAG Rating</t>
  </si>
  <si>
    <t>Weight to be applied</t>
  </si>
  <si>
    <t>Sources / RAG ratings</t>
  </si>
  <si>
    <t>WRMP online</t>
  </si>
  <si>
    <t>WRMP workshops</t>
  </si>
  <si>
    <t>Customer priorities</t>
  </si>
  <si>
    <t>Increased metering (not smart meters)</t>
  </si>
  <si>
    <t>Weight</t>
  </si>
  <si>
    <t>RAG</t>
  </si>
  <si>
    <t>Original name</t>
  </si>
  <si>
    <t>Mapping to WRMP option names</t>
  </si>
  <si>
    <t>WRMP option name</t>
  </si>
  <si>
    <t>South Staffs Water</t>
  </si>
  <si>
    <t>Cambridge Water</t>
  </si>
  <si>
    <t xml:space="preserve">Around 24% (HH) of the water supplied by your water company is lost through leaking pipes. The majority of this is from the water company's pipe network and the rest from the supply pipe that serve customers’ properties (which is the responsibility of the property owner). As new leaks are always appearing they can’t be reduced to 0. </t>
  </si>
  <si>
    <t>Taste and smell of  water</t>
  </si>
  <si>
    <t>COMBINED-ALL</t>
  </si>
  <si>
    <t>All</t>
  </si>
  <si>
    <t>PROPERTIES</t>
  </si>
  <si>
    <t>S0</t>
  </si>
  <si>
    <t>S1</t>
  </si>
  <si>
    <t>S2</t>
  </si>
  <si>
    <t>Attributes (Contacts)</t>
  </si>
  <si>
    <t>Attributes (WTPCore)</t>
  </si>
  <si>
    <t>Attribute abbreviation</t>
  </si>
  <si>
    <t>TasteSmell</t>
  </si>
  <si>
    <t>Discolour</t>
  </si>
  <si>
    <t>Lead</t>
  </si>
  <si>
    <t>Hardness</t>
  </si>
  <si>
    <t>Interruptions</t>
  </si>
  <si>
    <t>LowPressure</t>
  </si>
  <si>
    <t>Traffic</t>
  </si>
  <si>
    <t>Bursts</t>
  </si>
  <si>
    <t>Water Hardness</t>
  </si>
  <si>
    <t>Number of unwanted contacts YTD (Apr17-Feb18)</t>
  </si>
  <si>
    <t>Number of unwanted contacts Feb YTD 2016/17</t>
  </si>
  <si>
    <t>Number of unwanted contacts  Feb YTD 2015/16</t>
  </si>
  <si>
    <t>Column AO</t>
  </si>
  <si>
    <t>Numerator of column AT</t>
  </si>
  <si>
    <t>Numerator of column AR</t>
  </si>
  <si>
    <t>Total Number of unwanted contacts over 3 years</t>
  </si>
  <si>
    <t xml:space="preserve">Total Number of properties affected  over 3 years </t>
  </si>
  <si>
    <t>Unwanted contacts per 1,000 properties affected (averaged over 3 years)</t>
  </si>
  <si>
    <t>Unwanted contacts per 1,000 properties affected (averaged over 2 years)</t>
  </si>
  <si>
    <t>Total Number of unwanted contacts over 2 years</t>
  </si>
  <si>
    <t>Number of unwanted contacts  Feb YTD 2015/16 is not available for CAM</t>
  </si>
  <si>
    <t>Source: "SSW Excel spreadsheet ‘Triangulation approach with BAU - SY data incl Unw Feb18 (for Accent)’", Sheet: Attributes (SSW)</t>
  </si>
  <si>
    <t>Source: "SSW Excel spreadsheet ‘Triangulation approach with BAU - SY data incl Unw Feb18 (for Accent)’", Sheet: Attributes (CAM)</t>
  </si>
  <si>
    <t>Attributes (CST)</t>
  </si>
  <si>
    <t>Unit WTP values-Aggregate (2014 prices)</t>
  </si>
  <si>
    <t>0721 South Staffs technical report 130218 DF.docx</t>
  </si>
  <si>
    <t>Willingness-to-pay research to support PR19: Technical Report (January 2018)</t>
  </si>
  <si>
    <t>Willingness-to-pay research to support PR19: Technical Report (February 2018)</t>
  </si>
  <si>
    <t>WTP Technical Report (Jan 2018)</t>
  </si>
  <si>
    <t>Updated WTP Technical Report (Feb 2018)</t>
  </si>
  <si>
    <t xml:space="preserve">Quantitative online survey conducted with 305 customers in the South Staffordshire region and 207 customers in Cambridge. </t>
  </si>
  <si>
    <t xml:space="preserve">This multi-stage project covered priorities / preferences around WRMP and also level of support for various demand and supply side options </t>
  </si>
  <si>
    <t>This document contains a comparative review of PR14 Willingness to Pay Results for all water companies</t>
  </si>
  <si>
    <t>WRMP &amp; Long Term Resilience Customer Engagement Insight: Full report (September 2017)</t>
  </si>
  <si>
    <t>WRMP Survey Domestic Customers Online Panel (Cambridge Water)</t>
  </si>
  <si>
    <t>WRMP Survey Domestic Customers Online Panel (South Staffs Water)</t>
  </si>
  <si>
    <t xml:space="preserve">SSC WRMP Quant Survey </t>
  </si>
  <si>
    <t>Survey designed to help quantify customers’ priorities</t>
  </si>
  <si>
    <t>Customer priorities online survey results</t>
  </si>
  <si>
    <t>Respondents were recruited via a pop up link to the online survey on the SSW and CAM website home pages. 716 SSW customers and 307 CAM customers completed the surveys. The survey ran from early December 2017 to the end of January 2018.</t>
  </si>
  <si>
    <t>Triangulation approach of BAU Data - Dec 2017.xlsx</t>
  </si>
  <si>
    <t>Triangulation approach with BAU - SY data incl Unw Feb18 (for Accent).xlsx</t>
  </si>
  <si>
    <t>WTP core_DCE</t>
  </si>
  <si>
    <t>WTP core_MaxDiff</t>
  </si>
  <si>
    <t>COMBINED (pre-scaling)</t>
  </si>
  <si>
    <t>Interim Indices for Triangulation</t>
  </si>
  <si>
    <t>(S0 to S2)</t>
  </si>
  <si>
    <t>(S1 to S2)</t>
  </si>
  <si>
    <t>(S0 to S1)</t>
  </si>
  <si>
    <t>WTP service levels</t>
  </si>
  <si>
    <t>Wildlife</t>
  </si>
  <si>
    <t xml:space="preserve">SSW PR14 WTP </t>
  </si>
  <si>
    <t>Attributes</t>
  </si>
  <si>
    <t>Metering</t>
  </si>
  <si>
    <t>TempBan</t>
  </si>
  <si>
    <t>ImpactRivers</t>
  </si>
  <si>
    <t>Drought Restrictions</t>
  </si>
  <si>
    <t xml:space="preserve">HH:Because of a water drought, most of the region would have to get all their water from a standpipe located in your street for between 2 to 4 weeks/NHH:Because of a water drought, your company is only able to use water for essential operational use (e.g no washing of machinery). Most of the companies in the region would have to get all their water for non-essential operations from a standpipe located in their street for between 2 to 4 weeks. </t>
  </si>
  <si>
    <t>Drought</t>
  </si>
  <si>
    <t>Water metering</t>
  </si>
  <si>
    <t>WRMP Options</t>
  </si>
  <si>
    <t>Interruptions612</t>
  </si>
  <si>
    <t>Green / Amber</t>
  </si>
  <si>
    <t>Interruptions36</t>
  </si>
  <si>
    <t>DERIVED WTP VALUES</t>
  </si>
  <si>
    <t>Temporary use bans</t>
  </si>
  <si>
    <t>Interruptions3</t>
  </si>
  <si>
    <t>Interruptions1224</t>
  </si>
  <si>
    <t>Derived WTP (S0 to S2)</t>
  </si>
  <si>
    <t xml:space="preserve">COMBINED UNIT WTP </t>
  </si>
  <si>
    <t>Contact:</t>
  </si>
  <si>
    <t>Paul Metcalfe</t>
  </si>
  <si>
    <t>paul@pjmeconomics.co.uk</t>
  </si>
  <si>
    <t>Tel: +44 1202 831316</t>
  </si>
  <si>
    <t>Mob: +44 7786 656834</t>
  </si>
  <si>
    <t>Version</t>
  </si>
  <si>
    <t>Triangulation of WRMP Priorities and WTP Values</t>
  </si>
  <si>
    <t>South Staffs Water, 2018</t>
  </si>
  <si>
    <t>SSW Sources</t>
  </si>
  <si>
    <t>Non-SSW Sources</t>
  </si>
  <si>
    <t>WRMP Core</t>
  </si>
  <si>
    <t>PR14 WTP Comparisons</t>
  </si>
  <si>
    <t>WTP Core (Choice exp. &amp; MaxDiff)</t>
  </si>
  <si>
    <t>Sources</t>
  </si>
  <si>
    <t>General Inputs</t>
  </si>
  <si>
    <r>
      <rPr>
        <b/>
        <sz val="11"/>
        <color rgb="FF00B050"/>
        <rFont val="Calibri"/>
        <family val="2"/>
        <scheme val="minor"/>
      </rPr>
      <t xml:space="preserve">Green </t>
    </r>
    <r>
      <rPr>
        <b/>
        <sz val="11"/>
        <color theme="1"/>
        <rFont val="Calibri"/>
        <family val="2"/>
        <scheme val="minor"/>
      </rPr>
      <t xml:space="preserve">/ </t>
    </r>
    <r>
      <rPr>
        <b/>
        <sz val="11"/>
        <color rgb="FFFFC000"/>
        <rFont val="Calibri"/>
        <family val="2"/>
        <scheme val="minor"/>
      </rPr>
      <t>Amber</t>
    </r>
  </si>
  <si>
    <r>
      <rPr>
        <b/>
        <sz val="11"/>
        <color rgb="FFFFC000"/>
        <rFont val="Calibri"/>
        <family val="2"/>
        <scheme val="minor"/>
      </rPr>
      <t>Amber</t>
    </r>
    <r>
      <rPr>
        <b/>
        <sz val="11"/>
        <color theme="1"/>
        <rFont val="Calibri"/>
        <family val="2"/>
        <scheme val="minor"/>
      </rPr>
      <t xml:space="preserve"> / </t>
    </r>
    <r>
      <rPr>
        <b/>
        <sz val="11"/>
        <color rgb="FFFF0000"/>
        <rFont val="Calibri"/>
        <family val="2"/>
        <scheme val="minor"/>
      </rPr>
      <t>Red</t>
    </r>
  </si>
  <si>
    <t xml:space="preserve">This file contains the customer WTP values generated by the survey converted into figures that are normalised and ready to go in to the Investment Optimiser tool </t>
  </si>
  <si>
    <t>Source: Priorities online survey (CAM) All responses 31.1.18.xlsx</t>
  </si>
  <si>
    <t>Source: PJM analysis of SSW data, 3178m_PrioritiesScale.xlsx</t>
  </si>
  <si>
    <t>1st</t>
  </si>
  <si>
    <t>2nd</t>
  </si>
  <si>
    <t>3rd</t>
  </si>
  <si>
    <t>Rank-ordered logit coef.</t>
  </si>
  <si>
    <t>Source: Priorities online survey (SSW) All responses 31.1.18.xlsx(1)</t>
  </si>
  <si>
    <t>Q16. Which do you think are the most important areas that SSW/CW should be concentrating on in the next 5-10 years. Please rank your top 3 areas.</t>
  </si>
  <si>
    <t>Mapping to WRMP priorities</t>
  </si>
  <si>
    <t>Mapping to WTP values</t>
  </si>
  <si>
    <t>Scaled</t>
  </si>
  <si>
    <t>Raw</t>
  </si>
  <si>
    <t>Priorities index</t>
  </si>
  <si>
    <t xml:space="preserve">(1) The data was weighted based age and gender breakdown (of All bill payers (Customer Services Tracker)) provided by SSW </t>
  </si>
  <si>
    <t>Derived Unit Value</t>
  </si>
  <si>
    <t>Unit</t>
  </si>
  <si>
    <t>Property affected</t>
  </si>
  <si>
    <t>Water not safe to drink</t>
  </si>
  <si>
    <t xml:space="preserve">Due to contamination, you are unable to drink the water at your property for a period of 2 weeks. </t>
  </si>
  <si>
    <t>Source: WTP Main Outputs 310118 v2.xlsx/Attribute Grid</t>
  </si>
  <si>
    <t>Giving customers control of their water usage</t>
  </si>
  <si>
    <t xml:space="preserve">To help you understand and manage your water consumption your water company is able to give you a water meter reading via a device in your home. </t>
  </si>
  <si>
    <t>(NB revised in this workbook to relate to smart metering)</t>
  </si>
  <si>
    <t>(Not in PC Valuation v2.xlsx)</t>
  </si>
  <si>
    <t>Attribute Level WTP Values (£/prop/yr)</t>
  </si>
  <si>
    <t>Source: PC Valuation v2.xlsx except where indicated</t>
  </si>
  <si>
    <t>WRMP Core Online</t>
  </si>
  <si>
    <t>WRMP Core Workshop</t>
  </si>
  <si>
    <t>Source Data</t>
  </si>
  <si>
    <t>Source data name</t>
  </si>
  <si>
    <t>AVERAGE(New surface water reservoir,New combined reservoir)</t>
  </si>
  <si>
    <t>AVERAGE(Trading1, Trading2)</t>
  </si>
  <si>
    <t>Votes For-Least</t>
  </si>
  <si>
    <t>Most-Least preferred</t>
  </si>
  <si>
    <r>
      <t>Notes:</t>
    </r>
    <r>
      <rPr>
        <sz val="11"/>
        <rFont val="Calibri"/>
        <family val="2"/>
        <scheme val="minor"/>
      </rPr>
      <t xml:space="preserve"> </t>
    </r>
  </si>
  <si>
    <t>Overall score = qualitative measure based on all feedback (1 = very positive, 2 = positive, 3 = neutral / polarising, 4 = negative, 5 = very negative)</t>
  </si>
  <si>
    <t>Votes allocated = the number of overall votes an option received (participants had six votes each to spread out as they saw fit)</t>
  </si>
  <si>
    <t>Least preferred = the number of people who chose this as the option they liked least  (participants could vote for one option only)</t>
  </si>
  <si>
    <t>*Could only choose Leakage 1 OR Leakage 2   **Could only choose Increased metering OR Smart metering</t>
  </si>
  <si>
    <t>Source data (plus derived full scale)</t>
  </si>
  <si>
    <t>Priorities index (from above)</t>
  </si>
  <si>
    <t>Service levels (from WTP_Core_DCE)</t>
  </si>
  <si>
    <t>WTP (£/hh/yr) (from WTP_Core_DCE)</t>
  </si>
  <si>
    <t>ML/D</t>
  </si>
  <si>
    <t>Hectare</t>
  </si>
  <si>
    <t>Roadworks incident</t>
  </si>
  <si>
    <t>NotSafe</t>
  </si>
  <si>
    <t>WTP values (£/hh/yr)</t>
  </si>
  <si>
    <t>S0 - S2</t>
  </si>
  <si>
    <t>SmartMetering</t>
  </si>
  <si>
    <t>Derived priority index</t>
  </si>
  <si>
    <t>Unit value (£/unit)</t>
  </si>
  <si>
    <t>Total Pot Value (S0 to S2) (£/year)</t>
  </si>
  <si>
    <t>(Unit val: 1%)</t>
  </si>
  <si>
    <t>(Unit val: 1 prop)</t>
  </si>
  <si>
    <t>Unit val: 1 roadwork incident lasting 3 days</t>
  </si>
  <si>
    <t>Private: chance/Public: incidents</t>
  </si>
  <si>
    <t>Only public val used</t>
  </si>
  <si>
    <t>Prpoortion of households</t>
  </si>
  <si>
    <t>Proportion of households</t>
  </si>
  <si>
    <t>To pump water to customers’ homes your water company uses a lot of electricity. Currently, 11% of the electricity used by your water company comes from renewable sources - eg solar panels, wind power</t>
  </si>
  <si>
    <t>Use of renewable energy</t>
  </si>
  <si>
    <t>%energy use from renewables</t>
  </si>
  <si>
    <t>WTP Core-MaxDiff</t>
  </si>
  <si>
    <t>MaxDiff utility index (for S0 to S2 improvement)</t>
  </si>
  <si>
    <t/>
  </si>
  <si>
    <t>MaxDiff Priorities index</t>
  </si>
  <si>
    <t>Source: WTP Main Outputs 310118 v2.xlsx/"WTP Output Tables" and 0721 South Staffs technical report 130218 DF.docx (Fig 1 and Fig 2)</t>
  </si>
  <si>
    <t>Renewables</t>
  </si>
  <si>
    <t>1% change in risk</t>
  </si>
  <si>
    <t>Household</t>
  </si>
  <si>
    <t>1% Increase</t>
  </si>
  <si>
    <t>WTP attribute name</t>
  </si>
  <si>
    <t>Combined scale</t>
  </si>
  <si>
    <t>Proportion for (rescaled)</t>
  </si>
  <si>
    <t>Most-Least (rescaled1)</t>
  </si>
  <si>
    <t>Most-Least (rescaled2)</t>
  </si>
  <si>
    <t>Mean score (rescaled1)</t>
  </si>
  <si>
    <t>Mean score (rescaled2)</t>
  </si>
  <si>
    <t>Overall score (rescaled1)</t>
  </si>
  <si>
    <t>Overall score (rescaled2)</t>
  </si>
  <si>
    <t>Votes For-Least (rescaled1)</t>
  </si>
  <si>
    <t>Votes For-Least (rescaled2)</t>
  </si>
  <si>
    <t>MIN</t>
  </si>
  <si>
    <t>MAX</t>
  </si>
  <si>
    <t>LOW DEV.</t>
  </si>
  <si>
    <t>HIGH DEV.</t>
  </si>
  <si>
    <t>Charts</t>
  </si>
  <si>
    <t>SUM</t>
  </si>
  <si>
    <t>RE-WEIGHT SUM</t>
  </si>
  <si>
    <t>WTPCore_DCE</t>
  </si>
  <si>
    <t>WTPCore_MaxDiff</t>
  </si>
  <si>
    <t>Contacts</t>
  </si>
  <si>
    <t>Priorities</t>
  </si>
  <si>
    <t>Satisfaction</t>
  </si>
  <si>
    <t>WTPPR14</t>
  </si>
  <si>
    <t>WRMP_online</t>
  </si>
  <si>
    <t>Abbreviation</t>
  </si>
  <si>
    <t>Amber / Red</t>
  </si>
  <si>
    <t>South Staffs Water HH</t>
  </si>
  <si>
    <t>Unit impact index (from above)</t>
  </si>
  <si>
    <t>Impact index (S0 to S2)</t>
  </si>
  <si>
    <t>Number of properties affected per year (based on WTPCore DCE, Combined-HH)</t>
  </si>
  <si>
    <t xml:space="preserve">Total Number of properties affected  over 2 years </t>
  </si>
  <si>
    <t>We assume that the number of affected properties reported in the WTP Core DCE reasearch is based on a 3 year average</t>
  </si>
  <si>
    <t>Unusual taste or smell</t>
  </si>
  <si>
    <t>Poor customer service</t>
  </si>
  <si>
    <t>CustService</t>
  </si>
  <si>
    <t>Overall satisfaction coef.</t>
  </si>
  <si>
    <t>Derived unit value</t>
  </si>
  <si>
    <t>Unit impact index</t>
  </si>
  <si>
    <t>Overall Satisfaction: The coefficient is the predicted increase in overall satisfaction (scale: 1-5) due to experiencing a service failure of the type in question</t>
  </si>
  <si>
    <t>We do not consider 'Water leak in local area' because the unit (ML/D) is not mappable to household experience.</t>
  </si>
  <si>
    <t>Attribute definitions (WTPCore)</t>
  </si>
  <si>
    <t>MODEL 3: Impact of service failures on overall satisfaction</t>
  </si>
  <si>
    <t>Notes</t>
  </si>
  <si>
    <t>AVERAGE BILLS (£/prop/yr)</t>
  </si>
  <si>
    <t>Hosepipe /Temporary use ban</t>
  </si>
  <si>
    <t>NB Leakage not included because units are not comparable</t>
  </si>
  <si>
    <t>EXTERNAL WTP DATA</t>
  </si>
  <si>
    <t>Unit value index</t>
  </si>
  <si>
    <t xml:space="preserve">Attribute / Company </t>
  </si>
  <si>
    <t>WTP Core abbreviation</t>
  </si>
  <si>
    <t>Extended abbreviation</t>
  </si>
  <si>
    <t>No details for the Cambridge PR14 study</t>
  </si>
  <si>
    <t>Overall values &amp; range</t>
  </si>
  <si>
    <t>By data source</t>
  </si>
  <si>
    <t>WTP Core DCE</t>
  </si>
  <si>
    <t>WTP Core MaxDiff</t>
  </si>
  <si>
    <t>WTP Main</t>
  </si>
  <si>
    <t>WRMP Main</t>
  </si>
  <si>
    <t>WRMP_workshop</t>
  </si>
  <si>
    <t>Source: Dan Haire (SSW)</t>
  </si>
  <si>
    <t>BILL IMPACT (£/customer for S0 to S2)</t>
  </si>
  <si>
    <t xml:space="preserve">NOTE: Derived priority index is based on the assumption that the WRMP options are equivalent to the S0 to S2 improvement for the corresponding attribute. The Derived priority index is multiplied by the bill impact per customer for moving from S0 to S2 in order to make the WRMP and WTP measures more comparable. </t>
  </si>
  <si>
    <t xml:space="preserve">Note: </t>
  </si>
  <si>
    <t>Regression analysis results based on estimation of the impact of service failures experienced over the last twelve months on overall satisfaction  (SSW and CAM)</t>
  </si>
  <si>
    <t>3061 HH regression - All models including regional models v2.xlsx</t>
  </si>
  <si>
    <t xml:space="preserve">SS HH Tracker (2017-2018) Regional Annual summary FINDINGS
</t>
  </si>
  <si>
    <t>Source:3061 HH regression - All models including regional models v2.xlsx, Sheet: SW - Model 3 (Sat)</t>
  </si>
  <si>
    <t>Source:3061 HH regression - All models including regional models v2.xlsx, Sheet: CAM- Model 3 (Sat)</t>
  </si>
  <si>
    <t>We do not consider 'Poor customer service' because this was not one of the core WTP attributes.  However, it is worth noting that this has the highest impact on satisfaction in case of SSW. For Cambridge, nobody was dissatisfied with customer service hence dropped from regression.</t>
  </si>
  <si>
    <t xml:space="preserve">Coefficient in red set to zero due to apparent positive impact on satisfaction </t>
  </si>
  <si>
    <t>Main Output</t>
  </si>
  <si>
    <t>Derived priority index 1</t>
  </si>
  <si>
    <t xml:space="preserve">The Derived Unit Values are obtained by translating the WTP values into similar units and then multiplying the Derived WTP (S0 to S2) by the bill impact per customer for moving from S0 to S2 in order to make the WRMP and WTP measures  comparable. </t>
  </si>
  <si>
    <t xml:space="preserve">NOTE: Derived priority index is based on the assumption that the WRMP options are equivalent to the S0 to S2 improvement for the corresponding attribute. The Derived priority index is divided by the bill impact per customer for moving from S0 to S2 so as to translate it to a benefit-cost ratio. </t>
  </si>
  <si>
    <t>Derived WTP index</t>
  </si>
  <si>
    <t>Only one attribute so F not included</t>
  </si>
  <si>
    <t>WTP (%/ business/yr)</t>
  </si>
  <si>
    <t>% converted to £ using data on Average NHH bill amount for SSW</t>
  </si>
  <si>
    <t>External PR14 WTP Studies (2): NHH</t>
  </si>
  <si>
    <t>Non-essential use ban value</t>
  </si>
  <si>
    <t>% converted to £ using data on Average NHH bill amount for CAM</t>
  </si>
  <si>
    <t>Triangulation Calculations-HH</t>
  </si>
  <si>
    <t>Triangulation Calculations-NHH</t>
  </si>
  <si>
    <t>Triangulation Calculations-ALL</t>
  </si>
  <si>
    <t>Mapping to WTP values-HH</t>
  </si>
  <si>
    <t>Mapping to WTP values-NHH</t>
  </si>
  <si>
    <t>Metering data not available for NHH</t>
  </si>
  <si>
    <t>1 property affected by 1 tap water discolouration incident</t>
  </si>
  <si>
    <t>1 property affected by 1 discoloured water incident (24 hours)</t>
  </si>
  <si>
    <t>Q</t>
  </si>
  <si>
    <t>U</t>
  </si>
  <si>
    <t>1 property affected by discoloured water (few hours)</t>
  </si>
  <si>
    <t>Discolouration</t>
  </si>
  <si>
    <t>Discolouration of your tap water</t>
  </si>
  <si>
    <t>The water is DISCOLOURED at your property for a FEW HOURS at a time, but is safe to drink</t>
  </si>
  <si>
    <t>Your tap water is DISCOLOURED for A FEW HOURS, but is safe to drink</t>
  </si>
  <si>
    <t>Discoloured water at your property for a few hours.</t>
  </si>
  <si>
    <t>Number of properties affected by discolouration of tap water each year.</t>
  </si>
  <si>
    <t>The tap water at your property is discoloured for 24 hours. Running the tap for a few minutes will not remove this discolouration. (You do not know whether it is safe to drink or not until you contact your water company).</t>
  </si>
  <si>
    <t>On rare occasions, your water may be discoloured because of harmless deposits that accumulate over time in water mains, but the water is safe to drink. We wouldn’t expect anyone to drink it when it looks unpleasant. Your water would look like the water below. Even if you run your tap for several minutes, the water would still be brown/discoloured. This can last for up to 24 hours.</t>
  </si>
  <si>
    <t>On rare occasions, your water may be discoloured because of harmless deposits that accumulate over time in water mains, but the water is safe to drink. We wouldn’t expect anyone to drink it when it looks unpleasant. Even if you run your tap for several minutes, the water would still be brown/discoloured. This would typically last for a few hours at a time.</t>
  </si>
  <si>
    <t xml:space="preserve">On rare occasions, your water may be discoloured because of harmless deposits that accumulate over time in water mains, but the water is safe to drink. We wouldn’t expect anyone to drink it when it looks unpleasant. Even if you run your tap for several minutes, the water would still be brown/discoloured. This would typically last for a few hours at a time. </t>
  </si>
  <si>
    <t>1 property affected by 1 taste and smell incident for a period of 3 days</t>
  </si>
  <si>
    <t xml:space="preserve">1 property affected by non-ideal taste and smell (few days) </t>
  </si>
  <si>
    <t>1 property affected by non-ideal taste and smell (few days)</t>
  </si>
  <si>
    <t>Non-ideal taste and smell of water: Your tap water may occasionally have a taste and smell that is less than ideal. However, the water is safe to drink and use. Sometimes running the tap for several minutes will resolve these issues but occasionally the problem can persist for a few days at a time.</t>
  </si>
  <si>
    <t>Water taste and smell can be less than ideal at your property for a few days at a time because of dissolved minerals and gases, but the water is safe to drink.</t>
  </si>
  <si>
    <t xml:space="preserve">Water taste and smell can be less than ideal at your property for a few days at a time because of dissolved minerals and gases, but the water is safe to drink. </t>
  </si>
  <si>
    <t>Non-ideal taste and smell</t>
  </si>
  <si>
    <t>Non-ideal TASTE AND SMELL of tap water for A FEW DAYS:  Number of cases per year per 10,000 customers reduced from X to X</t>
  </si>
  <si>
    <t>WATER TASTE &amp; SMELL NOT IDEAL at your property for a few days</t>
  </si>
  <si>
    <t>The TASTE AND ODOUR of water at your property is not ideal for a FEW DAYS AT A TIME, but is safe to drink</t>
  </si>
  <si>
    <t xml:space="preserve">The TASTE AND SMELL of your tap water is not ideal for A FEW DAYS, but is safe to drink. </t>
  </si>
  <si>
    <t>NON-IDEAL TASTE AND SMELL OF YOUR TAP WATER</t>
  </si>
  <si>
    <t>Number of properties affected by unpleasant taste, smell or colour of tap water</t>
  </si>
  <si>
    <t>Not reported</t>
  </si>
  <si>
    <t>Unexpected INTERRUPTIONS TO SUPPLY: Average minutes lost per home per year</t>
  </si>
  <si>
    <t xml:space="preserve"> 1 property affected by unexpected interruptions to supply lasting 3 hours or longer </t>
  </si>
  <si>
    <t>Water supply interruptions longer than 3 hours</t>
  </si>
  <si>
    <t>1 property affected by planned or unplanned interruptions (&lt;12 hours)</t>
  </si>
  <si>
    <t xml:space="preserve">UNEXPECTED SUPPLY INTERRUPTIONS at your property lasting 3 hours or more </t>
  </si>
  <si>
    <t>1 property affected by an unexpected supply interruption (&gt; 3 hours)</t>
  </si>
  <si>
    <t>Interruptions of 3-6 hours</t>
  </si>
  <si>
    <t>1 property affected (3-6 hours)</t>
  </si>
  <si>
    <t xml:space="preserve">SHORT-TERM INTERRUPTION to your water supply lasting 3 to 6 hours on average. </t>
  </si>
  <si>
    <t>1 property affected by a short-term interruption to supply (3-6 hours)</t>
  </si>
  <si>
    <t>An UNPLANNED INTERRUPTION to the water supply at your property, lasting 3-6 HOURS</t>
  </si>
  <si>
    <t xml:space="preserve">1 property affected by an unplanned interruption (3-6 hours) </t>
  </si>
  <si>
    <t>An UNEXPECTED INTERRUPTION to your water supply lasting 3-6 HOURS</t>
  </si>
  <si>
    <t xml:space="preserve">1 property affected by an unexpected interruption (3-6 hours) </t>
  </si>
  <si>
    <t>T</t>
  </si>
  <si>
    <t>Unplanned interruptions to the supply of water</t>
  </si>
  <si>
    <t>1 property affected by unplanned service interruptions (typically lasting around 6 hours)</t>
  </si>
  <si>
    <t>Supply interruptions (4-8 hours)</t>
  </si>
  <si>
    <t>Number of properties affected by unexpected interruption to water supply (4-8 hours)</t>
  </si>
  <si>
    <t>1 property affected by unexpected interruption to water supply (4-8 hours)</t>
  </si>
  <si>
    <t>Number of properties affected by unplanned interruption to water supply (6-12 hours) each year</t>
  </si>
  <si>
    <t>1 property affected by unplanned interruption to water supply (6-12 hours)</t>
  </si>
  <si>
    <t>Interruptions of 6-12 hours</t>
  </si>
  <si>
    <t>1 property affected (6-12 hours)</t>
  </si>
  <si>
    <t xml:space="preserve">SHORT-TERM INTERRUPTION to your water supply lasting 6 to 12 hours on average. </t>
  </si>
  <si>
    <t>1 property affected by a short-term interruption to supply (6-12 hours)</t>
  </si>
  <si>
    <t>An UNPLANNED INTERRUPTION to the water supply at your property, lasting 6-12 HOURS</t>
  </si>
  <si>
    <t xml:space="preserve">1 property affected by an unplanned interruption (6-12 hours) </t>
  </si>
  <si>
    <t>An UNEXPECTED INTERRUPTION to your water supply lasting 6-12 HOURS</t>
  </si>
  <si>
    <t xml:space="preserve">1 property affected by an unexpected interruption (6-12 hours) </t>
  </si>
  <si>
    <t>Number of properties affected by unexpected interruptions to water supply each year (6-12 hours)</t>
  </si>
  <si>
    <t>1 property affected by unexpected interruptions to water supply (6-12 hours)</t>
  </si>
  <si>
    <t>1 property affected by an unexpected interruption (up to 24 hours)</t>
  </si>
  <si>
    <t>An UNPLANNED INTERRUPTION to the water supply at your property, lasting 12-24 HOURS</t>
  </si>
  <si>
    <t xml:space="preserve">1 property affected by an unplanned interruption (12-24 hours) </t>
  </si>
  <si>
    <t xml:space="preserve">Unexpected supply interruptions lasting 3 hours or longer: Sometimes your water supply can be interrupted. This means that you may have no water at your home for a period of time. The water supply can be interrupted due to burst pipes, which can happen at any time of the day or night. Although most interruptions are dealt with quickly, there are some that are more difficult to resolve. This can unfortunately mean customers have to wait longer for their water to come back. </t>
  </si>
  <si>
    <t>Sometimes your water supply can be interrupted, which can be planned or unplanned. This means that you may have no water at your property for a period of time. The majority of these types of interruptions last less than 12 hours. • The water supply can be interrupted due to burst pipes, which can happen at any time of the day or night. Although most interruptions are dealt with quickly, there are some that are more difficult to resolve.  This can unfortunately mean customers have to wait longer for their water to come back</t>
  </si>
  <si>
    <t xml:space="preserve">Sometimes your water supply can be interrupted. This means that you may have no water for a period of time, or your supply could be intermittent. The water supply at your property can be interrupted due to burst pipes, which can happen at any time.  When an unexpected interruption occurs, properties are affected for five and a half hours on average. 90% of interruptions are less than 12 hours. </t>
  </si>
  <si>
    <t>From time to time, burst water mains may result in an unplanned interruption to your water supply. On average, X customers are affected by interruptions lasting between 3 and 6 hours every year (almost X% of all customers).</t>
  </si>
  <si>
    <t xml:space="preserve">Sometimes your water supply can be interrupted. This means that you may have no water for a period of time, or your supply could be intermittent. The water supply at your property can be interrupted due to burst pipes, which can happen at any time, or due to planned maintenance, in which case you would be given at least 48 hours’ notice.  </t>
  </si>
  <si>
    <t>Sometimes your water supply can be interrupted. This means that you may have no water for a period of time, or your supply could be intermittent. The water supply at your property can be interrupted due to burst pipes, which can happen at any time, or due to planned maintenance, in which case you would be given at least 48 hours’ notice.  Interruptions last an average of 6 hours when they occur.</t>
  </si>
  <si>
    <t xml:space="preserve">The most common cause of short term, unexpected interruptions to water supply is a burst pipe. Homes that experience a short term interruption will typically be without water for around 6 hours until the work is completed to restore the water supply. [Water Company] invests to reduce the chance of this occurring by replacing old pipes and using new technologies to manage its network better. </t>
  </si>
  <si>
    <t>From time to time, burst water mains may result in an unplanned interruption to your water supply. On average, X customers are affected by interruptions lasting between 6 and 12 hours every year (X% of all customers).</t>
  </si>
  <si>
    <t>Water supply may be lost without any warning due to burst pipes, or equipment or power supply failures. On average, an unplanned interruption lasts 6 to 12 hours.</t>
  </si>
  <si>
    <t>1 property affected by temporary water use restrictions</t>
  </si>
  <si>
    <t>How often temporary water use restrictions are needed</t>
  </si>
  <si>
    <t xml:space="preserve">Temporary use ban </t>
  </si>
  <si>
    <t>1 property affected by a hosepipe ban for 5 months from May to September</t>
  </si>
  <si>
    <t>CHANCE OF A TEMPORARY USE BAN (5 MONTHS)</t>
  </si>
  <si>
    <t>1 property affected by a temporary use ban (5 months)</t>
  </si>
  <si>
    <t>Temporary use bans: During extended dry spells, [Water Company] could impose a temporary use ban on using water in your home. This type of restriction on water use would include a ban on activities such as using a hosepipe to water your garden, clean your car and filling a swimming pool. Exceptions would be made for disabled Blue Badge holders and businesses. Temporary use bans would typically last for five months beginning in May and ending in September. How often this happens depends on how frequent and how severe dry spells are.</t>
  </si>
  <si>
    <t>Temporary use bans (May to Sep)</t>
  </si>
  <si>
    <t>1 property affected by a temporary use ban</t>
  </si>
  <si>
    <t>During extended periods of dry weather, [Water Company] could impose a temporary use ban for certain water-related activities in and around your home. • The types of restriction on water use would include a ban on activities like using a hosepipe to water your garden, clean your car and filling a swimming or paddling pool. Some exceptions would be made for customers with certain disabilities and also some businesses. Temporary use bans would typically last for five months beginning in May and ending in September when demand for water is much higher. How often these bans happen depends on how frequent and how severe the dry spells are.</t>
  </si>
  <si>
    <t>TEMPORARY USE BAN from May to September</t>
  </si>
  <si>
    <t>1 property affected by a temporary use ban (May-Sep)</t>
  </si>
  <si>
    <t>As a result of drought conditions, [Water Company] can impose a ban on using a hosepipe at your property that would typically last from May to September (5 months). For this period, you would not be allowed to use a hosepipe to water a garden or clean a private car or van, and you would not be allowed to fill a swimming or paddling pool if you have one.</t>
  </si>
  <si>
    <t>A BAN ON USING THE HOSE PIPE at your property - because of drought - that would typically last for 5 MONTHS beginning in May and ending in September</t>
  </si>
  <si>
    <t xml:space="preserve">1 property affected by a hosepipe ban (May-Sep) </t>
  </si>
  <si>
    <t>A HOSEPIPE BAN lasting from May to September</t>
  </si>
  <si>
    <t>P</t>
  </si>
  <si>
    <t>A ban on using the hose pipe for 5 months from May-September because of drought</t>
  </si>
  <si>
    <t xml:space="preserve">1 property affected by a hosepipe ban (May - Sep) </t>
  </si>
  <si>
    <t xml:space="preserve">As a result of drought conditions, [Water Company] can impose a ban on using a hosepipe at your property that would typically last from May to September (5 months). For this period, you would not be allowed to use a hosepipe to water a garden or clean a private car or van, and you would not be allowed to fill a swimming or paddling pool if you have one. </t>
  </si>
  <si>
    <t>HOSEPIPE BAN (FROM MAY TO SEPTEMBER)</t>
  </si>
  <si>
    <t>As a result of drought conditions, [Water Company] can impose a ban on using a hosepipe at your property that would typically last from May to September (5 months). For this period, you would not be allowed to use a hosepipe to water a garden or clean a private car or van, and you would not be allowed to fill a swimming or paddling pool if you have one.  Currently, the chance that this happens to a property in the [Water Company] area in any year is around 1 in X. An alternative way of explaining this is that there is a X% chance that your property will experience this problem over the course of [Water Company] 25 year plan.</t>
  </si>
  <si>
    <t>NON-ESSENTIAL USE BAN put in place for FIVE MONTHS from May to September (chance per year)</t>
  </si>
  <si>
    <t>1 property affected by a non-essential use ban (5 months, May - Sep)</t>
  </si>
  <si>
    <t>Temporary use bans: During extended dry spells, [Water Company] could impose a temporary use ban on using water in your home. This type of restriction on water use would include a ban on activities such as using a hosepipe to water your garden, clean your car and filling a swimming pool. Exceptions would be made for disabled Blue Badge holders and businesses.Temporary use bans would typically last for five months beginning in May and ending in September. How often this happens depends on how frequent and how severe dry spells are.</t>
  </si>
  <si>
    <t>Non-essential use ban (May to September)</t>
  </si>
  <si>
    <t>Not reported.</t>
  </si>
  <si>
    <t>NON-ESSENTIAL USE BAN from May to September</t>
  </si>
  <si>
    <t>1 property affected by a non-essential use ban (May-Sep)</t>
  </si>
  <si>
    <t>Rota cuts and/or standpipes</t>
  </si>
  <si>
    <t>How often severe water restrictions could be experienced</t>
  </si>
  <si>
    <t>1 property experiences severe water restrictions</t>
  </si>
  <si>
    <t>1 property affected by water use restrictions (standpipe) for 2 to 4 weeks</t>
  </si>
  <si>
    <t>HH:Because of a water drought, most of the region would have to get all their water from a standpipe located in your street for between 2 to 4 weeks/NHH:Because of a water drought, your company is only able to use water for essential operational use (e.g no washing of machinery). Most of the companies in the region would have to get all their water for non-essential operations from a standpipe located in their street for between 2 to 4 weeks.</t>
  </si>
  <si>
    <t>Use of standpipes</t>
  </si>
  <si>
    <t>1 property affected by use of standpipes</t>
  </si>
  <si>
    <t>In the event of a drought, there is a small chance that you would lose water supply to your property and would need to use a standpipe for accessing water. A standpipe is a freestanding pipe in the street, which provides water when there is no other water supply. The current likelihood of this happening to you is once every X years.</t>
  </si>
  <si>
    <t>Percentage of water lost due to leakage each year</t>
  </si>
  <si>
    <t>1 Ml/d of water lost through leakage</t>
  </si>
  <si>
    <t xml:space="preserve">Percentage of water supply lost through leakage </t>
  </si>
  <si>
    <t xml:space="preserve">1 Ml/d of water lost through leakage </t>
  </si>
  <si>
    <t>Around x% (HH) of the water supplied by your water company is lost through leaking pipes. The majority of this is from the water company's pipe network and the rest from the supply pipe that serve customers’ properties (which is the responsibility of the property owner). As new leaks are always appearing they can’t be reduced to 0.</t>
  </si>
  <si>
    <t>Leakage from pipes</t>
  </si>
  <si>
    <t>Water is brought to your property through thousands of miles of underground pipes. Pipes can leak and some water is lost between the treatment works and your property. Current leakage amounts to X million litres every day within [Water Company] area. This equates to around X litres per household per day. With more investment, [Water Company] could reduce leakage to X million litres a day.</t>
  </si>
  <si>
    <t>LEAKAGE</t>
  </si>
  <si>
    <t xml:space="preserve">Leaks take place in [Water Company] network due to the condition of the pipes and within customer’s pipes. Ground movement can sometimes cause burst pipes which can lead to leaks. The majority of leaks are in small quantities. </t>
  </si>
  <si>
    <t>Leaks take place on customers’ pipes in and around the home and also on [Water Company] pipes too, often due to their condition. • Ground movement can also sometimes cause a pipe to burst or leak. The majority of leaks are invisible, very small `weeps and seeps’ which are hard to detect. The customer is responsible for leaks that take place on the pipes in and around their home, while [Water Company] is responsible for all other leaks on the pipes they own and maintain. Currently it is estimated that a quarter of all water lost through leaks is just from customers’ pipes in and around the home</t>
  </si>
  <si>
    <t xml:space="preserve">[Water Company] can undertake infrastructural works to reduce the extent of leakage from water mains. </t>
  </si>
  <si>
    <t>WATER LEAKAGE</t>
  </si>
  <si>
    <t xml:space="preserve">Water can leak from [Water Company] extensive network of pipes. [Water Company] can proactively detect and repair leaks, and replace or refurbish sections of pipework to reduce the extent of leakage. </t>
  </si>
  <si>
    <t xml:space="preserve">Leaks are caused by cracks in ageing pipes, freezing weather, or the weight of traffic on a road above. </t>
  </si>
  <si>
    <t xml:space="preserve">Low water pressure </t>
  </si>
  <si>
    <t xml:space="preserve">1 property affected by low water pressure </t>
  </si>
  <si>
    <t>The water at your property loses pressure a number of times throughout the day and night which reduces the water flow to a slow trickle.</t>
  </si>
  <si>
    <t>LOW WATER PRESSURE affecting taps, showers and boilers at your property. This happens OCCASIONALLY and can occur at any time lasting FOR 3-6 HOURS each time</t>
  </si>
  <si>
    <t xml:space="preserve">1 property affected by occasional low water pressure (3-6 hours) </t>
  </si>
  <si>
    <t>Low water pressure means it takes longer to fill the bath or kettle than you would like and may affect how well a combi boiler works. It is usually caused by the age, condition and size of the water company’s pipes. Properties at the tops of hills and the end of lines are most at risk.</t>
  </si>
  <si>
    <t>Protecting wildlife habitats/Biodiversity</t>
  </si>
  <si>
    <t xml:space="preserve">1 ha of improved habitats for wildlife and plants </t>
  </si>
  <si>
    <t>All water companies have a legal duty to protect and improve areas for wildlife and plants in the places where they operate. They currently protect and improve X hectares - which is the same areas as X football pitches</t>
  </si>
  <si>
    <t>Protected land for wildlife</t>
  </si>
  <si>
    <t>1 hectare of protected land being improved</t>
  </si>
  <si>
    <t>Natural England monitors the condition of land and rivers that is protected by law to conserve the wildlife that lives there. We work with Natural England to identify where we can help to protect this land and achieve a favourable condition or help it to recover from damage. By 2020, [Water Company] will have helped protect X hectares of land (Around X-X football pitches).</t>
  </si>
  <si>
    <t>Protecting wildlife and increasing biodiversity</t>
  </si>
  <si>
    <t>1 ha of land enhanced to increase biodiversity</t>
  </si>
  <si>
    <t xml:space="preserve">[Water Company] owns around X hectares of land, which is the equivalent of around X football pitches. Many of its sites are in the countryside of ……. [Water Company] would like to do more to protect the wildlife on the land it owns, and increase the range of animal species and plants for example (commonly referred to as biodiversity) that already exist there – it’s good for nature and protecting water sources too. Some of these sites are already marked as Sites of Special Scientific interest by Government and some are visited extensively by the public e.g. like reservoir sites. Increasing the biodiversity of its sites means [Water Company] needs to make sure it can develop the right habitats in the right places.
• To do that, [Water Company] is aiming to improve the land it owns so that it either maintains its good status at those sites where there’s already a wide range of valued species being looked after; or the remainder of its sites reach “improved” status.  </t>
  </si>
  <si>
    <t xml:space="preserve">1 incident of traffic disruption causing 15 minutes delay per journey, in place for 3 days </t>
  </si>
  <si>
    <t>Planned and unplanned WORKS of any duration in the [Water Company] area which may cause ROAD AND TRAFFIC DISRUPTIONS</t>
  </si>
  <si>
    <t>1 property affected by planned and unplanned works of any duration</t>
  </si>
  <si>
    <t>Planned and unplanned works in the area served by [Water Company] can sometimes cause road and traffic disruptions which affect your travel.</t>
  </si>
  <si>
    <t>1 property where water is not safe to drink for a period of 2 weeks</t>
  </si>
  <si>
    <t>Safe clean drinking water</t>
  </si>
  <si>
    <t>1 property affected by an incident of water not safe to drink</t>
  </si>
  <si>
    <t>Issues may arise that mean the water in your tap does not meet water quality standards. [Water Company] undertakes hundreds of thousands of random water quality tests across the region every year to see whether tap water quality meets the required standards. [Water Company] monitors its network and improves its operations to reduce the chance of your water failing to meet these standards.</t>
  </si>
  <si>
    <t>1 additional hh fitted with a water meter</t>
  </si>
  <si>
    <t xml:space="preserve">The vast majority of business customers and X% household customers have a water meter fitted in this region which means they pay just for the water they use. The remaining properties pay a fixed amount per year depending on the rateable value of their property. [Water Company] can fit water meters to more unmetered properties. </t>
  </si>
  <si>
    <t>New water meters / smart meters fitted</t>
  </si>
  <si>
    <t>1 additional hh fitted with a smart meter</t>
  </si>
  <si>
    <t xml:space="preserve">Unit value (£/unit) </t>
  </si>
  <si>
    <t>Source: 3187rep01_PR19WTP_v1.docx</t>
  </si>
  <si>
    <t>Ml/d</t>
  </si>
  <si>
    <t>Unexpected Supply interruptions -4-8 hours</t>
  </si>
  <si>
    <t>Interruptions48</t>
  </si>
  <si>
    <t>Protecting wildlife</t>
  </si>
  <si>
    <t>Property fitted</t>
  </si>
  <si>
    <t>Unexpected Supply interruptions - 3-6 hours</t>
  </si>
  <si>
    <t>Unexpected Supply interruptions -3-6 hours</t>
  </si>
  <si>
    <t>Unexpected Supply interruptions -6-12 hours</t>
  </si>
  <si>
    <t>Unexpected Supply interruptions- 6-12 hours</t>
  </si>
  <si>
    <t>Unexpected Supply interruptions-12-24 hours</t>
  </si>
  <si>
    <t xml:space="preserve">Household </t>
  </si>
  <si>
    <t>External PR19 WTP Studies (1)</t>
  </si>
  <si>
    <t>External PR19 WTP Studies (2): HH</t>
  </si>
  <si>
    <t>External PR19 WTP Studies (2): NHH</t>
  </si>
  <si>
    <t>PR19 WTP Comparisons</t>
  </si>
  <si>
    <t>Comparative Review of PR19 WTP Results (Accent and PJM)-May 2018</t>
  </si>
  <si>
    <t>3187rep01_PR19WTP_v1.docx</t>
  </si>
  <si>
    <t>This document contains a comparative review of PR19 Willingness to Pay Results for all water companies</t>
  </si>
  <si>
    <t>External PR14 WTP Studies (1)</t>
  </si>
  <si>
    <t>Source: 1406 WTP_Comparisons_v4.docx(Tables 2-9 and 11-13)</t>
  </si>
  <si>
    <t>Unit value (£/unit) (in 2014 prices)</t>
  </si>
  <si>
    <t>Discoloured water at your property for a week at a time, but safe to drink. Running the tap for several minutes will not remove the discolouration.</t>
  </si>
  <si>
    <t>1 property affected by 1 discoloured water incident (1 week)</t>
  </si>
  <si>
    <t>Water occasionally looks brown when it comes out of the tap due to natural materials not being removed by the treatment process, or due to rust and sediments in the pipe network. Any property can potentially be affected.</t>
  </si>
  <si>
    <t>Discoloured water at your property for a couple of hours at a time.</t>
  </si>
  <si>
    <t>1 property affected by 1 discoloured water incident (2 hours)</t>
  </si>
  <si>
    <t>Tap water occasionally looks brown due to natural materials not being removed by the treatment process, or due to rust and sediments in the pipe network. Although this is very unlikely to be harmful, you may feel that you don’t want to drink it. It can also stain clothes in washing machines. Discoloured water problems typically last for a couple of hours at a time.</t>
  </si>
  <si>
    <t xml:space="preserve">Tap water occasionally looks brown due to natural materials not being removed by the treatment process, or due to rust and sediments in the pipe network. Although this is very unlikely to be harmful, you may feel that you don’t want to drink it. It can also stain clothes in washing machines. Discoloured water problems typically last for a couple of hours at a time. </t>
  </si>
  <si>
    <t xml:space="preserve">Tap water may occasionally be discoloured although running the tap for several minutes will often cause the problem to go away. When it occurs, this problem usually lasts a couple of hours, but occasionally the problem can last for a few days. Although the water is unlikely to be harmful, you may not want to use it in your household. Tap water may occasionally be discoloured although running the tap for several minutes will often cause the problem to go away. When it occurs, this problem usually lasts a couple of hours, but occasionally the problem can last for a few days. Although the water is unlikely to be harmful, you may not want to use it in your household. </t>
  </si>
  <si>
    <t>Discoloured water at your property for a week at a time.</t>
  </si>
  <si>
    <t xml:space="preserve">Tap water occasionally looks brown due to natural materials not being removed by the treatment process, or due to rust and sediments in the pipe network. Although this is very unlikely to be harmful, you may feel that you don’t want to drink it. It can also stain clothes in washing machines. </t>
  </si>
  <si>
    <t>Discoloured water at your property for up to 24 hours at a time.</t>
  </si>
  <si>
    <t>1 property affected by 1 discoloured water incident (Up to 24h)</t>
  </si>
  <si>
    <t>Tap water is occasionally discoloured but is very unlikely to be harmful when drunk. It would also be safe: for preparing food and cleaning your teeth, for pets to drink, for washing and bathing, and for toilet flushing. A discoloured water problem would typically last for up to 24 hours at a time. It could discolour your washing. Running the tap for several minutes will not remove the discolouration.</t>
  </si>
  <si>
    <t>Discoloured water lasting for a week at a time</t>
  </si>
  <si>
    <t>On rare occasions, the water may be discoloured. Although it is unlikely to be harmful to health, we wouldn’t expect anyone to drink it when it looks unpleasant. You could still use your tap water for preparing food. You could still use your tap water for cleaning your teeth. Your pets could still drink the tap water and you could still use your tap water for washing and bathing. You could still use your tap water for toilet flushing. Even if you were to run your tap for several minutes, the water would still be brown/discoloured.</t>
  </si>
  <si>
    <t>The water is discoloured at a property for a day at a time.</t>
  </si>
  <si>
    <t>1 property affected by 1 discoloured water incident (1 day)</t>
  </si>
  <si>
    <t>Running the tap for several minutes will not remove the discolouration. Tap water may not be safe to drink. Discolouration can occur due to ageing pipes or as a result of the source of water.</t>
  </si>
  <si>
    <t>Water is discoloured for a week at a time without warning. Usually the tap water is brown in colour. Although this is very unlikely to be harmful to your health, you may choose not to drink it. It can also stain clothes in washing machines. Running the tap for several minutes will not remove the discolouration. Discolouration occurs due to water mains pipes being repaired or because of rust occurring over time in some pipes that are made from iron.</t>
  </si>
  <si>
    <t xml:space="preserve">The water is discoloured at your property for a few hours at a time, but is safe to drink. Running the tap for several minutes will not remove the discolouration. </t>
  </si>
  <si>
    <t>1 property affected by 1 discoloured water incident (Few hours)(2)</t>
  </si>
  <si>
    <t>Temporary discolouring of the water at your property for a few hours at a time because of ageing water mains. This would not be removed by running the tap for several minutes, but the water is safe to drink.</t>
  </si>
  <si>
    <t>The water is discoloured at your property for a few hours at a time, but is safe to drink. Running the tap for several minutes will not remove the discolouration.</t>
  </si>
  <si>
    <t>1 property affected by 1 discoloured water incident (Few hours)(3)</t>
  </si>
  <si>
    <t>1 property affected by 1 discolouration water incident (3)</t>
  </si>
  <si>
    <t>Water can appeared discoloured without warning. Usually the tap water is brown in colour. Although this is very unlikely to be harmful to your health, you may choose not to drink it. It can also stain clothes in washing machines. Running the tap for several minutes will not remove the discolouration. Discolouration occurs because of rust occurring over time in some pipes that are made from iron or when water mains pipes are repaired.</t>
  </si>
  <si>
    <t>Water taste and odour not ideal at your property for a day at a time, but safe to drink.</t>
  </si>
  <si>
    <t>We add chlorine to water as part of its treatment process. At some properties, the taste and smell of chlorine can be quite strong, although if a jug of water is left in the fridge for a couple of hours it will return to normal. Any property can potentially be affected.</t>
  </si>
  <si>
    <t>Water taste and smell not ideal at your property for a day at a time, but safe to drink.</t>
  </si>
  <si>
    <t>We make water safe to drink by adding a small amount of chlorine as part of its treatment process. Some customers may find the taste and smell of chlorine too strong for them depending on the level in the water and their sensitivity to it. The water is safe to drink, to use when preparing food or brushing your teeth, for washing and bathing and for toilet flushing. If a jug of tap water is left in the fridge for a couple of hours, any chlorine smell or taste will disappear. Water taste and smell problems typically last a day at a time.</t>
  </si>
  <si>
    <t>We add a small amount of chlorine to water as part of its treatment process. At some properties, the taste and smell of chlorine can be quite strong, although if a jug of water is left in the fridge for a couple of hours it will return to normal. The water is safe to drink, to use when preparing food or brushing your teeth, for washing and bathing and for toilet flushing. The time that taste and smell problems last depends on the person’s sensitivity to chlorine – some will always be aware of the issue, others may only experience it temporarily when there is a change in the water that is supplied to them.</t>
  </si>
  <si>
    <t>Taste and smell of water not appealing at your property.</t>
  </si>
  <si>
    <t>Tap water can also sometimes have a taste and smell that is not appealing due to the chlorine that we add to water as part of its treatment process. It is very unlikely to be harmful when drunk. It would also be safe for preparing food and cleaning your teeth, for pets to drink, for washing and bathing, and for toilet flushing. Taste and smell problems typically last for 24 hours at a time. The taste and smell of chlorine in tap water will reduce significantly if the water is left overnight in a jug in the fridge.</t>
  </si>
  <si>
    <t>1 property affected by 1 taste and smell incident (1 week)</t>
  </si>
  <si>
    <t xml:space="preserve">The taste and odour of water at your property is not ideal for a few days at a time, but is safe to drink. </t>
  </si>
  <si>
    <t>1 property affected by 1 taste and smell incident (Few hours) (2)</t>
  </si>
  <si>
    <t>Water taste and odour at your property that is not ideal for a few days at a time because of dissolved minerals and gases, but the water is safe to drink.</t>
  </si>
  <si>
    <t>1 property affected by 1 taste and smell incident (Few days) (3)</t>
  </si>
  <si>
    <t>1 property affected by 1 taste and smell incident (4)</t>
  </si>
  <si>
    <t>Dissolved minerals in drinking water can affect taste and smell. This may be caused by the treatment of the water (e.g. chlorine) or due to when it comes from. When this occurs water has a taste and smell, but it is safe to drink.  The problem is persistent, which means that it will occur regularly. Running the tap for several minutes does not remove the taste or smell.</t>
  </si>
  <si>
    <t>Persistent discolouration, or taste and smell that is not ideal</t>
  </si>
  <si>
    <t xml:space="preserve">Tap water may occasionally be discoloured or have a taste and smell that is less than ideal. Sometimes running the tap for several minutes will resolve these issues but occasionally the problem can persist for a longer period of time. These types of problems could continue for several days. Although the water is unlikely to be harmful, you may not want to use it in your household. </t>
  </si>
  <si>
    <t>Taste, smell or colour of tap water.</t>
  </si>
  <si>
    <t>1 complaint about discoloured water or taste and smell</t>
  </si>
  <si>
    <t>Some customers experience recurring incidents of unpleasant taste or smell or discolouration of their tap water. Properties can be affected over a period of time (e.g. a week) and running the tap for several minutes does not remove the taste, smell or discolouration. We can invest to reduce the number of properties affected by unpleasant taste, smell and discolouration of tap water.</t>
  </si>
  <si>
    <t>Water supply interruptions lasting an average of 2 and a half hours</t>
  </si>
  <si>
    <t>1 property affected by an unexpected interruption [2.5h]</t>
  </si>
  <si>
    <t>Interruptions to your water supply can happen at any time and at any property. They typically last around 2 and a half hours. The number of water supply interruptions can be reduced by increased maintenance which would reduce bursts.</t>
  </si>
  <si>
    <t>Unexpected supply interruption lasting an average of 2 and a half hours.</t>
  </si>
  <si>
    <t xml:space="preserve">Water supplies may be interrupted due to burst pipes. These interruptions typically last around 2 and a half hours, and happen at any time of day or night. The chances that interruptions occur can be reduced by increasing maintenance or replacing aging pipes sooner. </t>
  </si>
  <si>
    <t>Unexpected interruption to your water supply lasting an average of 4 hours.</t>
  </si>
  <si>
    <t>1 property affected by an unexpected interruption [4h]</t>
  </si>
  <si>
    <t>Unexpected interruptions to the water supply can happen at any time, at any property, and last around 4 hours on average. They can be reduced by increased maintenance which would reduce bursts and more monitoring of the networks sorepairs could take place before interrupting customers.</t>
  </si>
  <si>
    <t>Unexpected interruptions to your water supply can happen at any time, at any property, and last around 4 hours on average. They can be reduced by increased maintenance which would reduce bursts and more monitoring of the networks so repairs could take place before interrupting customers.</t>
  </si>
  <si>
    <t>Unexpected water supply interruptions lasting 3 to 6 hours.</t>
  </si>
  <si>
    <t>1 property affected by an unexpected interruption [3-6h]</t>
  </si>
  <si>
    <t xml:space="preserve">Unexpected interruptions lasting 3 hours or more to your water supply can occur due to burst pipes, or other system failures. They can happen at any time. About 90% of these unexpected interruptions last 3 to 6 hours. </t>
  </si>
  <si>
    <t>Short-term interruptions lasting 3 to 6 hours on average.</t>
  </si>
  <si>
    <t>Sometimes your water supply can be interrupted. This means that you may have no water for a period of time, or your supply could be intermittent. This may be due to some work we are doing in your area, or because of a burst pipe. Sometimes we do not know in advance that your water supply will be affected, for example underground pipes could burst due to freezing weather. Pipes are more likely to burst if they are old and in need of repair. Water companies can reduce the chance burst pipes by replacing ageing pipes sooner. Some interruptions to your water supply that are unexpected only last for a short period of time, for example between 3-6 hours.</t>
  </si>
  <si>
    <t>Unexpected interruptions to supply lasting 3-6 hours.</t>
  </si>
  <si>
    <t>Interruptions to the water supply can occur without any warning or notice due to pipes bursting or equipment failing. This could happen at any time of the day or night. Affected properties have no water supply for a temporary period (between 3 to 6 hours). We can reduce this problem by replacing aging pipes sooner.</t>
  </si>
  <si>
    <t>Unexpected supply interruptions lasting 3 to 6 hours.</t>
  </si>
  <si>
    <t>If this occurs the affected properties will be without water for 3 to 6 hours. This may happen without warning because of a burst pipe, a problem with a water treatment works or repairs are needed. The interruption could happen at any time of day or night. Different properties are affected each year.</t>
  </si>
  <si>
    <t>An unexpected interruptions to the water supply at your property, lasting 3-6 hours.</t>
  </si>
  <si>
    <t>1 property affected by an unexpected interruption [3-6h] (2)</t>
  </si>
  <si>
    <t xml:space="preserve">Unexpected interruptions to the water supply at your property lasting between 3 and 6 hours. </t>
  </si>
  <si>
    <t>An unexpected interruption to the water supply at your property lasting between 3-6 hours.</t>
  </si>
  <si>
    <t>1 property affected by an unexpected interruption [3-6h] (4)</t>
  </si>
  <si>
    <t>Short (3-6 hour) interruptions in supply.</t>
  </si>
  <si>
    <t>1 property affected by an unexpected interruption [3-6h] (5)</t>
  </si>
  <si>
    <t>Short interruptions to the water supply at your property lasting an average of 6 hours.</t>
  </si>
  <si>
    <t>1 property affected by an unexpected interruption [6h]</t>
  </si>
  <si>
    <t xml:space="preserve">Unexpected interruptions lasting an average of 6 hours are caused by burst pipes, or failures in the local pumping station or treatment works. They can happen at any time, and at any property. </t>
  </si>
  <si>
    <t>Water supply interruptions</t>
  </si>
  <si>
    <t>Interruptions to your water supply can happen at any time, at any property, and last around 6 hours on average. They can be reduced by increased maintenance which would reduce bursts and more monitoring of the networks so repairs could take place before interrupting customers.</t>
  </si>
  <si>
    <t>Unexpected interruption to the water supply at a property lasting between 6 and 12 hours.</t>
  </si>
  <si>
    <t>1 property affected by an unexpected interruption [6-12h]</t>
  </si>
  <si>
    <t>Unexpected interruptions are caused by things like a burst water main. Please note that the interruption to the water supply can happen at any time of the day or night</t>
  </si>
  <si>
    <t>Long (6-12 hour) interruptions in supply.</t>
  </si>
  <si>
    <t>1 property affected by an unexpected interruption [6-12h] (5)</t>
  </si>
  <si>
    <t>Unexpected interruptions to water supply</t>
  </si>
  <si>
    <t>1 property affected by an unexpected interruption [6-12h] (6)</t>
  </si>
  <si>
    <t>If this occurs the affected properties will be without water for 6 to 12 hours. This may happen without warning and could happen at any time of day or night. Interruptions occur due to burst pipes, a problem with a water treatment works or if repairs are needed.</t>
  </si>
  <si>
    <t>Unexpected stoppage (12-24 hours)</t>
  </si>
  <si>
    <t>1 property affected by an unexpected interruption [12-24h] (4)</t>
  </si>
  <si>
    <t>B, region 1</t>
  </si>
  <si>
    <t>Hosepipe bans</t>
  </si>
  <si>
    <t>1 property affected by a hosepipe ban</t>
  </si>
  <si>
    <t>Hosepipe bans are put in place during extended dry spells to ration the available water. They would typically last for 5 months beginning in May and ending in September. They include a ban on the use of a hosepipe for domestic gardening, cleaning and other recreational uses and also include bans on filling domestic swimming pools. Exemptions apply for commercial users and activities and disabled Blue Badge holders.</t>
  </si>
  <si>
    <t>B, region 2</t>
  </si>
  <si>
    <t>Hosepipe bans from May to September</t>
  </si>
  <si>
    <t>Hosepipe bans are put in place during extended dry spells to help manage demand for water. When they are put in place, they typically last for 5 months beginning in May and ending in September. When a ban is in place, hosepipes cannot be used for domestic gardening, cleaning, or recreational uses such as filling home swimming pools. Exemptions apply for commercial users and activities, and vulnerable customers.</t>
  </si>
  <si>
    <t>Temporary use ban in spring and/or summer</t>
  </si>
  <si>
    <t>Temporary use bans, also known as hosepipe bans, are put in place during extended dry spells to help manage demand for water. When they are put in place it is typically during the spring and summer. The following uses of water may be prohibited under a temporary use ban: Watering a garden; Cleaning a motor vehicle; Filling or maintaining a swimming pool, paddling pool or pond; Filling or maintaining an ornamental fountain; Drawing water, using a hosepipe, for domestic recreational use; Cleaning walls, or windows, or a property; Cleaning paths, patios or other artificial outdoor surfaces.</t>
  </si>
  <si>
    <t>Hosepipe bans from May to September.</t>
  </si>
  <si>
    <t>Hosepipe bans are used by Water Companies to conserve water following very dry spells. They typically last for 5 months, beginning in May and ending in September. You would not be able to do the following with a hosepipe if there was a hosepipe ban: Water a garden; Wash a motor vehicle; Fill or maintain a swimming pool, paddling pool, pond or ornamental fountain; Use a hosepipe, for domestic recreational use; Clean walls, or windows, or a property with water; Clean paths, patios or other artificial outdoor surfaces with water. You would still be able to water your garden, wash a car or clean walls or paths etc with a watering can or bucket.</t>
  </si>
  <si>
    <t>Water use restrictions</t>
  </si>
  <si>
    <t>1 property affected by water use restrictions (2)</t>
  </si>
  <si>
    <t>During long periods of dry weather and low rainfall. it may be necessary to restrict the use of water by customers. Restrictions on uses like watering gardens and parks, washing cars and windows, and filling swimming pools conserves water for essential uses (drinking, cooking and washing) and helps maintain river levels to protect water habitats and wildlife. We could invest in new water resources or water saving measures in order to reduce the need for water use restrictions.</t>
  </si>
  <si>
    <t>A ban on using the hose pipe at a property that would typically last for 5 months beginning in May and ending in September.</t>
  </si>
  <si>
    <t>1 property affected by a hosepipe ban (3)</t>
  </si>
  <si>
    <t>During a hosepipe ban, hosepipes must not be used to extract drinking water for any of the following purposes: watering a ‘garden’ or plants on domestic or other non-commercial premises; cleaning a private motor-vehicle or leisure boat; filling a domestic swimming or paddling pool; domestic recreational use; filling a domestic pond (excluding fish ponds); filling an ornamental fountain; cleaning walls, windows, cleaning paths or patios or other artificial outdoor surfaces.</t>
  </si>
  <si>
    <t>Hosepipe ban</t>
  </si>
  <si>
    <t>A ban on using the hose pipe that would typically last for 5 months beginning in May and ending in September. Under a hosepipe ban, customers are not allowed to use a hosepipe to: Water a garden; Clean a car or van; Fill or maintain a swimming or paddling pool or ornamental fountain; Clean outdoor surfaces (e.g. paths or patios).</t>
  </si>
  <si>
    <t xml:space="preserve">A ban on using the hose pipe at your property – because of drought - that would typically last for 5 months beginning in May and ending in September. </t>
  </si>
  <si>
    <t>1 property affected by a hosepipe ban (households) or temporary use ban (businesses) (4)</t>
  </si>
  <si>
    <t>A ban on using a hosepipe at your property that would typically last from May to September (5 months) as a result of drought conditions. For this period, you would not be allowed to use a hosepipe to water a ‘garden’ or clean a private car or van, and you would not be allowed to fill a swimming or paddling pool if you have one.</t>
  </si>
  <si>
    <t>A ban on using the hosepipe at your property for 5 months beginning in May and ending in September because of drought.</t>
  </si>
  <si>
    <t>1 property affected by a hosepipe ban (5)</t>
  </si>
  <si>
    <t>Risk of a hose-pipe ban</t>
  </si>
  <si>
    <t>1 property affected by a hosepipe ban (6)</t>
  </si>
  <si>
    <t>1 property affected by a hosepipe ban (7)</t>
  </si>
  <si>
    <t>Households cannot use a hosepipe to water gardens, clean vehicles, filling a swimming or paddling pool or fountain, cleaning paths, patios or outdoor surfaces. Households can use watering cans, buckets or other hand held water containers. Restrictions on the use of hosepipes generally last for three summer months. In recent years there have more hosepipe bans than usual, but on average these restrictions occur once every 10 years.</t>
  </si>
  <si>
    <t xml:space="preserve">A non essential use ban comes after a temporary use ban and would impose additional restrictions. Typically, a non-essential use ban would tend to affect businesses like window cleaners, landscape gardeners (watering of turf), car washes, and sports facilities (watering of golf courses, football and cricket pitches). Non-essential use bans would typically be shorter than temporary use bans. </t>
  </si>
  <si>
    <t>1 property affected by a non-essential use ban (3)</t>
  </si>
  <si>
    <t>This ban needs Government approval. It is introduced after a hosepipe ban for households. Under a non-essential use ban, business customers are not allowed to use a hosepipe to: Water outdoor plants on commercial premises; Clean any vehicle, boat, aircraft or railway rolling stock; Clean the exterior of buildings, windows and industrial plant or use water to suppress dust. Business customers are also not allowed to: Fill or maintain a swimming or paddling pool; Fill or maintain a pond that is for ornamental use; Operate a mechanical vehicle-washer; or Operate an automatic flushing cistern (WC or urinal) in any building that is unoccupied and closed.</t>
  </si>
  <si>
    <t>1 property affected by a non-essential use ban (5)</t>
  </si>
  <si>
    <t>1 property affected by a non-essential use ban (7)</t>
  </si>
  <si>
    <t>Businesses can not use a hosepipe to water gardens, clean vehicles, clean buildings/windows. Business can not usually use water to fill swimming pools or pond, operate a mechanical vehicle-washer, operate automatic flushing toilets in unoccupied or closed buildings. Business customers can clean for health and safety reasons or animal welfare, use containers from a tap to top up pools. Similar restrictions apply to domestic households. Restrictions on non-essential uses generally last for three summer months.</t>
  </si>
  <si>
    <t>1 property affected by occasional low water pressure</t>
  </si>
  <si>
    <t>Low water supply pressure can be due to a property's location or a reduction in mains pressure. It affects the use of taps, showers and boilers - for example it can take up to 5 times longer to fill a bowl of water. “Occasional” means the water pressure is not low all the time but becomes lower in several one-off incidents over a year. We can reduce the frequency of low pressure incidents by improving the water supply network.</t>
  </si>
  <si>
    <t>Low water pressure occasionally affects taps, showers and boilers at your property.</t>
  </si>
  <si>
    <t>Low pressure can have a number of causes: High water demand, such as in the morning and during dry spells when people use hosepipes to water their gardens; Inadequate pumping facilities or water mains that are too small; Reduced pressure from the water main as a result of leakage, equipment failures or blocked service pipes.</t>
  </si>
  <si>
    <t>Low water pressure affects the taps, showers and boilers at your property. This happens occasionally and can occur at any time lasting for 3-6 hours each time.</t>
  </si>
  <si>
    <t>1 property affected by occasional low water pressure (2)</t>
  </si>
  <si>
    <t>Low water pressure affecting the taps, showers or boilers at your property, occurring occasionally and lasting for 3-6 hours.</t>
  </si>
  <si>
    <t>Persistent low water pressure</t>
  </si>
  <si>
    <t>Low pressure affects the taps,  showers and boilers at your property.</t>
  </si>
  <si>
    <t>1 property affected by persistent low water pressure</t>
  </si>
  <si>
    <t>Low water pressure means it takes longer to fill the bath or a kettle, and it may affect the operation of a combination boiler. Persistent low water pressure can be caused by the age and condition of the pipes, but properties at the tops of hills or flats in tall buildings are most at risk.</t>
  </si>
  <si>
    <t>Persistent water pressure affects the taps, showers and boilers at customers’ properties.</t>
  </si>
  <si>
    <t>Low water pressure means it takes longer to fill the bath or a kettle, and it may affect the operation of a combination boiler. Persistent means the property is affected every day, though the problem may come and go during the day. It can be caused by the age and condition of the pipes, but properties at the tops of hills or flats in tall buildings are most at risk. It is important to understand that we are not referring to low pressure caused by customer’s internal plumbing.</t>
  </si>
  <si>
    <t xml:space="preserve">Persistent low water pressure affects the taps, showers and boilers at customers’ properties. Low water pressure means it takes longer to fill the bath or a kettle, and it may affect the operation of a combination boiler. Persistent means the property is affected every day, though the problem may come and go during the day. It can be caused by the age and condition of the pipes, but properties at the tops of hills or flats in tall buildings are most at risk. It is important to understand that we are not referring to low pressure caused by customer’s internal plumbing. </t>
  </si>
  <si>
    <t>Low water pressure means it takes longer to fill the bath or a kettle than you would like, and it may affect how well a combi boiler works. Persistent means the property is affected every day, though the problem may come and go during the day. It can be caused by the age and condition of the water company’s pipes rather than problems with internal plumbing which the customer is responsible for. Properties at the tops of hills and the end of lines are most at risk. If you don’t currently suffer, or have never suffered from persistent low water pressure, then your property is not at risk.</t>
  </si>
  <si>
    <t>Persistent low water pressure.</t>
  </si>
  <si>
    <t>This affects taps, showers and boilers; for example, it could take a long time to fill a sink or bath and a normal shower system may not work properly. It happens persistently, for example, always at peak times such as weekday breakfast times, and may particularly affect people at the top of tall buildings or properties at tops of hills. We are only talking here about where pressure is low in our pipes. Households may receive inadequate pressure because, for example, they share a supply with one or more other properties and this is a problem with their private pipes. This is not our responsibility.</t>
  </si>
  <si>
    <t>1 property affected by persistent low water pressure (3)</t>
  </si>
  <si>
    <t>Low water pressure affects the taps, showers and boilers at properties. This means water runs slower. This is a result of low pressure provided to the property from the water company. It does not include internal plumbing issues that cause low pressure when multiple taps/appliances are on at the same time. This is a persistent problem, which means that this occurs regularly. Examples include this happening in the mornings, or in upstairs room all the time.</t>
  </si>
  <si>
    <t>Hardness of tap water</t>
  </si>
  <si>
    <t>1 complaint about hardness</t>
  </si>
  <si>
    <t>Hardness of tap water refers to the mineral content of water. This is not a concern for public health and the water is safe to drink, but it does affect the use of kettles, boilers and other appliances through „scaling‟. This is an issue all year round for customers in the affected areas. With additional investment, we could reduce the hardness of the tap water it supplies.</t>
  </si>
  <si>
    <t>Hard water</t>
  </si>
  <si>
    <t>1 property affected by moderately hard water (3)</t>
  </si>
  <si>
    <t>The water at your property is hard causing lime scale. Hard water contains minerals and is caused by the natural minerals in the source of the water. Lime scale may build up on appliances like kettles, washing machines and boilers and machines affecting businesses.</t>
  </si>
  <si>
    <t>1 property affected by very hard water (2)</t>
  </si>
  <si>
    <t>1 property affected by hard water (4)</t>
  </si>
  <si>
    <t>1 property affected by hard water (5)</t>
  </si>
  <si>
    <t>The water at your property is hard causing lime scale. Hard water contains minerals and is caused by the natural minerals in the source of the water. Lime scale may build up on appliances like kettles, washing machines and boilers and machines affecting businesses. We can invest to reduce the hardness of water</t>
  </si>
  <si>
    <t>1 ml/day lost (2)</t>
  </si>
  <si>
    <t>Leaks occur due to cracks in pipes or corrosion as they age. We can reduce leakage by investing to find the leaks faster and repairing them quicker. We can minimise the disruption by using technology that avoids digging up roads. Reducing leakage will have minimal impact on the environment.</t>
  </si>
  <si>
    <t>Water leakage</t>
  </si>
  <si>
    <t>1 ml/day lost (3)</t>
  </si>
  <si>
    <t>1 ml/day lost (4)</t>
  </si>
  <si>
    <t>1 ml/day lost (5)</t>
  </si>
  <si>
    <t>Water is lost through leaks in old pipes. Fixing leaks can cause disruption to traffic and people. Reducing leakage means that less water is taken from the rivers, less water requires treatment, hosepipe bans are less likely.</t>
  </si>
  <si>
    <t>River water quality</t>
  </si>
  <si>
    <t>1 km river improved by 1 status level</t>
  </si>
  <si>
    <t>We take water from rivers and discharge treated wastewater back into rivers, along with occasional sewer overflows. The water industry therefore has the potential to affect river water quality. It is not alone in this respect, however; other users such as farming, forestry, and industry also have an impact. River water quality is classified as High Quality (Diverse and natural ranges of plants, insects, fish, birds and other animals. Water will have the right degree of clarity and there will be no noticeable pollution. Water will generally be suitable for contact activities, such as rowing or swimming); Medium Quality (Some plants, insects, fish, birds and other animals. Water may be slightly murky or discoloured, and there may be some visible pollution. Water will be suitable for contact activities in some areas but not others.); and Low Quality (Limited or no plants or wildlife, or the water may be dominated by a single plant species. Water will generally be murky or discoloured, and may be bad-smelling in some places. There may also be visible pollution, and water will be unsuitable for contact activities.)</t>
  </si>
  <si>
    <t>1 km river improved to 'Good' status</t>
  </si>
  <si>
    <t>We take water from rivers and puts treated wastewater back into rivers, along with occasional sewer overflows. Along with other users such as farming and industry, its activities therefore affect river water quality. River water quality is classified as being ‘Good’ quality if the river is close to its natural condition; if there is a good range of plants, fish and insects; if the water is mostly clear and showing no signs of pollution.</t>
  </si>
  <si>
    <t>We take water from rivers and puts treated wastewater back into rivers, along with occasional sewer overflows. Along with other users such as farming and industry, its activities therefore affect river water quality. River water quality is classified as being ‘Good’ quality if there is a good range of plants, fish and insects; if the water is mostly clear and showing no signs of pollution; and if it is suitable for swimming, rowing and fishing.</t>
  </si>
  <si>
    <t>1 km river improved from 'Medium' to 'High'</t>
  </si>
  <si>
    <t>We take water from rivers and puts treated wastewater back into rivers, along with occasional sewer overflows. Along with other users such as farming, forestry, and industry, its activities therefore affect river water quality. River water quality is classified as : High (Diverse and natural ranges of plants, insects, fish, birds and other animals; Water will have the right degree of clarity and there will be no noticeable pollution; Water will generally be suitable for contact activities, such as rowing or swimming); Medium (Some plants, insects, fish, birds and other animals. Water may be slightly murky or discoloured, and there may be some visible pollution. Water will be suitable for contact activities in some areas but not others) and Low (Limited or no plants or wildlife, or the water may be dominated by a single plant species. Water will generally be murky or discoloured, and may be bad-smelling in some places. There may also be visible pollution, and water will be unsuitable for contact activities.)</t>
  </si>
  <si>
    <t>1 km river improved from 'Low' to 'Medium'</t>
  </si>
  <si>
    <t>River water quality.</t>
  </si>
  <si>
    <t>1 km river improved to 'Good' status (2)</t>
  </si>
  <si>
    <t>Wastewater from homes and businesses mixes with rainwater from draining from roads and pavements, before entering the public sewer. All this water is then treated at one of our sewage treatment works before being released back into rivers or the sea. The quality of river water is affected by the volume and quality of the treated waste that is put back into rivers.</t>
  </si>
  <si>
    <t>1 km river improved to 'Good' or better status (2)</t>
  </si>
  <si>
    <t>All rivers in Europe should meet environmental quality standards that aim to improve the status of natural habitats. The quality of rivers and stream habitats for wildlife and use by people can be affected by treated wastewater discharged from sewage treatment works. We can upgrade its treatment works to improve the environmental quality of rivers in its region supporting a wider range of wildlife such as plants, birds and fish.</t>
  </si>
  <si>
    <t>The quality of river water.</t>
  </si>
  <si>
    <t>1 km river improved to 'Good' status (3)</t>
  </si>
  <si>
    <t>Good river water quality: There are many natural plants, insects and animals; water has the right degree of clarity; there is no noticeable pollution and water is generally suitable for contact activities, such as rowing or wind surfing; Medium river water quality: There will plants, fish and animals but some fish or other wildlife will be missing; water will be slightly murky in parts; there may be visible pollution in some places; and water may be suitable for contact activities in some areas; Low river water quality: There may be very limited or no plants or wildlife life; water will be murky, and may be bad-smelling; there may be visible pollution in some places ; and water will be unsuitable for contact activities.</t>
  </si>
  <si>
    <t>River water quality in 30-mile area</t>
  </si>
  <si>
    <t>1 km river improved by 1 status level, per property within 30 miles (4)</t>
  </si>
  <si>
    <t>Wildlife habitat in local rivers and streams due to water being taken.</t>
  </si>
  <si>
    <t>1 river with good quality (5)</t>
  </si>
  <si>
    <t>NWEBS (6)</t>
  </si>
  <si>
    <t>1 km river improved from Bad to Poor</t>
  </si>
  <si>
    <t>Figures shown are central estimates for all England &amp; Wales, in 2012 prices.</t>
  </si>
  <si>
    <t>1 km river improved from Poor to Moderate</t>
  </si>
  <si>
    <t>1 km river improved from Moderate to Good</t>
  </si>
  <si>
    <t>NWEBS (7)</t>
  </si>
  <si>
    <t>1 km river improved from Poor to Good</t>
  </si>
  <si>
    <t xml:space="preserve">Derived as the sum of values for “Poor to Moderate” and “Moderate to Good”. </t>
  </si>
  <si>
    <t>NWEBS (8)</t>
  </si>
  <si>
    <t>1 km river improved from Bad to Good</t>
  </si>
  <si>
    <t>Derived as the sum of values for “Bad to Poor” and “Poor to Good”</t>
  </si>
  <si>
    <t>External PR14 WTP Studies (2): HH</t>
  </si>
  <si>
    <t>ML/day</t>
  </si>
  <si>
    <t>ExternalWTP19</t>
  </si>
  <si>
    <t>ExternalWTP14</t>
  </si>
  <si>
    <t>Unique ID</t>
  </si>
  <si>
    <t>Protecting wildlife service level chosen</t>
  </si>
  <si>
    <t>Protecting wildlife_WTP</t>
  </si>
  <si>
    <t>PC slider</t>
  </si>
  <si>
    <t>Note: 240 SSW and 86 CAM respondents who chose the baseline levels for all the attributes dropped from our analysis</t>
  </si>
  <si>
    <t>Source:</t>
  </si>
  <si>
    <t>Leakage levels</t>
  </si>
  <si>
    <t>Interruptions to water supply</t>
  </si>
  <si>
    <t>Attributes (Slider)</t>
  </si>
  <si>
    <t>Attribute definition (Slider)</t>
  </si>
  <si>
    <t>We can continue to tackle leakage from our network of pipes. We currently lose 24% of the water we supply every day in the South Staffs region and 18% in the Cambridge region. The national average of all water companies is 19%. Around 70% of leaks occur on our pipes and 30% from customers’ supply pipes which are their own responsibility to fix.</t>
  </si>
  <si>
    <t>All water companies have a legal duty to protect and improve areas for wildlife and plants in the places where they operate and ensure no land they operate on is permanently damaged. We currently manage 116 hectares (the same area as 162 football pitches) across both regions, which currently goes beyond the legal minimum we are required to carry out. We can go even further and actively manage more of the areas we work in and also focus the majority of our activity on managing areas where endangered or under threat species are growing/living.</t>
  </si>
  <si>
    <t>Each year we count the number of times a customers’ property suffers a loss of water supply for more than 3 hours. Most customers will not be affected by this in any year. In 2017 the average interruption time across both regions was 5 minutes, with the average time across all water companies being 10 minutes and the best performing being just short of 2 minutes.</t>
  </si>
  <si>
    <t>WTP Core-DCE: Wave 1</t>
  </si>
  <si>
    <t>WTP Core-DCE: Wave 2</t>
  </si>
  <si>
    <t>Source: WTP Main Outputs Wave 2 - May 2018.xlsx/Attribute Grid</t>
  </si>
  <si>
    <t xml:space="preserve">Due to contamination, you are unable to drink the water at your property for a period of 3 weeks. </t>
  </si>
  <si>
    <t>Approximately every 3rd property in your water company’s area is served by a lead pipe, most of these are pipes are owned by the customer. (A harmless additive is added to the water supply to significantly reduce any risk to health from lead pipes)</t>
  </si>
  <si>
    <t>Hard water is proven to be good for your health as it has a high mineral content, but it can lead to limescale forming on taps and appliances. Softening the water using a device is an option, but this can also alter the taste of your water and water companies recommend customers still have a unsoftened supply for drinking and cooking.</t>
  </si>
  <si>
    <t>Attribute definition altered to say hard water good for health</t>
  </si>
  <si>
    <t xml:space="preserve">Attribute definition changed from property  without water for up to 24 hours. </t>
  </si>
  <si>
    <t>Attribute definition altered from no health risk to almost none</t>
  </si>
  <si>
    <t xml:space="preserve">There is an unexpected problem with the network, such as a burst main, that means you are without water at your property for 1-5 hours. </t>
  </si>
  <si>
    <t xml:space="preserve">Around 24% (HH)/20% (NHH) of the water supplied by your water company is lost through leaking pipes. The majority of this is from the water company's pipe network and the rest from the supply pipe that serve customers’ properties (which is the responsibility of the property owner). As new leaks are always appearing they can’t be reduced to 0. </t>
  </si>
  <si>
    <t>The vast majority of business customers and 36%  household customers(SSW)/71% (CW) have a water meter fitted in this region which means they pay just for the water they use. The remaining  properties pay a fixed amount per year depending on the rateable value of their property.</t>
  </si>
  <si>
    <t>To pump water to customers’ homes your water company uses a lot of electricity. Currently, 11% of the electricity used by your water company comes from renewable sources - eg solar panels, wind power. Note - 1% of its electricity comes from renewable energy sources that the company owns and 10% via the energy provider they are with</t>
  </si>
  <si>
    <t>All water companies have a legal duty to protect and improve areas for wildlife and plants in the places where they operate and ensure no land they operate on is permanently damaged. They currently protect and improve 99 hectares (SSW)/17 ha(CAM)  in the region – which is the same area as 138(SSW)/ 24 football pitches. This is less than 7% (SSW)/12% (CAM)of the area of land in the region that is known to need specific protection from the impacts of all human activity.</t>
  </si>
  <si>
    <t>Attribute definition now mentions % of land managed in context of whole region</t>
  </si>
  <si>
    <t>SSW: Around 50% of the water used in your region is drawn from the River Severn and the Blithefield reservoir which is fed by the river Blithe. Taking water can impact on rivers and streams and the land around them (eg floodplains) and your water company has a legal duty to restore the river and the wildlife around it. Your water company also works actively with farmers/big business to protect water taken by your water company from any harmful run-off (e.g. pesticides and fertilisers being picked up by water into the rivers). CAM: Your water company draws all the water needed by customers from underground water sources. This can impact on rivers and streams and the land around them (eg floodplains) and your water company has a legal duty to restore the river and the wildlife around it. Your water company also works actively with farmers/big business to protect water taken by your water company from any harmful run-off (e.g. pesticides and fertilisers being picked up by water into the rivers).</t>
  </si>
  <si>
    <t>Attribute definition now also in context of actively managing land with landowners</t>
  </si>
  <si>
    <t>% reduction in run-off</t>
  </si>
  <si>
    <t xml:space="preserve">Attribute unit changed from hectare </t>
  </si>
  <si>
    <t xml:space="preserve">HH </t>
  </si>
  <si>
    <t xml:space="preserve">NHH </t>
  </si>
  <si>
    <t>Taste and smell</t>
  </si>
  <si>
    <t>eg was in SST, now '1 in 90 yrs'</t>
  </si>
  <si>
    <t>eg was 'never' in SST, now '1 in 25 yrs'</t>
  </si>
  <si>
    <t>eg was 'never' in SST, now '1 in 120 yrs'</t>
  </si>
  <si>
    <t>Different levels for the following attributes:</t>
  </si>
  <si>
    <t xml:space="preserve"> eg was 33% (S0), blank for S1 and 0% (S2) in Wave 1. S1 and S2 in Wave 2 have been changed: 'removed from all properties' to '1 in 5 have lead pipes'</t>
  </si>
  <si>
    <t xml:space="preserve"> eg was 100% (S0), blank for S1 and 0% (S2) in Wave 1. S1 and S2 in Wave 2 have been changed to 50% and 0%</t>
  </si>
  <si>
    <t>eg was 'never' in SST, now '1 in 105 yrs</t>
  </si>
  <si>
    <t>eg was '1 in 20 years' in SST, now '1 in 15 yrs</t>
  </si>
  <si>
    <t>eg was 'never' in SST, now '1 in120 yrs</t>
  </si>
  <si>
    <t>e.g. was 70.5 (S0), 35.25(S1) and 17.63 (S2) in Wave 1.</t>
  </si>
  <si>
    <t>e.g. was33 (S0), 65(S1) and 90 (S2) in Wave 1.</t>
  </si>
  <si>
    <t>e.g. was 11 (S0), 30(S1) and 50 (S2) in Wave 1.</t>
  </si>
  <si>
    <t>e.g. was 0(S0),19(S1) and 30(S2)</t>
  </si>
  <si>
    <t>eg was 'never' in CAM, now '1 in 120 yrs'</t>
  </si>
  <si>
    <t>e.g. was never in CAM, now in 1 in 65 years</t>
  </si>
  <si>
    <t>e.g. was never in CAM, now in 1 in 100 years</t>
  </si>
  <si>
    <t>Attribute definition changed to 36% and 71%</t>
  </si>
  <si>
    <t>e.g. was never in CAM, now in 1 in 60 years</t>
  </si>
  <si>
    <t>eg was 'never' in SST, now '1 in 65 yrs</t>
  </si>
  <si>
    <t>e.g. was never in CAM, now in 1 in 30 years</t>
  </si>
  <si>
    <t>eg was '1 in 20 years' in CAM, now '1 in 15 yrs</t>
  </si>
  <si>
    <t>eg was 'never' in CAM, now '1 in120 yrs</t>
  </si>
  <si>
    <t>e.g. was 13.5 (S0), 6.75(S1) and 3.38 (S2) in Wave 1.</t>
  </si>
  <si>
    <t>No change in CAM</t>
  </si>
  <si>
    <t>e.g. was 0(S0),6(S1) and 10(S2)</t>
  </si>
  <si>
    <t>This attribute has quite different levels compared to wave one - the previous units have been left here, but they may need to be reviewed.  The wave two indicated reducing run-off by 25% and 50% for both SSW and CAM</t>
  </si>
  <si>
    <t xml:space="preserve">Note 1: Drought restrictions, Giving customers control of their water usage and Traffic disruption not included in Wave 2 </t>
  </si>
  <si>
    <t>Note 2: Attribute levels: Wave 1 mid-point is now the best level i.e. Wave 1 S1 level is level S2 in Wave 2 for the following attributes:</t>
  </si>
  <si>
    <t>Attribute definition changed from 2 to 3 weeks</t>
  </si>
  <si>
    <t xml:space="preserve">Average </t>
  </si>
  <si>
    <t>Unit WTP (from above)</t>
  </si>
  <si>
    <t>Protecting wildlife service level chosen (hectare)</t>
  </si>
  <si>
    <t>Protecting wildlife_WTP (£/hh/year/hectare)</t>
  </si>
  <si>
    <t>Protecting wildlife bill amount chosen (£/hh/year)</t>
  </si>
  <si>
    <t>Leakage levels bill amount chosen (£/hh/year)</t>
  </si>
  <si>
    <t>Interruptions to water supply bill amount chosen (£/hh/year)</t>
  </si>
  <si>
    <t>Leakage service level chosen (ml/day)</t>
  </si>
  <si>
    <t>Leakage_WTP (£/hh/year/ml/day)</t>
  </si>
  <si>
    <t>Interruptions to water supply service level chosen (average minutes)</t>
  </si>
  <si>
    <t>Interruptions_WTP (£/hh/year/minutes)</t>
  </si>
  <si>
    <t>WTP (S0 to S2)</t>
  </si>
  <si>
    <t>Lowest bill amount for Protecting wildlife</t>
  </si>
  <si>
    <t>Lowest bill leakage</t>
  </si>
  <si>
    <t>Lowest bill amount for Interruptions</t>
  </si>
  <si>
    <t>Highest service level for Protecting wildlife (ha)</t>
  </si>
  <si>
    <t xml:space="preserve">Lowest service level Protecting wildlife (ha) </t>
  </si>
  <si>
    <t>Highest service level leakage (ml/day)</t>
  </si>
  <si>
    <t>Lowest service level leakage (ml/day)</t>
  </si>
  <si>
    <t>Highest service level for Interruptions (minutes)</t>
  </si>
  <si>
    <t xml:space="preserve">Lowest service level for Interruptions (minutes) </t>
  </si>
  <si>
    <t>Inputs</t>
  </si>
  <si>
    <t>PC Slider</t>
  </si>
  <si>
    <t>Source: 'WTP (Current Bill)' except where indicated</t>
  </si>
  <si>
    <t>Investing in community projects</t>
  </si>
  <si>
    <t>Educating future generations</t>
  </si>
  <si>
    <t xml:space="preserve">Supporting customers experiencing difficult situations </t>
  </si>
  <si>
    <t>NEW</t>
  </si>
  <si>
    <t>Main Level for unit val calc - based on W2 Report, Table 3</t>
  </si>
  <si>
    <t>Total Pot Value (S0 to MAIN LEVEL) (£/year)</t>
  </si>
  <si>
    <t>WTPCore_DCE2</t>
  </si>
  <si>
    <t>COMBINED (South Staffs &amp; Cambridge Water)</t>
  </si>
  <si>
    <t>Weight applies to SSW HH, SSW NHH and CAM HH</t>
  </si>
  <si>
    <t>WTPCore_DCE2a</t>
  </si>
  <si>
    <t>WTPCore_DCE: Low</t>
  </si>
  <si>
    <t>WTPCore_DCE: High</t>
  </si>
  <si>
    <t>WTPCore_DCE2: Low</t>
  </si>
  <si>
    <t>WTPCore_DCE2: High</t>
  </si>
  <si>
    <t>Notes:</t>
  </si>
  <si>
    <t>LOWER  BOUND</t>
  </si>
  <si>
    <t>UPPER BOUND</t>
  </si>
  <si>
    <t>WTP Core-DCE: Wave 2: Low Bill</t>
  </si>
  <si>
    <t>WTPCore_DCE2_LowBill</t>
  </si>
  <si>
    <t>Note:</t>
  </si>
  <si>
    <t>Average(WTP Wave1 Unit value scaled, WTP Wave 2 Unit value scaled)</t>
  </si>
  <si>
    <t>WTP (£/hh/yr) (from WTP_Core_DCE2)</t>
  </si>
  <si>
    <t>Service levels (from WTP_Core_DCE2)</t>
  </si>
  <si>
    <t>WTPCore_DCE_Wave 1 Unit values</t>
  </si>
  <si>
    <t>WTPCore_DCE_Wave 1 Unit values_SCALED</t>
  </si>
  <si>
    <t>WTPCore_DCE_Wave 2 Unit values</t>
  </si>
  <si>
    <t>WTPCore_DCE_Wave 2 Unit values_SCALED</t>
  </si>
  <si>
    <t>Traffic disruption was not included in the WTP Wave 2 study so we set it's unit value in WTP Wave 2 =it's unit value in WTP Wave 1</t>
  </si>
  <si>
    <t>WTP service levels DCE2</t>
  </si>
  <si>
    <t>WTP CORE DCE2 VALUES  (£/hh/yr)</t>
  </si>
  <si>
    <t>WTP CORE SERVICE LEVELS DCE2</t>
  </si>
  <si>
    <t>AVERAGE</t>
  </si>
  <si>
    <t>WTP CORE DCE2 SERVICE LEVELS</t>
  </si>
  <si>
    <t>WTP CORE DCE2 VALUES  (%/business/yr)</t>
  </si>
  <si>
    <t>WTP CORE DCE2SERVICE LEVELS</t>
  </si>
  <si>
    <t>Rota cuts and standpipes and Traffic disruption were not included in the WTP Wave 2 study so we set their service levels and  unit values in WTP Wave 2  equal to their service levels and unit values in WTP Wave 1</t>
  </si>
  <si>
    <t>South Staff Water NHH</t>
  </si>
  <si>
    <t>Cambridge Water NHH</t>
  </si>
  <si>
    <t>Average</t>
  </si>
  <si>
    <t>average</t>
  </si>
  <si>
    <t>WTP Main Outputs Wave 2 - May 2018.xlsx</t>
  </si>
  <si>
    <t>This file contains PR19 WTP Wave 2 data</t>
  </si>
  <si>
    <t xml:space="preserve">This file contains the PR19 WTP Wave 1 data </t>
  </si>
  <si>
    <t>COMBINED LOW DEV</t>
  </si>
  <si>
    <t>COMBINED HIGH DEV</t>
  </si>
  <si>
    <t>Smart metering service levels and unit values in Wave 2 is taken to be similar to Wave 1 since Smart metering  not included in Wave 2 study</t>
  </si>
  <si>
    <t>Smart metering service levels and unit values in Wave 2 is taken to be similar to Wave 1 since Smart metering not included in Wave 2 study</t>
  </si>
  <si>
    <t>Note: Service levels and unit values for Smart metering, drought restrictions and Traffic disruption assumed to be similar across Wave 1 and 2 since these attributes were not included in Wave 2</t>
  </si>
  <si>
    <t xml:space="preserve">Source: 'WTP (Low Bill)' </t>
  </si>
  <si>
    <t>Included in range to test sensitivity but not to influence central value</t>
  </si>
  <si>
    <t>COMBINED MIN</t>
  </si>
  <si>
    <t>COMBINED MAX</t>
  </si>
  <si>
    <t>COMBINED LOWER BOUND</t>
  </si>
  <si>
    <t>COMBINED UPPER BOUND</t>
  </si>
  <si>
    <t>SSW WRMP PRIORITIES</t>
  </si>
  <si>
    <t>CAM WRMP PRIORITIES</t>
  </si>
  <si>
    <t>SSW_WRMP_MAIN_RESULTS</t>
  </si>
  <si>
    <t>CAM_WRMP_MAIN_RESULTS</t>
  </si>
  <si>
    <t>SSC_WTP_MAIN_RESULTS</t>
  </si>
  <si>
    <t>Go to the Main Results by clicking on the following links:</t>
  </si>
  <si>
    <t>This spreadsheet contains the triangulation results for the SSC (SSW and CAM) WRMP priorities and WTP values.</t>
  </si>
  <si>
    <t>The main triangulation results for WRMP priorities are contained in the "WRMP Main" sheet</t>
  </si>
  <si>
    <t>The main triangulation results for WTP priorities are contained in the "WTP Main" sheet</t>
  </si>
  <si>
    <t>The "Sources" sheet contains details of the data sources used for triangulation</t>
  </si>
  <si>
    <t>All other sheets contain raw data and calculations for the various data sources that have been used for triangulation</t>
  </si>
  <si>
    <t xml:space="preserve">The user can change all cells marked in yellow in the "General Inputs" sheet and the RAG ratings on the "WRMP Main" and "WTP Main" sheets (marked in yellow) to do sensitivity checks. </t>
  </si>
  <si>
    <t>None of the other cells should be changed</t>
  </si>
  <si>
    <t>SSC WTP VALUES</t>
  </si>
  <si>
    <t>Tab name</t>
  </si>
  <si>
    <t>ID 1006 - Numbers for sliders v3.xlsx</t>
  </si>
  <si>
    <t>Incremental sliders parameters for customer testing v4 (4).xlsx</t>
  </si>
  <si>
    <t>SSW Raw data for triangulation.xlsx</t>
  </si>
  <si>
    <t>SSW PC slider data main results</t>
  </si>
  <si>
    <t>WTPPR14, ExternalWTP14, ExternalWTP14_HH, ExternalWTP14_NHH</t>
  </si>
  <si>
    <t>ExternalWTP19, ExternalWTP19_HH, ExternalWTP19_NHH</t>
  </si>
  <si>
    <t>This contains the final results for the SSC PC slider results</t>
  </si>
  <si>
    <t>WRMP online and WRMP workshops</t>
  </si>
  <si>
    <t>WTPCore_DCE, WTPCore_DCE2,WTPCore_DCE2_Lowbill, WTPCore_MaxDiff</t>
  </si>
  <si>
    <t>WTP core_Maxdiff</t>
  </si>
  <si>
    <t>All cells in black font are hard-coded and the cells in blue font are calculated</t>
  </si>
  <si>
    <t>The "General Inputs" sheet contains information on the Number of properties and average bill amounts for both SSW and CAM as well as the weights to be given to different RAG ratings. All of these inputs may be changed by the user.</t>
  </si>
  <si>
    <t>WTP core_DCE_Private</t>
  </si>
  <si>
    <t>ExternalWTP19:Company values</t>
  </si>
  <si>
    <t>ExternalWTP14: Company values</t>
  </si>
  <si>
    <t>ExternalWTP14:Company values</t>
  </si>
  <si>
    <t>LOW DEV</t>
  </si>
  <si>
    <t>HIGH DEV</t>
  </si>
  <si>
    <t>COMBINED UNIT WTP NHH</t>
  </si>
  <si>
    <t>COMBINED UNIT WTP HH</t>
  </si>
  <si>
    <t>RANK</t>
  </si>
  <si>
    <t xml:space="preserve">COMBINED </t>
  </si>
  <si>
    <t>Rescaled to sum to 100</t>
  </si>
  <si>
    <t>Weight applies to CAM NHH (Zero weight to CAM NHH due to very low sample size). Included in range to test sensitivity but not to influence central value</t>
  </si>
  <si>
    <t>Note: Wave 1 DCE Private values, Wave 2 DCE Low Bill values and Wave 2 DCE values for CAM NHH are given a weight of zero since they are included only for sensitivity checking</t>
  </si>
  <si>
    <t>Water metering and Smart metering values are HH only</t>
  </si>
  <si>
    <t>Services at property-HH</t>
  </si>
  <si>
    <t>Services at property-ALL (HH+NHH)</t>
  </si>
  <si>
    <t>Drought Restrictions-ALL (HH+NHH)</t>
  </si>
  <si>
    <t>Drought restrictions-HH</t>
  </si>
  <si>
    <t>Leakage-ALL (HH+NHH)</t>
  </si>
  <si>
    <t>Leakage-HH</t>
  </si>
  <si>
    <t>Metering-ALL (HH+NHH)</t>
  </si>
  <si>
    <t>Environment-ALL (HH+NHH)</t>
  </si>
  <si>
    <t>Traffic-ALL (HH+NHH)</t>
  </si>
  <si>
    <t>Metering-HH</t>
  </si>
  <si>
    <t>Environment-HH</t>
  </si>
  <si>
    <t>Traffic-HH</t>
  </si>
  <si>
    <t>Services at property-NHH</t>
  </si>
  <si>
    <t>Drought restrictions-NHH</t>
  </si>
  <si>
    <t>Leakage-NHH</t>
  </si>
  <si>
    <t>Metering-NHH</t>
  </si>
  <si>
    <t>No values available for NHH</t>
  </si>
  <si>
    <t>Environment-NHH</t>
  </si>
  <si>
    <t>Traffic-NHH</t>
  </si>
  <si>
    <t>CHARTS</t>
  </si>
  <si>
    <t>WTP Summary</t>
  </si>
  <si>
    <t>COMBINED SSC</t>
  </si>
  <si>
    <t>ALL</t>
  </si>
  <si>
    <t>Central</t>
  </si>
  <si>
    <t>Low</t>
  </si>
  <si>
    <t>High</t>
  </si>
  <si>
    <t>IMPOSED RANK</t>
  </si>
  <si>
    <t>Name</t>
  </si>
  <si>
    <t>COMBINED (Re-ordered)</t>
  </si>
  <si>
    <t>RESORTED</t>
  </si>
  <si>
    <t>Ranges curtailed to aid legibility</t>
  </si>
  <si>
    <t>v14</t>
  </si>
  <si>
    <t>Note: Similar to v13 except for the following change:</t>
  </si>
  <si>
    <t>Corrected named ranges in the WTP Main sheet</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</si>
</sst>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6" formatCode="&quot;£&quot;#,##0;[Red]\-&quot;£&quot;#,##0"/>
    <numFmt numFmtId="44" formatCode="_-&quot;£&quot;* #,##0.00_-;\-&quot;£&quot;* #,##0.00_-;_-&quot;£&quot;* &quot;-&quot;??_-;_-@_-"/>
    <numFmt numFmtId="43" formatCode="_-* #,##0.00_-;\-* #,##0.00_-;_-* &quot;-&quot;??_-;_-@_-"/>
    <numFmt numFmtId="164" formatCode="d/m/yy;@"/>
    <numFmt numFmtId="165" formatCode="0.000"/>
    <numFmt numFmtId="166" formatCode="0.0"/>
    <numFmt numFmtId="167" formatCode="0.0%"/>
    <numFmt numFmtId="168" formatCode="&quot;£&quot;#,##0.00"/>
    <numFmt numFmtId="169" formatCode="&quot;£&quot;#,##0"/>
    <numFmt numFmtId="170" formatCode="&quot;£&quot;#,##0.0"/>
    <numFmt numFmtId="171" formatCode="0.00000"/>
    <numFmt numFmtId="172" formatCode="&quot;£&quot;#,##0.000"/>
    <numFmt numFmtId="173" formatCode="&quot;£&quot;#,##0.0000"/>
    <numFmt numFmtId="174" formatCode="_-* #,##0_-;\-* #,##0_-;_-* &quot;-&quot;??_-;_-@_-"/>
  </numFmts>
  <fonts count="74"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sz val="12"/>
      <color theme="1"/>
      <name val="Calibri"/>
      <family val="2"/>
      <scheme val="minor"/>
    </font>
    <font>
      <sz val="11"/>
      <name val="Calibri"/>
      <family val="2"/>
      <scheme val="minor"/>
    </font>
    <font>
      <sz val="11"/>
      <color theme="1"/>
      <name val="Calibri"/>
      <family val="2"/>
      <scheme val="minor"/>
    </font>
    <font>
      <sz val="11"/>
      <color rgb="FFFF0000"/>
      <name val="Calibri"/>
      <family val="2"/>
      <scheme val="minor"/>
    </font>
    <font>
      <b/>
      <sz val="11"/>
      <color rgb="FF002060"/>
      <name val="Calibri"/>
      <family val="2"/>
      <scheme val="minor"/>
    </font>
    <font>
      <i/>
      <sz val="9"/>
      <color theme="1"/>
      <name val="Calibri"/>
      <family val="2"/>
      <scheme val="minor"/>
    </font>
    <font>
      <sz val="11"/>
      <color rgb="FF0070C0"/>
      <name val="Calibri"/>
      <family val="2"/>
      <scheme val="minor"/>
    </font>
    <font>
      <b/>
      <sz val="11"/>
      <color rgb="FF0070C0"/>
      <name val="Calibri"/>
      <family val="2"/>
      <scheme val="minor"/>
    </font>
    <font>
      <sz val="10"/>
      <color theme="1"/>
      <name val="Calibri"/>
      <family val="2"/>
      <scheme val="minor"/>
    </font>
    <font>
      <b/>
      <sz val="11"/>
      <color rgb="FF00B050"/>
      <name val="Calibri"/>
      <family val="2"/>
      <scheme val="minor"/>
    </font>
    <font>
      <b/>
      <sz val="11"/>
      <color rgb="FFFF0000"/>
      <name val="Calibri"/>
      <family val="2"/>
      <scheme val="minor"/>
    </font>
    <font>
      <sz val="11"/>
      <color rgb="FF000000"/>
      <name val="Calibri"/>
      <family val="2"/>
      <scheme val="minor"/>
    </font>
    <font>
      <sz val="12"/>
      <color theme="1"/>
      <name val="Calibri"/>
      <family val="2"/>
      <scheme val="minor"/>
    </font>
    <font>
      <sz val="11"/>
      <color rgb="FF333333"/>
      <name val="Calibri"/>
      <family val="2"/>
      <scheme val="minor"/>
    </font>
    <font>
      <b/>
      <sz val="11"/>
      <name val="Calibri"/>
      <family val="2"/>
      <scheme val="minor"/>
    </font>
    <font>
      <b/>
      <sz val="14"/>
      <name val="Calibri"/>
      <family val="2"/>
      <scheme val="minor"/>
    </font>
    <font>
      <b/>
      <sz val="15"/>
      <color theme="3"/>
      <name val="Calibri"/>
      <family val="2"/>
      <scheme val="minor"/>
    </font>
    <font>
      <sz val="11"/>
      <color theme="0"/>
      <name val="Calibri"/>
      <family val="2"/>
      <scheme val="minor"/>
    </font>
    <font>
      <u/>
      <sz val="11"/>
      <color theme="10"/>
      <name val="Calibri"/>
      <family val="2"/>
    </font>
    <font>
      <sz val="16"/>
      <color theme="1"/>
      <name val="Calibri"/>
      <family val="2"/>
      <scheme val="minor"/>
    </font>
    <font>
      <b/>
      <sz val="24"/>
      <color theme="0"/>
      <name val="Calibri"/>
      <family val="2"/>
      <scheme val="minor"/>
    </font>
    <font>
      <b/>
      <sz val="22"/>
      <color theme="0"/>
      <name val="Calibri"/>
      <family val="2"/>
      <scheme val="minor"/>
    </font>
    <font>
      <b/>
      <sz val="16"/>
      <name val="Calibri"/>
      <family val="2"/>
      <scheme val="minor"/>
    </font>
    <font>
      <b/>
      <sz val="11"/>
      <color rgb="FFFFC000"/>
      <name val="Calibri"/>
      <family val="2"/>
      <scheme val="minor"/>
    </font>
    <font>
      <b/>
      <sz val="15"/>
      <color theme="0"/>
      <name val="Calibri"/>
      <family val="2"/>
      <scheme val="minor"/>
    </font>
    <font>
      <b/>
      <sz val="15"/>
      <color theme="1"/>
      <name val="Calibri"/>
      <family val="2"/>
      <scheme val="minor"/>
    </font>
    <font>
      <sz val="11"/>
      <color theme="5"/>
      <name val="Calibri"/>
      <family val="2"/>
      <scheme val="minor"/>
    </font>
    <font>
      <i/>
      <sz val="11"/>
      <name val="Calibri"/>
      <family val="2"/>
      <scheme val="minor"/>
    </font>
    <font>
      <b/>
      <sz val="15"/>
      <name val="Calibri"/>
      <family val="2"/>
      <scheme val="minor"/>
    </font>
    <font>
      <b/>
      <sz val="9"/>
      <name val="Calibri"/>
      <family val="2"/>
      <scheme val="minor"/>
    </font>
    <font>
      <sz val="9"/>
      <name val="Calibri"/>
      <family val="2"/>
      <scheme val="minor"/>
    </font>
    <font>
      <sz val="11"/>
      <color theme="9"/>
      <name val="Calibri"/>
      <family val="2"/>
      <scheme val="minor"/>
    </font>
    <font>
      <b/>
      <sz val="12"/>
      <name val="Calibri"/>
      <family val="2"/>
      <scheme val="minor"/>
    </font>
    <font>
      <b/>
      <sz val="16"/>
      <color rgb="FF002060"/>
      <name val="Calibri"/>
      <family val="2"/>
      <scheme val="minor"/>
    </font>
    <font>
      <b/>
      <sz val="11"/>
      <color rgb="FF000000"/>
      <name val="Calibri"/>
      <family val="2"/>
      <scheme val="minor"/>
    </font>
    <font>
      <u/>
      <sz val="11"/>
      <color rgb="FF000000"/>
      <name val="Calibri"/>
      <family val="2"/>
      <scheme val="minor"/>
    </font>
    <font>
      <u/>
      <sz val="11"/>
      <color rgb="FF000000"/>
      <name val="Calibri"/>
      <family val="2"/>
    </font>
    <font>
      <i/>
      <sz val="9"/>
      <name val="Calibri"/>
      <family val="2"/>
      <scheme val="minor"/>
    </font>
    <font>
      <b/>
      <sz val="15"/>
      <color rgb="FF000000"/>
      <name val="Calibri"/>
      <family val="2"/>
      <scheme val="minor"/>
    </font>
    <font>
      <u/>
      <sz val="11"/>
      <name val="Calibri"/>
      <family val="2"/>
      <scheme val="minor"/>
    </font>
    <font>
      <sz val="22"/>
      <color theme="0"/>
      <name val="Calibri"/>
      <family val="2"/>
      <scheme val="minor"/>
    </font>
    <font>
      <sz val="12"/>
      <name val="Calibri"/>
      <family val="2"/>
      <scheme val="minor"/>
    </font>
    <font>
      <sz val="8"/>
      <name val="Calibri"/>
      <family val="2"/>
      <scheme val="minor"/>
    </font>
    <font>
      <b/>
      <sz val="11"/>
      <color theme="9"/>
      <name val="Calibri"/>
      <family val="2"/>
      <scheme val="minor"/>
    </font>
    <font>
      <sz val="9"/>
      <color theme="1"/>
      <name val="Calibri"/>
      <family val="2"/>
      <scheme val="minor"/>
    </font>
    <font>
      <b/>
      <sz val="14"/>
      <color rgb="FF000000"/>
      <name val="Calibri"/>
      <family val="2"/>
      <scheme val="minor"/>
    </font>
    <font>
      <sz val="14"/>
      <name val="Calibri"/>
      <family val="2"/>
      <scheme val="minor"/>
    </font>
    <font>
      <b/>
      <sz val="22"/>
      <color rgb="FF000000"/>
      <name val="Calibri"/>
      <family val="2"/>
      <scheme val="minor"/>
    </font>
    <font>
      <sz val="11"/>
      <color rgb="FFC00000"/>
      <name val="Calibri"/>
      <family val="2"/>
      <scheme val="minor"/>
    </font>
    <font>
      <sz val="9"/>
      <color indexed="81"/>
      <name val="Tahoma"/>
      <family val="2"/>
    </font>
    <font>
      <b/>
      <sz val="9"/>
      <color indexed="81"/>
      <name val="Tahoma"/>
      <family val="2"/>
    </font>
    <font>
      <sz val="10"/>
      <color rgb="FF000000"/>
      <name val="Calibri"/>
      <family val="2"/>
      <scheme val="minor"/>
    </font>
    <font>
      <sz val="10"/>
      <color rgb="FFFF0000"/>
      <name val="Calibri"/>
      <family val="2"/>
      <scheme val="minor"/>
    </font>
    <font>
      <sz val="10"/>
      <name val="Calibri"/>
      <family val="2"/>
      <scheme val="minor"/>
    </font>
    <font>
      <sz val="10"/>
      <color rgb="FFC00000"/>
      <name val="Calibri"/>
      <family val="2"/>
      <scheme val="minor"/>
    </font>
    <font>
      <sz val="11"/>
      <color rgb="FF7030A0"/>
      <name val="Calibri"/>
      <family val="2"/>
      <scheme val="minor"/>
    </font>
    <font>
      <b/>
      <sz val="10"/>
      <color rgb="FF000000"/>
      <name val="Calibri"/>
      <family val="2"/>
      <scheme val="minor"/>
    </font>
    <font>
      <b/>
      <sz val="12"/>
      <color rgb="FF000000"/>
      <name val="Calibri"/>
      <family val="2"/>
      <scheme val="minor"/>
    </font>
    <font>
      <sz val="15"/>
      <color theme="0"/>
      <name val="Calibri"/>
      <family val="2"/>
      <scheme val="minor"/>
    </font>
    <font>
      <sz val="16"/>
      <name val="Calibri"/>
      <family val="2"/>
      <scheme val="minor"/>
    </font>
    <font>
      <sz val="15"/>
      <color rgb="FF000000"/>
      <name val="Calibri"/>
      <family val="2"/>
      <scheme val="minor"/>
    </font>
    <font>
      <sz val="11"/>
      <name val="Calibri"/>
      <family val="2"/>
    </font>
    <font>
      <b/>
      <sz val="10"/>
      <name val="Calibri"/>
      <family val="2"/>
      <scheme val="minor"/>
    </font>
    <font>
      <b/>
      <sz val="15"/>
      <color theme="9"/>
      <name val="Calibri"/>
      <family val="2"/>
      <scheme val="minor"/>
    </font>
    <font>
      <b/>
      <sz val="18"/>
      <color theme="0"/>
      <name val="Calibri"/>
      <family val="2"/>
      <scheme val="minor"/>
    </font>
    <font>
      <b/>
      <sz val="18"/>
      <name val="Calibri"/>
      <family val="2"/>
      <scheme val="minor"/>
    </font>
    <font>
      <sz val="9"/>
      <color theme="5"/>
      <name val="Calibri"/>
      <family val="2"/>
      <scheme val="minor"/>
    </font>
    <font>
      <u/>
      <sz val="11"/>
      <color theme="5"/>
      <name val="Calibri"/>
      <family val="2"/>
      <scheme val="minor"/>
    </font>
    <font>
      <b/>
      <sz val="16"/>
      <color rgb="FF000000"/>
      <name val="Calibri"/>
      <family val="2"/>
      <scheme val="minor"/>
    </font>
    <font>
      <sz val="11"/>
      <color theme="0" tint="-0.499984740745262"/>
      <name val="Calibri"/>
      <family val="2"/>
      <scheme val="minor"/>
    </font>
  </fonts>
  <fills count="20">
    <fill>
      <patternFill patternType="none"/>
    </fill>
    <fill>
      <patternFill patternType="gray125"/>
    </fill>
    <fill>
      <patternFill patternType="solid">
        <fgColor rgb="FF1F669D"/>
        <bgColor indexed="64"/>
      </patternFill>
    </fill>
    <fill>
      <patternFill patternType="solid">
        <fgColor theme="0" tint="-0.14999847407452621"/>
        <bgColor indexed="64"/>
      </patternFill>
    </fill>
    <fill>
      <patternFill patternType="solid">
        <fgColor rgb="FFFFFEFE"/>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5"/>
      </patternFill>
    </fill>
    <fill>
      <patternFill patternType="solid">
        <fgColor theme="6"/>
      </patternFill>
    </fill>
    <fill>
      <patternFill patternType="solid">
        <fgColor theme="7"/>
        <bgColor indexed="64"/>
      </patternFill>
    </fill>
    <fill>
      <patternFill patternType="solid">
        <fgColor theme="0"/>
        <bgColor indexed="64"/>
      </patternFill>
    </fill>
    <fill>
      <patternFill patternType="solid">
        <fgColor theme="1"/>
        <bgColor indexed="64"/>
      </patternFill>
    </fill>
    <fill>
      <patternFill patternType="solid">
        <fgColor theme="5"/>
        <bgColor indexed="64"/>
      </patternFill>
    </fill>
    <fill>
      <patternFill patternType="solid">
        <fgColor theme="6"/>
        <bgColor indexed="64"/>
      </patternFill>
    </fill>
    <fill>
      <patternFill patternType="solid">
        <fgColor theme="8"/>
        <bgColor indexed="64"/>
      </patternFill>
    </fill>
    <fill>
      <patternFill patternType="solid">
        <fgColor theme="0" tint="-0.249977111117893"/>
        <bgColor indexed="64"/>
      </patternFill>
    </fill>
    <fill>
      <patternFill patternType="solid">
        <fgColor theme="4" tint="0.89999084444715716"/>
        <bgColor indexed="64"/>
      </patternFill>
    </fill>
  </fills>
  <borders count="25">
    <border>
      <left/>
      <right/>
      <top/>
      <bottom/>
      <diagonal/>
    </border>
    <border>
      <left/>
      <right style="thin">
        <color theme="2"/>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style="medium">
        <color indexed="64"/>
      </top>
      <bottom/>
      <diagonal/>
    </border>
    <border>
      <left/>
      <right/>
      <top/>
      <bottom style="medium">
        <color indexed="64"/>
      </bottom>
      <diagonal/>
    </border>
  </borders>
  <cellStyleXfs count="8">
    <xf numFmtId="0" fontId="0" fillId="0" borderId="0"/>
    <xf numFmtId="0" fontId="2"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20" fillId="0" borderId="22" applyNumberFormat="0" applyFill="0" applyAlignment="0" applyProtection="0"/>
    <xf numFmtId="0" fontId="21" fillId="10" borderId="0" applyNumberFormat="0" applyBorder="0" applyAlignment="0" applyProtection="0"/>
    <xf numFmtId="0" fontId="21" fillId="11" borderId="0" applyNumberFormat="0" applyBorder="0" applyAlignment="0" applyProtection="0"/>
    <xf numFmtId="0" fontId="22" fillId="0" borderId="0" applyNumberFormat="0" applyFill="0" applyBorder="0" applyAlignment="0" applyProtection="0">
      <alignment vertical="top"/>
      <protection locked="0"/>
    </xf>
  </cellStyleXfs>
  <cellXfs count="1019">
    <xf numFmtId="0" fontId="0" fillId="0" borderId="0" xfId="0"/>
    <xf numFmtId="0" fontId="0" fillId="4" borderId="0" xfId="0" applyFill="1"/>
    <xf numFmtId="0" fontId="3" fillId="4" borderId="0" xfId="0" applyFont="1" applyFill="1"/>
    <xf numFmtId="0" fontId="0" fillId="0" borderId="0" xfId="0" applyFill="1"/>
    <xf numFmtId="0" fontId="1" fillId="0" borderId="0" xfId="0" applyFont="1"/>
    <xf numFmtId="0" fontId="0" fillId="0" borderId="0" xfId="0" applyFont="1"/>
    <xf numFmtId="0" fontId="1" fillId="3" borderId="0" xfId="0" applyFont="1" applyFill="1"/>
    <xf numFmtId="0" fontId="7" fillId="0" borderId="0" xfId="0" applyFont="1"/>
    <xf numFmtId="167" fontId="0" fillId="0" borderId="0" xfId="3" applyNumberFormat="1" applyFont="1"/>
    <xf numFmtId="0" fontId="5" fillId="0" borderId="0" xfId="0" applyFont="1"/>
    <xf numFmtId="0" fontId="0" fillId="0" borderId="0" xfId="0" applyFont="1" applyFill="1"/>
    <xf numFmtId="166" fontId="10" fillId="0" borderId="0" xfId="0" applyNumberFormat="1" applyFont="1"/>
    <xf numFmtId="0" fontId="0" fillId="0" borderId="0" xfId="0" applyFont="1" applyBorder="1" applyAlignment="1">
      <alignment horizontal="left" vertical="top"/>
    </xf>
    <xf numFmtId="168" fontId="0" fillId="0" borderId="0" xfId="0" applyNumberFormat="1" applyFont="1"/>
    <xf numFmtId="168" fontId="0" fillId="0" borderId="0" xfId="0" applyNumberFormat="1" applyFont="1" applyFill="1"/>
    <xf numFmtId="0" fontId="0" fillId="3" borderId="0" xfId="0" applyFont="1" applyFill="1"/>
    <xf numFmtId="10" fontId="0" fillId="0" borderId="0" xfId="3" applyNumberFormat="1" applyFont="1" applyAlignment="1">
      <alignment horizontal="center"/>
    </xf>
    <xf numFmtId="168" fontId="0" fillId="3" borderId="0" xfId="0" applyNumberFormat="1" applyFont="1" applyFill="1"/>
    <xf numFmtId="0" fontId="0" fillId="3" borderId="0" xfId="0" applyFont="1" applyFill="1" applyAlignment="1">
      <alignment horizontal="right"/>
    </xf>
    <xf numFmtId="9" fontId="0" fillId="3" borderId="0" xfId="3" applyFont="1" applyFill="1" applyAlignment="1">
      <alignment horizontal="right"/>
    </xf>
    <xf numFmtId="168" fontId="0" fillId="0" borderId="0" xfId="0" applyNumberFormat="1" applyFont="1" applyAlignment="1">
      <alignment horizontal="right"/>
    </xf>
    <xf numFmtId="0" fontId="5" fillId="0" borderId="0" xfId="0" applyFont="1" applyAlignment="1">
      <alignment vertical="top"/>
    </xf>
    <xf numFmtId="0" fontId="5" fillId="0" borderId="3" xfId="0" applyFont="1" applyBorder="1" applyAlignment="1">
      <alignment vertical="center"/>
    </xf>
    <xf numFmtId="0" fontId="5" fillId="0" borderId="0" xfId="0" applyFont="1" applyAlignment="1">
      <alignment horizontal="left" vertical="center" wrapText="1"/>
    </xf>
    <xf numFmtId="0" fontId="12" fillId="0" borderId="0" xfId="0" applyFont="1"/>
    <xf numFmtId="0" fontId="4" fillId="0" borderId="0" xfId="0" applyFont="1" applyFill="1" applyAlignment="1"/>
    <xf numFmtId="0" fontId="1" fillId="0" borderId="0" xfId="0" applyFont="1" applyBorder="1" applyAlignment="1">
      <alignment horizontal="center"/>
    </xf>
    <xf numFmtId="166" fontId="10" fillId="0" borderId="0" xfId="3" applyNumberFormat="1" applyFont="1"/>
    <xf numFmtId="0" fontId="11" fillId="0" borderId="0" xfId="0" applyNumberFormat="1" applyFont="1"/>
    <xf numFmtId="0" fontId="15" fillId="0" borderId="0" xfId="0" applyFont="1"/>
    <xf numFmtId="0" fontId="1" fillId="0" borderId="0" xfId="0" applyFont="1" applyAlignment="1">
      <alignment wrapText="1"/>
    </xf>
    <xf numFmtId="166" fontId="0" fillId="3" borderId="0" xfId="0" applyNumberFormat="1" applyFont="1" applyFill="1"/>
    <xf numFmtId="1" fontId="5" fillId="0" borderId="0" xfId="0" applyNumberFormat="1" applyFont="1"/>
    <xf numFmtId="0" fontId="16" fillId="3" borderId="0" xfId="0" applyFont="1" applyFill="1"/>
    <xf numFmtId="2" fontId="0" fillId="0" borderId="0" xfId="0" applyNumberFormat="1" applyFont="1" applyAlignment="1">
      <alignment horizontal="center"/>
    </xf>
    <xf numFmtId="166" fontId="1" fillId="0" borderId="0" xfId="0" applyNumberFormat="1" applyFont="1"/>
    <xf numFmtId="10" fontId="5" fillId="0" borderId="0" xfId="3" applyNumberFormat="1" applyFont="1"/>
    <xf numFmtId="168" fontId="5" fillId="0" borderId="0" xfId="0" applyNumberFormat="1" applyFont="1" applyAlignment="1">
      <alignment horizontal="center"/>
    </xf>
    <xf numFmtId="9" fontId="11" fillId="3" borderId="0" xfId="0" applyNumberFormat="1" applyFont="1" applyFill="1"/>
    <xf numFmtId="0" fontId="11" fillId="3" borderId="0" xfId="0" applyNumberFormat="1" applyFont="1" applyFill="1"/>
    <xf numFmtId="168" fontId="11" fillId="3" borderId="0" xfId="0" applyNumberFormat="1" applyFont="1" applyFill="1"/>
    <xf numFmtId="167" fontId="10" fillId="0" borderId="0" xfId="3" applyNumberFormat="1" applyFont="1"/>
    <xf numFmtId="167" fontId="6" fillId="0" borderId="0" xfId="3" applyNumberFormat="1" applyFont="1"/>
    <xf numFmtId="1" fontId="6" fillId="0" borderId="0" xfId="3" applyNumberFormat="1" applyFont="1"/>
    <xf numFmtId="168" fontId="0" fillId="3" borderId="0" xfId="0" applyNumberFormat="1" applyFont="1" applyFill="1" applyAlignment="1">
      <alignment horizontal="center"/>
    </xf>
    <xf numFmtId="0" fontId="0" fillId="3" borderId="0" xfId="0" applyFont="1" applyFill="1" applyAlignment="1">
      <alignment horizontal="center"/>
    </xf>
    <xf numFmtId="0" fontId="4" fillId="0" borderId="0" xfId="0" applyFont="1" applyFill="1" applyAlignment="1">
      <alignment wrapText="1"/>
    </xf>
    <xf numFmtId="9" fontId="11" fillId="0" borderId="0" xfId="0" applyNumberFormat="1" applyFont="1" applyFill="1"/>
    <xf numFmtId="166" fontId="10" fillId="0" borderId="0" xfId="3" applyNumberFormat="1" applyFont="1" applyFill="1"/>
    <xf numFmtId="0" fontId="11" fillId="0" borderId="0" xfId="0" applyNumberFormat="1" applyFont="1" applyFill="1"/>
    <xf numFmtId="168" fontId="11" fillId="0" borderId="0" xfId="0" applyNumberFormat="1" applyFont="1" applyFill="1"/>
    <xf numFmtId="168" fontId="5" fillId="0" borderId="0" xfId="0" applyNumberFormat="1" applyFont="1"/>
    <xf numFmtId="168" fontId="1" fillId="0" borderId="0" xfId="0" applyNumberFormat="1" applyFont="1" applyAlignment="1">
      <alignment horizontal="center"/>
    </xf>
    <xf numFmtId="168" fontId="1" fillId="0" borderId="0" xfId="0" applyNumberFormat="1" applyFont="1" applyFill="1" applyAlignment="1">
      <alignment horizontal="center"/>
    </xf>
    <xf numFmtId="0" fontId="1" fillId="0" borderId="0" xfId="0" applyFont="1" applyFill="1" applyAlignment="1">
      <alignment horizontal="center"/>
    </xf>
    <xf numFmtId="2" fontId="0" fillId="0" borderId="0" xfId="3" applyNumberFormat="1" applyFont="1" applyAlignment="1">
      <alignment horizontal="center"/>
    </xf>
    <xf numFmtId="168" fontId="19" fillId="3" borderId="0" xfId="0" applyNumberFormat="1" applyFont="1" applyFill="1" applyAlignment="1">
      <alignment horizontal="centerContinuous"/>
    </xf>
    <xf numFmtId="168" fontId="19" fillId="6" borderId="0" xfId="0" applyNumberFormat="1" applyFont="1" applyFill="1" applyAlignment="1">
      <alignment horizontal="centerContinuous"/>
    </xf>
    <xf numFmtId="0" fontId="19" fillId="6" borderId="0" xfId="0" applyFont="1" applyFill="1" applyAlignment="1">
      <alignment horizontal="centerContinuous"/>
    </xf>
    <xf numFmtId="0" fontId="7" fillId="0" borderId="0" xfId="0" applyFont="1" applyFill="1"/>
    <xf numFmtId="0" fontId="5" fillId="3" borderId="0" xfId="0" applyFont="1" applyFill="1"/>
    <xf numFmtId="0" fontId="18" fillId="0" borderId="0" xfId="0" applyFont="1"/>
    <xf numFmtId="0" fontId="5" fillId="0" borderId="0" xfId="0" applyFont="1" applyAlignment="1"/>
    <xf numFmtId="0" fontId="18" fillId="3" borderId="0" xfId="0" applyFont="1" applyFill="1"/>
    <xf numFmtId="0" fontId="5" fillId="0" borderId="0" xfId="0" applyFont="1" applyFill="1"/>
    <xf numFmtId="0" fontId="5" fillId="0" borderId="0" xfId="0" applyFont="1" applyAlignment="1">
      <alignment wrapText="1"/>
    </xf>
    <xf numFmtId="0" fontId="18" fillId="3" borderId="0" xfId="0" applyFont="1" applyFill="1" applyAlignment="1">
      <alignment wrapText="1"/>
    </xf>
    <xf numFmtId="0" fontId="24" fillId="2" borderId="0" xfId="0" applyFont="1" applyFill="1" applyAlignment="1">
      <alignment vertical="top" wrapText="1"/>
    </xf>
    <xf numFmtId="0" fontId="0" fillId="0" borderId="0" xfId="0" applyFill="1" applyAlignment="1">
      <alignment vertical="top" wrapText="1"/>
    </xf>
    <xf numFmtId="0" fontId="23" fillId="0" borderId="0" xfId="0" applyFont="1" applyAlignment="1">
      <alignment vertical="top" wrapText="1"/>
    </xf>
    <xf numFmtId="0" fontId="0" fillId="12" borderId="0" xfId="0" applyFont="1" applyFill="1" applyAlignment="1">
      <alignment vertical="top" wrapText="1"/>
    </xf>
    <xf numFmtId="0" fontId="18" fillId="0" borderId="0" xfId="0" applyFont="1" applyAlignment="1">
      <alignment vertical="top" wrapText="1"/>
    </xf>
    <xf numFmtId="0" fontId="5" fillId="0" borderId="0" xfId="0" applyFont="1" applyAlignment="1">
      <alignment vertical="top" wrapText="1"/>
    </xf>
    <xf numFmtId="0" fontId="0" fillId="0" borderId="0" xfId="0" applyFont="1" applyAlignment="1">
      <alignment vertical="top" wrapText="1"/>
    </xf>
    <xf numFmtId="0" fontId="18" fillId="3" borderId="0" xfId="0" applyFont="1" applyFill="1" applyAlignment="1">
      <alignment vertical="top" wrapText="1"/>
    </xf>
    <xf numFmtId="0" fontId="5" fillId="3" borderId="0" xfId="0" applyFont="1" applyFill="1" applyAlignment="1">
      <alignment vertical="top" wrapText="1"/>
    </xf>
    <xf numFmtId="0" fontId="0" fillId="3" borderId="0" xfId="0" applyFont="1" applyFill="1" applyAlignment="1">
      <alignment vertical="top" wrapText="1"/>
    </xf>
    <xf numFmtId="0" fontId="5" fillId="0" borderId="0" xfId="0" applyFont="1" applyFill="1" applyAlignment="1">
      <alignment vertical="top" wrapText="1"/>
    </xf>
    <xf numFmtId="0" fontId="8" fillId="0" borderId="0" xfId="0" applyFont="1" applyFill="1" applyAlignment="1">
      <alignment vertical="top" wrapText="1"/>
    </xf>
    <xf numFmtId="0" fontId="8" fillId="0" borderId="0" xfId="0" applyFont="1" applyAlignment="1">
      <alignment vertical="top" wrapText="1"/>
    </xf>
    <xf numFmtId="0" fontId="0" fillId="0" borderId="0" xfId="0" applyAlignment="1">
      <alignment vertical="top" wrapText="1"/>
    </xf>
    <xf numFmtId="9" fontId="5" fillId="9" borderId="6" xfId="0" applyNumberFormat="1" applyFont="1" applyFill="1" applyBorder="1"/>
    <xf numFmtId="9" fontId="5" fillId="9" borderId="8" xfId="0" applyNumberFormat="1" applyFont="1" applyFill="1" applyBorder="1"/>
    <xf numFmtId="9" fontId="5" fillId="9" borderId="10" xfId="0" applyNumberFormat="1" applyFont="1" applyFill="1" applyBorder="1"/>
    <xf numFmtId="0" fontId="5" fillId="0" borderId="14" xfId="0" applyFont="1" applyFill="1" applyBorder="1" applyAlignment="1">
      <alignment horizontal="center"/>
    </xf>
    <xf numFmtId="0" fontId="18" fillId="0" borderId="17" xfId="0" applyFont="1" applyFill="1" applyBorder="1" applyAlignment="1">
      <alignment horizontal="right"/>
    </xf>
    <xf numFmtId="0" fontId="18" fillId="0" borderId="19" xfId="0" applyFont="1" applyFill="1" applyBorder="1" applyAlignment="1">
      <alignment horizontal="right"/>
    </xf>
    <xf numFmtId="0" fontId="18" fillId="0" borderId="15" xfId="0" applyFont="1" applyFill="1" applyBorder="1" applyAlignment="1">
      <alignment horizontal="center"/>
    </xf>
    <xf numFmtId="0" fontId="18" fillId="0" borderId="16" xfId="0" applyFont="1" applyFill="1" applyBorder="1" applyAlignment="1">
      <alignment horizontal="center"/>
    </xf>
    <xf numFmtId="0" fontId="5" fillId="0" borderId="2" xfId="0" applyFont="1" applyFill="1" applyBorder="1" applyAlignment="1">
      <alignment horizontal="right"/>
    </xf>
    <xf numFmtId="0" fontId="18" fillId="0" borderId="2" xfId="0" applyFont="1" applyFill="1" applyBorder="1" applyAlignment="1">
      <alignment horizontal="right"/>
    </xf>
    <xf numFmtId="0" fontId="18" fillId="0" borderId="2" xfId="0" applyFont="1" applyFill="1" applyBorder="1" applyAlignment="1">
      <alignment horizontal="center" wrapText="1"/>
    </xf>
    <xf numFmtId="0" fontId="18" fillId="0" borderId="5" xfId="0" applyFont="1" applyBorder="1"/>
    <xf numFmtId="0" fontId="18" fillId="0" borderId="6" xfId="0" applyFont="1" applyBorder="1" applyAlignment="1">
      <alignment horizontal="right" wrapText="1"/>
    </xf>
    <xf numFmtId="0" fontId="13" fillId="0" borderId="5" xfId="0" applyFont="1" applyBorder="1" applyAlignment="1">
      <alignment horizontal="right"/>
    </xf>
    <xf numFmtId="0" fontId="1" fillId="0" borderId="7" xfId="0" applyFont="1" applyBorder="1" applyAlignment="1">
      <alignment horizontal="right"/>
    </xf>
    <xf numFmtId="0" fontId="14" fillId="0" borderId="9" xfId="0" applyFont="1" applyBorder="1" applyAlignment="1">
      <alignment horizontal="right"/>
    </xf>
    <xf numFmtId="0" fontId="27" fillId="0" borderId="7" xfId="0" applyFont="1" applyBorder="1" applyAlignment="1">
      <alignment horizontal="right"/>
    </xf>
    <xf numFmtId="2" fontId="10" fillId="0" borderId="0" xfId="0" applyNumberFormat="1" applyFont="1" applyAlignment="1">
      <alignment horizontal="right"/>
    </xf>
    <xf numFmtId="9" fontId="10" fillId="0" borderId="0" xfId="3" applyNumberFormat="1" applyFont="1" applyAlignment="1">
      <alignment horizontal="right"/>
    </xf>
    <xf numFmtId="9" fontId="11" fillId="3" borderId="0" xfId="0" applyNumberFormat="1" applyFont="1" applyFill="1" applyAlignment="1">
      <alignment horizontal="right"/>
    </xf>
    <xf numFmtId="2" fontId="1" fillId="3" borderId="0" xfId="0" applyNumberFormat="1" applyFont="1" applyFill="1" applyAlignment="1">
      <alignment horizontal="right"/>
    </xf>
    <xf numFmtId="0" fontId="25" fillId="10" borderId="0" xfId="5" applyFont="1"/>
    <xf numFmtId="0" fontId="25" fillId="10" borderId="0" xfId="5" applyFont="1" applyAlignment="1"/>
    <xf numFmtId="0" fontId="17" fillId="13" borderId="0" xfId="0" applyFont="1" applyFill="1" applyBorder="1"/>
    <xf numFmtId="167" fontId="11" fillId="0" borderId="0" xfId="0" applyNumberFormat="1" applyFont="1"/>
    <xf numFmtId="0" fontId="30" fillId="0" borderId="0" xfId="0" applyFont="1" applyAlignment="1"/>
    <xf numFmtId="2" fontId="5" fillId="0" borderId="0" xfId="0" applyNumberFormat="1" applyFont="1" applyAlignment="1">
      <alignment horizontal="right"/>
    </xf>
    <xf numFmtId="0" fontId="31" fillId="3" borderId="0" xfId="0" applyFont="1" applyFill="1"/>
    <xf numFmtId="0" fontId="5" fillId="3" borderId="0" xfId="0" applyFont="1" applyFill="1" applyAlignment="1">
      <alignment horizontal="right"/>
    </xf>
    <xf numFmtId="0" fontId="18" fillId="3" borderId="0" xfId="0" applyNumberFormat="1" applyFont="1" applyFill="1"/>
    <xf numFmtId="9" fontId="18" fillId="3" borderId="0" xfId="0" applyNumberFormat="1" applyFont="1" applyFill="1"/>
    <xf numFmtId="0" fontId="32" fillId="3" borderId="0" xfId="4" applyFont="1" applyFill="1" applyBorder="1"/>
    <xf numFmtId="0" fontId="18" fillId="3" borderId="0" xfId="0" applyFont="1" applyFill="1" applyAlignment="1">
      <alignment horizontal="center"/>
    </xf>
    <xf numFmtId="0" fontId="5" fillId="3" borderId="0" xfId="0" applyFont="1" applyFill="1" applyAlignment="1">
      <alignment horizontal="center"/>
    </xf>
    <xf numFmtId="0" fontId="18" fillId="3" borderId="0" xfId="0" applyFont="1" applyFill="1" applyAlignment="1"/>
    <xf numFmtId="0" fontId="18" fillId="3" borderId="0" xfId="0" applyFont="1" applyFill="1" applyAlignment="1">
      <alignment horizontal="right" wrapText="1"/>
    </xf>
    <xf numFmtId="168" fontId="6" fillId="0" borderId="0" xfId="3" applyNumberFormat="1" applyFont="1"/>
    <xf numFmtId="168" fontId="6" fillId="0" borderId="0" xfId="0" applyNumberFormat="1" applyFont="1"/>
    <xf numFmtId="9" fontId="6" fillId="0" borderId="0" xfId="3" applyFont="1"/>
    <xf numFmtId="168" fontId="1" fillId="3" borderId="0" xfId="0" applyNumberFormat="1" applyFont="1" applyFill="1"/>
    <xf numFmtId="0" fontId="1" fillId="3" borderId="0" xfId="0" applyNumberFormat="1" applyFont="1" applyFill="1"/>
    <xf numFmtId="9" fontId="1" fillId="3" borderId="0" xfId="0" applyNumberFormat="1" applyFont="1" applyFill="1"/>
    <xf numFmtId="9" fontId="1" fillId="3" borderId="0" xfId="0" applyNumberFormat="1" applyFont="1" applyFill="1" applyAlignment="1">
      <alignment horizontal="right"/>
    </xf>
    <xf numFmtId="166" fontId="0" fillId="0" borderId="0" xfId="3" applyNumberFormat="1" applyFont="1"/>
    <xf numFmtId="167" fontId="1" fillId="0" borderId="0" xfId="0" applyNumberFormat="1" applyFont="1"/>
    <xf numFmtId="0" fontId="1" fillId="0" borderId="0" xfId="0" applyNumberFormat="1" applyFont="1"/>
    <xf numFmtId="0" fontId="18" fillId="0" borderId="0" xfId="0" applyFont="1" applyAlignment="1">
      <alignment horizontal="right"/>
    </xf>
    <xf numFmtId="0" fontId="5" fillId="0" borderId="0" xfId="0" applyFont="1" applyFill="1" applyBorder="1"/>
    <xf numFmtId="0" fontId="18" fillId="3" borderId="0" xfId="0" applyFont="1" applyFill="1" applyAlignment="1">
      <alignment horizontal="centerContinuous"/>
    </xf>
    <xf numFmtId="0" fontId="5" fillId="3" borderId="0" xfId="0" applyFont="1" applyFill="1" applyAlignment="1">
      <alignment horizontal="centerContinuous"/>
    </xf>
    <xf numFmtId="0" fontId="18" fillId="0" borderId="0" xfId="0" applyFont="1" applyAlignment="1">
      <alignment horizontal="right" wrapText="1"/>
    </xf>
    <xf numFmtId="1" fontId="5" fillId="0" borderId="0" xfId="0" applyNumberFormat="1" applyFont="1" applyAlignment="1">
      <alignment horizontal="right"/>
    </xf>
    <xf numFmtId="0" fontId="31" fillId="0" borderId="0" xfId="0" applyFont="1" applyFill="1" applyBorder="1"/>
    <xf numFmtId="10" fontId="5" fillId="0" borderId="0" xfId="3" applyNumberFormat="1" applyFont="1" applyBorder="1" applyAlignment="1">
      <alignment horizontal="center"/>
    </xf>
    <xf numFmtId="10" fontId="5" fillId="0" borderId="0" xfId="3" applyNumberFormat="1" applyFont="1" applyAlignment="1">
      <alignment horizontal="center"/>
    </xf>
    <xf numFmtId="168" fontId="5" fillId="0" borderId="0" xfId="0" applyNumberFormat="1" applyFont="1" applyBorder="1" applyAlignment="1">
      <alignment horizontal="center"/>
    </xf>
    <xf numFmtId="167" fontId="5" fillId="0" borderId="0" xfId="0" applyNumberFormat="1" applyFont="1" applyBorder="1" applyAlignment="1">
      <alignment horizontal="center"/>
    </xf>
    <xf numFmtId="167" fontId="5" fillId="0" borderId="0" xfId="0" applyNumberFormat="1" applyFont="1" applyAlignment="1">
      <alignment horizontal="center"/>
    </xf>
    <xf numFmtId="0" fontId="5" fillId="0" borderId="0" xfId="3" applyNumberFormat="1" applyFont="1" applyBorder="1" applyAlignment="1">
      <alignment horizontal="center"/>
    </xf>
    <xf numFmtId="1" fontId="5" fillId="0" borderId="0" xfId="3" applyNumberFormat="1" applyFont="1" applyBorder="1" applyAlignment="1">
      <alignment horizontal="center"/>
    </xf>
    <xf numFmtId="2" fontId="5" fillId="0" borderId="0" xfId="3" applyNumberFormat="1" applyFont="1" applyBorder="1" applyAlignment="1">
      <alignment horizontal="center"/>
    </xf>
    <xf numFmtId="167" fontId="5" fillId="0" borderId="0" xfId="0" applyNumberFormat="1" applyFont="1" applyFill="1" applyBorder="1" applyAlignment="1">
      <alignment horizontal="center"/>
    </xf>
    <xf numFmtId="2" fontId="5" fillId="0" borderId="0" xfId="0" applyNumberFormat="1" applyFont="1" applyFill="1"/>
    <xf numFmtId="167" fontId="5" fillId="0" borderId="0" xfId="3" applyNumberFormat="1" applyFont="1" applyFill="1"/>
    <xf numFmtId="0" fontId="34" fillId="0" borderId="0" xfId="0" applyFont="1"/>
    <xf numFmtId="0" fontId="34" fillId="0" borderId="0" xfId="0" applyFont="1" applyFill="1"/>
    <xf numFmtId="0" fontId="34" fillId="0" borderId="0" xfId="0" applyFont="1" applyAlignment="1"/>
    <xf numFmtId="10" fontId="0" fillId="3" borderId="0" xfId="0" applyNumberFormat="1" applyFont="1" applyFill="1" applyAlignment="1">
      <alignment horizontal="center"/>
    </xf>
    <xf numFmtId="10" fontId="5" fillId="0" borderId="0" xfId="3" applyNumberFormat="1" applyFont="1" applyFill="1" applyAlignment="1">
      <alignment horizontal="center"/>
    </xf>
    <xf numFmtId="9" fontId="5" fillId="0" borderId="0" xfId="3" applyFont="1" applyFill="1" applyAlignment="1">
      <alignment horizontal="center"/>
    </xf>
    <xf numFmtId="168" fontId="5" fillId="0" borderId="0" xfId="0" applyNumberFormat="1" applyFont="1" applyFill="1" applyAlignment="1">
      <alignment horizontal="center"/>
    </xf>
    <xf numFmtId="168" fontId="5" fillId="0" borderId="0" xfId="3" applyNumberFormat="1" applyFont="1" applyFill="1" applyAlignment="1">
      <alignment horizontal="center"/>
    </xf>
    <xf numFmtId="167" fontId="5" fillId="0" borderId="0" xfId="3" applyNumberFormat="1" applyFont="1" applyFill="1" applyAlignment="1">
      <alignment horizontal="center"/>
    </xf>
    <xf numFmtId="10" fontId="5" fillId="0" borderId="0" xfId="0" applyNumberFormat="1" applyFont="1" applyFill="1" applyAlignment="1">
      <alignment horizontal="center"/>
    </xf>
    <xf numFmtId="9" fontId="5" fillId="0" borderId="0" xfId="0" applyNumberFormat="1" applyFont="1" applyFill="1"/>
    <xf numFmtId="168" fontId="5" fillId="0" borderId="0" xfId="0" applyNumberFormat="1" applyFont="1" applyFill="1"/>
    <xf numFmtId="0" fontId="5" fillId="0" borderId="0" xfId="0" applyFont="1" applyFill="1" applyAlignment="1">
      <alignment horizontal="right"/>
    </xf>
    <xf numFmtId="10" fontId="5" fillId="0" borderId="0" xfId="3" applyNumberFormat="1" applyFont="1" applyFill="1" applyAlignment="1">
      <alignment horizontal="right"/>
    </xf>
    <xf numFmtId="168" fontId="5" fillId="0" borderId="0" xfId="3" applyNumberFormat="1" applyFont="1" applyFill="1" applyAlignment="1">
      <alignment horizontal="right"/>
    </xf>
    <xf numFmtId="9" fontId="5" fillId="0" borderId="0" xfId="3" applyFont="1" applyFill="1" applyAlignment="1">
      <alignment horizontal="right"/>
    </xf>
    <xf numFmtId="168" fontId="5" fillId="0" borderId="0" xfId="0" applyNumberFormat="1" applyFont="1" applyFill="1" applyBorder="1" applyAlignment="1">
      <alignment horizontal="center"/>
    </xf>
    <xf numFmtId="0" fontId="35" fillId="0" borderId="0" xfId="0" applyFont="1"/>
    <xf numFmtId="0" fontId="0" fillId="0" borderId="0" xfId="0" applyFont="1" applyFill="1" applyAlignment="1">
      <alignment horizontal="right"/>
    </xf>
    <xf numFmtId="0" fontId="26" fillId="6" borderId="0" xfId="0" applyFont="1" applyFill="1" applyAlignment="1">
      <alignment horizontal="centerContinuous"/>
    </xf>
    <xf numFmtId="0" fontId="18" fillId="0" borderId="0" xfId="0" applyFont="1" applyFill="1"/>
    <xf numFmtId="0" fontId="28" fillId="11" borderId="0" xfId="6" applyFont="1" applyBorder="1" applyAlignment="1">
      <alignment horizontal="centerContinuous" vertical="center" wrapText="1"/>
    </xf>
    <xf numFmtId="0" fontId="34" fillId="3" borderId="0" xfId="0" applyFont="1" applyFill="1"/>
    <xf numFmtId="0" fontId="31" fillId="3" borderId="0" xfId="0" applyFont="1" applyFill="1" applyBorder="1"/>
    <xf numFmtId="0" fontId="18" fillId="3" borderId="0" xfId="0" quotePrefix="1" applyFont="1" applyFill="1" applyAlignment="1">
      <alignment horizontal="center"/>
    </xf>
    <xf numFmtId="49" fontId="18" fillId="3" borderId="0" xfId="0" quotePrefix="1" applyNumberFormat="1" applyFont="1" applyFill="1" applyAlignment="1">
      <alignment horizontal="center"/>
    </xf>
    <xf numFmtId="0" fontId="18" fillId="3" borderId="0" xfId="0" applyFont="1" applyFill="1" applyBorder="1" applyAlignment="1">
      <alignment horizontal="center"/>
    </xf>
    <xf numFmtId="0" fontId="33" fillId="3" borderId="0" xfId="0" applyFont="1" applyFill="1"/>
    <xf numFmtId="0" fontId="29" fillId="6" borderId="0" xfId="0" applyFont="1" applyFill="1" applyBorder="1" applyAlignment="1">
      <alignment horizontal="centerContinuous" vertical="center"/>
    </xf>
    <xf numFmtId="0" fontId="5" fillId="8" borderId="0" xfId="0" applyFont="1" applyFill="1"/>
    <xf numFmtId="0" fontId="6" fillId="0" borderId="0" xfId="0" applyFont="1" applyFill="1"/>
    <xf numFmtId="0" fontId="6" fillId="0" borderId="0" xfId="0" applyFont="1"/>
    <xf numFmtId="0" fontId="6" fillId="3" borderId="0" xfId="0" applyFont="1" applyFill="1"/>
    <xf numFmtId="0" fontId="9" fillId="3" borderId="0" xfId="0" applyFont="1" applyFill="1"/>
    <xf numFmtId="0" fontId="16" fillId="0" borderId="0" xfId="0" applyFont="1"/>
    <xf numFmtId="0" fontId="36" fillId="3" borderId="0" xfId="0" applyFont="1" applyFill="1"/>
    <xf numFmtId="0" fontId="6" fillId="0" borderId="0" xfId="0" applyFont="1" applyFill="1" applyAlignment="1">
      <alignment horizontal="right"/>
    </xf>
    <xf numFmtId="0" fontId="6" fillId="3" borderId="0" xfId="0" applyFont="1" applyFill="1" applyAlignment="1">
      <alignment horizontal="right"/>
    </xf>
    <xf numFmtId="0" fontId="16" fillId="0" borderId="0" xfId="0" applyFont="1" applyFill="1"/>
    <xf numFmtId="0" fontId="37" fillId="3" borderId="0" xfId="0" applyFont="1" applyFill="1"/>
    <xf numFmtId="0" fontId="21" fillId="11" borderId="0" xfId="6" applyFont="1" applyAlignment="1">
      <alignment horizontal="centerContinuous"/>
    </xf>
    <xf numFmtId="0" fontId="21" fillId="11" borderId="0" xfId="6" applyFont="1" applyBorder="1" applyAlignment="1">
      <alignment horizontal="centerContinuous" vertical="center" wrapText="1"/>
    </xf>
    <xf numFmtId="0" fontId="3" fillId="6" borderId="0" xfId="0" applyFont="1" applyFill="1" applyBorder="1" applyAlignment="1">
      <alignment horizontal="centerContinuous" vertical="center"/>
    </xf>
    <xf numFmtId="0" fontId="6" fillId="0" borderId="0" xfId="0" applyFont="1" applyAlignment="1"/>
    <xf numFmtId="0" fontId="6" fillId="13" borderId="0" xfId="0" applyFont="1" applyFill="1" applyBorder="1"/>
    <xf numFmtId="2" fontId="6" fillId="0" borderId="0" xfId="0" applyNumberFormat="1" applyFont="1" applyAlignment="1">
      <alignment horizontal="right"/>
    </xf>
    <xf numFmtId="9" fontId="6" fillId="0" borderId="0" xfId="3" applyNumberFormat="1" applyFont="1" applyAlignment="1">
      <alignment horizontal="right"/>
    </xf>
    <xf numFmtId="166" fontId="6" fillId="0" borderId="0" xfId="3" applyNumberFormat="1" applyFont="1"/>
    <xf numFmtId="0" fontId="18" fillId="3" borderId="0" xfId="0" applyFont="1" applyFill="1" applyAlignment="1">
      <alignment horizontal="centerContinuous" vertical="center"/>
    </xf>
    <xf numFmtId="0" fontId="5" fillId="0" borderId="0" xfId="0" applyFont="1" applyFill="1" applyAlignment="1">
      <alignment vertical="center"/>
    </xf>
    <xf numFmtId="10" fontId="6" fillId="3" borderId="0" xfId="0" applyNumberFormat="1" applyFont="1" applyFill="1" applyAlignment="1">
      <alignment horizontal="center"/>
    </xf>
    <xf numFmtId="168" fontId="6" fillId="3" borderId="0" xfId="0" applyNumberFormat="1" applyFont="1" applyFill="1" applyBorder="1" applyAlignment="1">
      <alignment horizontal="center"/>
    </xf>
    <xf numFmtId="168" fontId="6" fillId="3" borderId="0" xfId="0" applyNumberFormat="1" applyFont="1" applyFill="1"/>
    <xf numFmtId="10" fontId="6" fillId="3" borderId="0" xfId="0" applyNumberFormat="1" applyFont="1" applyFill="1"/>
    <xf numFmtId="9" fontId="6" fillId="3" borderId="0" xfId="3" applyFont="1" applyFill="1" applyAlignment="1">
      <alignment horizontal="right"/>
    </xf>
    <xf numFmtId="168" fontId="6" fillId="3" borderId="0" xfId="3" applyNumberFormat="1" applyFont="1" applyFill="1" applyAlignment="1">
      <alignment horizontal="right"/>
    </xf>
    <xf numFmtId="167" fontId="6" fillId="3" borderId="0" xfId="3" applyNumberFormat="1" applyFont="1" applyFill="1"/>
    <xf numFmtId="10" fontId="6" fillId="3" borderId="0" xfId="3" applyNumberFormat="1" applyFont="1" applyFill="1" applyBorder="1" applyAlignment="1">
      <alignment horizontal="center"/>
    </xf>
    <xf numFmtId="10" fontId="6" fillId="3" borderId="0" xfId="3" applyNumberFormat="1" applyFont="1" applyFill="1" applyAlignment="1">
      <alignment horizontal="center"/>
    </xf>
    <xf numFmtId="0" fontId="6" fillId="3" borderId="0" xfId="0" applyFont="1" applyFill="1" applyAlignment="1"/>
    <xf numFmtId="9" fontId="6" fillId="3" borderId="0" xfId="3" applyFont="1" applyFill="1" applyAlignment="1">
      <alignment horizontal="center"/>
    </xf>
    <xf numFmtId="9" fontId="6" fillId="3" borderId="0" xfId="0" applyNumberFormat="1" applyFont="1" applyFill="1"/>
    <xf numFmtId="1" fontId="6" fillId="3" borderId="0" xfId="0" applyNumberFormat="1" applyFont="1" applyFill="1" applyAlignment="1">
      <alignment horizontal="center"/>
    </xf>
    <xf numFmtId="166" fontId="6" fillId="3" borderId="0" xfId="0" applyNumberFormat="1" applyFont="1" applyFill="1" applyAlignment="1">
      <alignment horizontal="center"/>
    </xf>
    <xf numFmtId="0" fontId="6" fillId="3" borderId="0" xfId="0" applyNumberFormat="1" applyFont="1" applyFill="1" applyAlignment="1">
      <alignment horizontal="center"/>
    </xf>
    <xf numFmtId="2" fontId="6" fillId="3" borderId="0" xfId="0" applyNumberFormat="1" applyFont="1" applyFill="1" applyAlignment="1">
      <alignment horizontal="center"/>
    </xf>
    <xf numFmtId="9" fontId="6" fillId="3" borderId="0" xfId="0" applyNumberFormat="1" applyFont="1" applyFill="1" applyAlignment="1">
      <alignment horizontal="left"/>
    </xf>
    <xf numFmtId="9" fontId="6" fillId="0" borderId="0" xfId="3" applyFont="1" applyFill="1" applyAlignment="1">
      <alignment horizontal="right"/>
    </xf>
    <xf numFmtId="168" fontId="6" fillId="0" borderId="0" xfId="0" applyNumberFormat="1" applyFont="1" applyAlignment="1">
      <alignment horizontal="right" indent="1"/>
    </xf>
    <xf numFmtId="0" fontId="6" fillId="3" borderId="0" xfId="0" applyNumberFormat="1" applyFont="1" applyFill="1"/>
    <xf numFmtId="0" fontId="0" fillId="0" borderId="0" xfId="0" applyNumberFormat="1" applyFont="1"/>
    <xf numFmtId="168" fontId="0" fillId="0" borderId="0" xfId="0" applyNumberFormat="1" applyFont="1" applyAlignment="1">
      <alignment horizontal="center"/>
    </xf>
    <xf numFmtId="166" fontId="0" fillId="0" borderId="0" xfId="0" applyNumberFormat="1" applyFont="1" applyFill="1"/>
    <xf numFmtId="0" fontId="0" fillId="0" borderId="0" xfId="0" applyFont="1" applyAlignment="1">
      <alignment wrapText="1"/>
    </xf>
    <xf numFmtId="171" fontId="0" fillId="0" borderId="0" xfId="0" applyNumberFormat="1" applyFont="1"/>
    <xf numFmtId="0" fontId="0" fillId="0" borderId="0" xfId="0" applyFont="1" applyFill="1" applyBorder="1"/>
    <xf numFmtId="166" fontId="0" fillId="0" borderId="0" xfId="0" applyNumberFormat="1" applyFont="1"/>
    <xf numFmtId="0" fontId="38" fillId="4" borderId="0" xfId="0" applyFont="1" applyFill="1"/>
    <xf numFmtId="0" fontId="15" fillId="4" borderId="0" xfId="0" applyFont="1" applyFill="1"/>
    <xf numFmtId="164" fontId="15" fillId="4" borderId="0" xfId="0" applyNumberFormat="1" applyFont="1" applyFill="1" applyAlignment="1">
      <alignment horizontal="right"/>
    </xf>
    <xf numFmtId="0" fontId="15" fillId="4" borderId="0" xfId="0" applyFont="1" applyFill="1" applyAlignment="1">
      <alignment horizontal="left"/>
    </xf>
    <xf numFmtId="0" fontId="39" fillId="4" borderId="0" xfId="1" applyFont="1" applyFill="1"/>
    <xf numFmtId="0" fontId="40" fillId="4" borderId="0" xfId="7" applyFont="1" applyFill="1" applyAlignment="1" applyProtection="1"/>
    <xf numFmtId="0" fontId="41" fillId="3" borderId="0" xfId="0" applyFont="1" applyFill="1"/>
    <xf numFmtId="0" fontId="16" fillId="0" borderId="0" xfId="0" applyFont="1" applyAlignment="1">
      <alignment wrapText="1"/>
    </xf>
    <xf numFmtId="49" fontId="5" fillId="3" borderId="1" xfId="0" applyNumberFormat="1" applyFont="1" applyFill="1" applyBorder="1" applyAlignment="1">
      <alignment horizontal="left" wrapText="1"/>
    </xf>
    <xf numFmtId="0" fontId="18" fillId="0" borderId="0" xfId="0" applyFont="1" applyAlignment="1">
      <alignment wrapText="1"/>
    </xf>
    <xf numFmtId="49" fontId="18" fillId="0" borderId="1" xfId="0" applyNumberFormat="1" applyFont="1" applyBorder="1" applyAlignment="1">
      <alignment horizontal="right" wrapText="1"/>
    </xf>
    <xf numFmtId="9" fontId="5" fillId="0" borderId="0" xfId="3" applyFont="1"/>
    <xf numFmtId="9" fontId="5" fillId="0" borderId="0" xfId="0" applyNumberFormat="1" applyFont="1"/>
    <xf numFmtId="9" fontId="5" fillId="3" borderId="0" xfId="3" applyFont="1" applyFill="1"/>
    <xf numFmtId="0" fontId="5" fillId="0" borderId="0" xfId="0" applyFont="1" applyFill="1" applyAlignment="1"/>
    <xf numFmtId="0" fontId="18" fillId="0" borderId="0" xfId="0" applyFont="1" applyAlignment="1"/>
    <xf numFmtId="0" fontId="38" fillId="0" borderId="0" xfId="0" applyFont="1" applyAlignment="1">
      <alignment wrapText="1"/>
    </xf>
    <xf numFmtId="0" fontId="35" fillId="0" borderId="0" xfId="0" applyFont="1" applyFill="1"/>
    <xf numFmtId="0" fontId="35" fillId="0" borderId="0" xfId="0" applyFont="1" applyFill="1" applyAlignment="1"/>
    <xf numFmtId="0" fontId="18" fillId="3" borderId="0" xfId="0" applyNumberFormat="1" applyFont="1" applyFill="1" applyAlignment="1">
      <alignment horizontal="centerContinuous"/>
    </xf>
    <xf numFmtId="0" fontId="42" fillId="3" borderId="0" xfId="0" applyNumberFormat="1" applyFont="1" applyFill="1" applyAlignment="1">
      <alignment horizontal="centerContinuous"/>
    </xf>
    <xf numFmtId="0" fontId="32" fillId="3" borderId="0" xfId="0" applyFont="1" applyFill="1" applyAlignment="1">
      <alignment horizontal="right" wrapText="1"/>
    </xf>
    <xf numFmtId="0" fontId="38" fillId="3" borderId="0" xfId="0" applyFont="1" applyFill="1" applyAlignment="1">
      <alignment wrapText="1"/>
    </xf>
    <xf numFmtId="0" fontId="5" fillId="3" borderId="0" xfId="0" applyFont="1" applyFill="1" applyAlignment="1">
      <alignment horizontal="left"/>
    </xf>
    <xf numFmtId="0" fontId="18" fillId="3" borderId="0" xfId="0" applyFont="1" applyFill="1" applyAlignment="1">
      <alignment horizontal="left" wrapText="1"/>
    </xf>
    <xf numFmtId="0" fontId="6" fillId="0" borderId="0" xfId="3" applyNumberFormat="1" applyFont="1"/>
    <xf numFmtId="10" fontId="5" fillId="0" borderId="0" xfId="0" applyNumberFormat="1" applyFont="1" applyFill="1"/>
    <xf numFmtId="0" fontId="18" fillId="0" borderId="0" xfId="0" applyFont="1" applyAlignment="1">
      <alignment horizontal="centerContinuous"/>
    </xf>
    <xf numFmtId="0" fontId="18" fillId="0" borderId="0" xfId="0" applyFont="1" applyFill="1" applyBorder="1" applyAlignment="1">
      <alignment horizontal="center"/>
    </xf>
    <xf numFmtId="168" fontId="1" fillId="0" borderId="0" xfId="0" applyNumberFormat="1" applyFont="1"/>
    <xf numFmtId="169" fontId="0" fillId="0" borderId="0" xfId="0" applyNumberFormat="1" applyFont="1" applyFill="1" applyBorder="1" applyAlignment="1">
      <alignment horizontal="center"/>
    </xf>
    <xf numFmtId="0" fontId="18" fillId="3" borderId="0" xfId="0" applyFont="1" applyFill="1" applyAlignment="1">
      <alignment horizontal="centerContinuous" wrapText="1"/>
    </xf>
    <xf numFmtId="169" fontId="10" fillId="3" borderId="0" xfId="0" applyNumberFormat="1" applyFont="1" applyFill="1" applyAlignment="1">
      <alignment horizontal="center"/>
    </xf>
    <xf numFmtId="168" fontId="0" fillId="0" borderId="0" xfId="0" applyNumberFormat="1" applyFont="1" applyFill="1" applyBorder="1" applyAlignment="1">
      <alignment horizontal="center"/>
    </xf>
    <xf numFmtId="169" fontId="6" fillId="3" borderId="0" xfId="0" applyNumberFormat="1" applyFont="1" applyFill="1" applyBorder="1" applyAlignment="1">
      <alignment horizontal="center"/>
    </xf>
    <xf numFmtId="9" fontId="5" fillId="0" borderId="0" xfId="3" applyNumberFormat="1" applyFont="1" applyBorder="1" applyAlignment="1">
      <alignment horizontal="center"/>
    </xf>
    <xf numFmtId="0" fontId="5" fillId="0" borderId="0" xfId="0" applyFont="1" applyBorder="1" applyAlignment="1">
      <alignment horizontal="left" vertical="top"/>
    </xf>
    <xf numFmtId="0" fontId="5" fillId="0" borderId="0" xfId="0" applyFont="1" applyFill="1" applyAlignment="1">
      <alignment horizontal="center"/>
    </xf>
    <xf numFmtId="2" fontId="5" fillId="0" borderId="0" xfId="3" applyNumberFormat="1" applyFont="1"/>
    <xf numFmtId="10" fontId="18" fillId="0" borderId="0" xfId="0" applyNumberFormat="1" applyFont="1"/>
    <xf numFmtId="0" fontId="18" fillId="0" borderId="0" xfId="3" applyNumberFormat="1" applyFont="1"/>
    <xf numFmtId="0" fontId="18" fillId="3" borderId="0" xfId="0" applyFont="1" applyFill="1" applyAlignment="1">
      <alignment horizontal="right"/>
    </xf>
    <xf numFmtId="0" fontId="31" fillId="0" borderId="0" xfId="0" applyFont="1" applyFill="1"/>
    <xf numFmtId="0" fontId="5" fillId="0" borderId="0" xfId="0" applyFont="1" applyAlignment="1">
      <alignment horizontal="center"/>
    </xf>
    <xf numFmtId="166" fontId="5" fillId="0" borderId="0" xfId="0" applyNumberFormat="1" applyFont="1" applyAlignment="1">
      <alignment horizontal="center"/>
    </xf>
    <xf numFmtId="166" fontId="5" fillId="0" borderId="0" xfId="0" applyNumberFormat="1" applyFont="1" applyFill="1" applyBorder="1" applyAlignment="1">
      <alignment horizontal="center"/>
    </xf>
    <xf numFmtId="166" fontId="35" fillId="0" borderId="0" xfId="0" applyNumberFormat="1" applyFont="1" applyAlignment="1">
      <alignment horizontal="center"/>
    </xf>
    <xf numFmtId="2" fontId="5" fillId="3" borderId="0" xfId="3" applyNumberFormat="1" applyFont="1" applyFill="1" applyAlignment="1">
      <alignment horizontal="center"/>
    </xf>
    <xf numFmtId="0" fontId="18" fillId="0" borderId="0" xfId="0" applyFont="1" applyFill="1" applyAlignment="1">
      <alignment wrapText="1"/>
    </xf>
    <xf numFmtId="0" fontId="32" fillId="3" borderId="0" xfId="0" applyFont="1" applyFill="1"/>
    <xf numFmtId="168" fontId="0" fillId="0" borderId="0" xfId="0" applyNumberFormat="1" applyFont="1" applyFill="1" applyAlignment="1"/>
    <xf numFmtId="0" fontId="18" fillId="3" borderId="0" xfId="0" applyFont="1" applyFill="1" applyAlignment="1">
      <alignment horizontal="left"/>
    </xf>
    <xf numFmtId="0" fontId="18" fillId="3" borderId="0" xfId="0" applyFont="1" applyFill="1" applyAlignment="1">
      <alignment horizontal="left" vertical="center"/>
    </xf>
    <xf numFmtId="1" fontId="1" fillId="0" borderId="0" xfId="0" applyNumberFormat="1" applyFont="1" applyAlignment="1">
      <alignment horizontal="center"/>
    </xf>
    <xf numFmtId="0" fontId="5" fillId="0" borderId="0" xfId="0" applyFont="1" applyAlignment="1">
      <alignment horizontal="right"/>
    </xf>
    <xf numFmtId="0" fontId="0" fillId="0" borderId="0" xfId="0" applyFont="1" applyAlignment="1">
      <alignment horizontal="right"/>
    </xf>
    <xf numFmtId="166" fontId="0" fillId="0" borderId="0" xfId="0" applyNumberFormat="1" applyFont="1" applyAlignment="1">
      <alignment horizontal="right"/>
    </xf>
    <xf numFmtId="9" fontId="5" fillId="0" borderId="0" xfId="3" applyFont="1" applyAlignment="1">
      <alignment horizontal="right"/>
    </xf>
    <xf numFmtId="9" fontId="5" fillId="0" borderId="0" xfId="0" applyNumberFormat="1" applyFont="1" applyAlignment="1">
      <alignment horizontal="right"/>
    </xf>
    <xf numFmtId="166" fontId="0" fillId="3" borderId="0" xfId="0" applyNumberFormat="1" applyFont="1" applyFill="1" applyAlignment="1">
      <alignment horizontal="right"/>
    </xf>
    <xf numFmtId="9" fontId="5" fillId="3" borderId="0" xfId="3" applyFont="1" applyFill="1" applyAlignment="1">
      <alignment horizontal="right"/>
    </xf>
    <xf numFmtId="0" fontId="1" fillId="0" borderId="0" xfId="0" applyFont="1" applyAlignment="1">
      <alignment horizontal="right"/>
    </xf>
    <xf numFmtId="1" fontId="1" fillId="0" borderId="0" xfId="0" applyNumberFormat="1" applyFont="1" applyAlignment="1">
      <alignment horizontal="right"/>
    </xf>
    <xf numFmtId="0" fontId="6" fillId="0" borderId="0" xfId="3" applyNumberFormat="1" applyFont="1" applyAlignment="1">
      <alignment horizontal="center"/>
    </xf>
    <xf numFmtId="166" fontId="6" fillId="0" borderId="0" xfId="0" applyNumberFormat="1" applyFont="1" applyAlignment="1">
      <alignment horizontal="center"/>
    </xf>
    <xf numFmtId="2" fontId="1" fillId="0" borderId="0" xfId="0" applyNumberFormat="1" applyFont="1" applyAlignment="1">
      <alignment horizontal="center"/>
    </xf>
    <xf numFmtId="0" fontId="12" fillId="0" borderId="0" xfId="0" applyFont="1" applyFill="1"/>
    <xf numFmtId="2" fontId="1" fillId="0" borderId="0" xfId="0" applyNumberFormat="1" applyFont="1" applyAlignment="1">
      <alignment horizontal="right"/>
    </xf>
    <xf numFmtId="9" fontId="6" fillId="0" borderId="0" xfId="3" applyFont="1" applyFill="1"/>
    <xf numFmtId="9" fontId="6" fillId="3" borderId="0" xfId="3" applyFont="1" applyFill="1"/>
    <xf numFmtId="0" fontId="6" fillId="0" borderId="0" xfId="0" applyFont="1" applyFill="1" applyAlignment="1">
      <alignment wrapText="1"/>
    </xf>
    <xf numFmtId="0" fontId="0" fillId="0" borderId="0" xfId="0" applyFont="1" applyFill="1" applyAlignment="1">
      <alignment wrapText="1"/>
    </xf>
    <xf numFmtId="2" fontId="6" fillId="0" borderId="0" xfId="3" applyNumberFormat="1" applyFont="1" applyAlignment="1">
      <alignment horizontal="center"/>
    </xf>
    <xf numFmtId="0" fontId="25" fillId="0" borderId="0" xfId="5" applyFont="1" applyFill="1"/>
    <xf numFmtId="0" fontId="16" fillId="0" borderId="0" xfId="0" applyFont="1" applyFill="1" applyAlignment="1">
      <alignment wrapText="1"/>
    </xf>
    <xf numFmtId="168" fontId="1" fillId="0" borderId="0" xfId="0" applyNumberFormat="1" applyFont="1" applyFill="1"/>
    <xf numFmtId="0" fontId="1" fillId="0" borderId="0" xfId="0" applyNumberFormat="1" applyFont="1" applyFill="1"/>
    <xf numFmtId="166" fontId="1" fillId="0" borderId="0" xfId="0" applyNumberFormat="1" applyFont="1" applyFill="1"/>
    <xf numFmtId="0" fontId="0" fillId="0" borderId="0" xfId="0" applyFont="1" applyFill="1" applyAlignment="1">
      <alignment horizontal="right" wrapText="1"/>
    </xf>
    <xf numFmtId="2" fontId="6" fillId="0" borderId="0" xfId="3" applyNumberFormat="1" applyFont="1" applyAlignment="1">
      <alignment horizontal="right"/>
    </xf>
    <xf numFmtId="166" fontId="6" fillId="0" borderId="0" xfId="0" applyNumberFormat="1" applyFont="1" applyAlignment="1">
      <alignment horizontal="right"/>
    </xf>
    <xf numFmtId="0" fontId="25" fillId="0" borderId="0" xfId="5" applyFont="1" applyFill="1" applyAlignment="1"/>
    <xf numFmtId="0" fontId="26" fillId="6" borderId="0" xfId="0" applyFont="1" applyFill="1" applyAlignment="1">
      <alignment horizontal="centerContinuous" vertical="center"/>
    </xf>
    <xf numFmtId="0" fontId="5" fillId="0" borderId="5" xfId="0" applyFont="1" applyBorder="1"/>
    <xf numFmtId="0" fontId="18" fillId="0" borderId="4" xfId="0" applyFont="1" applyBorder="1" applyAlignment="1">
      <alignment horizontal="center"/>
    </xf>
    <xf numFmtId="0" fontId="18" fillId="0" borderId="0" xfId="0" applyFont="1" applyBorder="1" applyAlignment="1">
      <alignment horizontal="center"/>
    </xf>
    <xf numFmtId="0" fontId="43" fillId="0" borderId="7" xfId="1" applyFont="1" applyBorder="1"/>
    <xf numFmtId="9" fontId="5" fillId="0" borderId="8" xfId="3" applyFont="1" applyBorder="1"/>
    <xf numFmtId="9" fontId="5" fillId="0" borderId="0" xfId="3" applyFont="1" applyBorder="1"/>
    <xf numFmtId="0" fontId="43" fillId="0" borderId="9" xfId="1" applyFont="1" applyBorder="1"/>
    <xf numFmtId="9" fontId="5" fillId="0" borderId="10" xfId="3" applyFont="1" applyBorder="1"/>
    <xf numFmtId="1" fontId="1" fillId="0" borderId="0" xfId="0" applyNumberFormat="1" applyFont="1"/>
    <xf numFmtId="9" fontId="1" fillId="0" borderId="0" xfId="3" applyFont="1" applyBorder="1" applyAlignment="1">
      <alignment horizontal="right"/>
    </xf>
    <xf numFmtId="0" fontId="1" fillId="0" borderId="0" xfId="0" applyFont="1" applyBorder="1" applyAlignment="1">
      <alignment horizontal="right"/>
    </xf>
    <xf numFmtId="0" fontId="18" fillId="3" borderId="0" xfId="0" applyFont="1" applyFill="1" applyBorder="1" applyAlignment="1">
      <alignment horizontal="right" wrapText="1"/>
    </xf>
    <xf numFmtId="166" fontId="0" fillId="3" borderId="0" xfId="3" applyNumberFormat="1" applyFont="1" applyFill="1"/>
    <xf numFmtId="0" fontId="32" fillId="3" borderId="11" xfId="4" applyFont="1" applyFill="1" applyBorder="1"/>
    <xf numFmtId="0" fontId="32" fillId="3" borderId="12" xfId="4" applyFont="1" applyFill="1" applyBorder="1"/>
    <xf numFmtId="0" fontId="18" fillId="3" borderId="12" xfId="0" applyFont="1" applyFill="1" applyBorder="1" applyAlignment="1">
      <alignment horizontal="right" wrapText="1"/>
    </xf>
    <xf numFmtId="0" fontId="0" fillId="0" borderId="12" xfId="0" applyFont="1" applyFill="1" applyBorder="1"/>
    <xf numFmtId="166" fontId="0" fillId="3" borderId="12" xfId="0" applyNumberFormat="1" applyFont="1" applyFill="1" applyBorder="1"/>
    <xf numFmtId="166" fontId="0" fillId="0" borderId="12" xfId="0" applyNumberFormat="1" applyFont="1" applyFill="1" applyBorder="1"/>
    <xf numFmtId="166" fontId="1" fillId="0" borderId="13" xfId="0" applyNumberFormat="1" applyFont="1" applyFill="1" applyBorder="1"/>
    <xf numFmtId="0" fontId="1" fillId="0" borderId="0" xfId="0" applyFont="1" applyFill="1" applyBorder="1" applyAlignment="1">
      <alignment horizontal="right" wrapText="1"/>
    </xf>
    <xf numFmtId="0" fontId="0" fillId="0" borderId="0" xfId="0" applyFont="1" applyFill="1" applyBorder="1" applyAlignment="1">
      <alignment horizontal="right"/>
    </xf>
    <xf numFmtId="0" fontId="18" fillId="0" borderId="0" xfId="0" applyFont="1" applyFill="1" applyAlignment="1">
      <alignment horizontal="right" wrapText="1"/>
    </xf>
    <xf numFmtId="0" fontId="5" fillId="9" borderId="11" xfId="0" applyFont="1" applyFill="1" applyBorder="1" applyAlignment="1">
      <alignment horizontal="center"/>
    </xf>
    <xf numFmtId="0" fontId="5" fillId="9" borderId="12" xfId="0" applyFont="1" applyFill="1" applyBorder="1" applyAlignment="1">
      <alignment horizontal="center"/>
    </xf>
    <xf numFmtId="0" fontId="5" fillId="9" borderId="13" xfId="0" applyFont="1" applyFill="1" applyBorder="1" applyAlignment="1">
      <alignment horizontal="center"/>
    </xf>
    <xf numFmtId="0" fontId="0" fillId="13" borderId="0" xfId="0" applyFont="1" applyFill="1"/>
    <xf numFmtId="0" fontId="0" fillId="14" borderId="0" xfId="0" applyFill="1"/>
    <xf numFmtId="0" fontId="25" fillId="14" borderId="0" xfId="0" applyFont="1" applyFill="1"/>
    <xf numFmtId="0" fontId="44" fillId="14" borderId="0" xfId="0" applyFont="1" applyFill="1" applyAlignment="1">
      <alignment horizontal="left"/>
    </xf>
    <xf numFmtId="0" fontId="5" fillId="9" borderId="5" xfId="0" applyFont="1" applyFill="1" applyBorder="1" applyAlignment="1">
      <alignment horizontal="center"/>
    </xf>
    <xf numFmtId="0" fontId="5" fillId="9" borderId="7" xfId="0" applyFont="1" applyFill="1" applyBorder="1" applyAlignment="1">
      <alignment horizontal="center"/>
    </xf>
    <xf numFmtId="0" fontId="5" fillId="9" borderId="9" xfId="0" applyFont="1" applyFill="1" applyBorder="1" applyAlignment="1">
      <alignment horizontal="center"/>
    </xf>
    <xf numFmtId="0" fontId="36" fillId="3" borderId="0" xfId="0" applyFont="1" applyFill="1" applyAlignment="1">
      <alignment horizontal="centerContinuous"/>
    </xf>
    <xf numFmtId="10" fontId="5" fillId="3" borderId="0" xfId="0" applyNumberFormat="1" applyFont="1" applyFill="1"/>
    <xf numFmtId="0" fontId="18" fillId="3" borderId="0" xfId="0" applyFont="1" applyFill="1" applyAlignment="1">
      <alignment horizontal="right" wrapText="1"/>
    </xf>
    <xf numFmtId="169" fontId="5" fillId="0" borderId="0" xfId="0" applyNumberFormat="1" applyFont="1"/>
    <xf numFmtId="169" fontId="6" fillId="0" borderId="0" xfId="0" applyNumberFormat="1" applyFont="1"/>
    <xf numFmtId="169" fontId="6" fillId="0" borderId="0" xfId="3" applyNumberFormat="1" applyFont="1"/>
    <xf numFmtId="170" fontId="6" fillId="0" borderId="0" xfId="0" applyNumberFormat="1" applyFont="1"/>
    <xf numFmtId="9" fontId="1" fillId="0" borderId="0" xfId="3" applyFont="1" applyFill="1" applyBorder="1" applyAlignment="1">
      <alignment horizontal="center" wrapText="1"/>
    </xf>
    <xf numFmtId="9" fontId="1" fillId="0" borderId="0" xfId="3" applyFont="1" applyFill="1" applyAlignment="1">
      <alignment horizontal="center"/>
    </xf>
    <xf numFmtId="0" fontId="18" fillId="3" borderId="0" xfId="0" applyFont="1" applyFill="1" applyAlignment="1">
      <alignment horizontal="center" wrapText="1"/>
    </xf>
    <xf numFmtId="0" fontId="18" fillId="3" borderId="0" xfId="0" applyFont="1" applyFill="1" applyBorder="1" applyAlignment="1">
      <alignment horizontal="center" wrapText="1"/>
    </xf>
    <xf numFmtId="0" fontId="5" fillId="0" borderId="0" xfId="0" applyFont="1" applyFill="1" applyAlignment="1">
      <alignment wrapText="1"/>
    </xf>
    <xf numFmtId="0" fontId="5" fillId="3" borderId="0" xfId="0" applyFont="1" applyFill="1" applyAlignment="1">
      <alignment wrapText="1"/>
    </xf>
    <xf numFmtId="0" fontId="38" fillId="3" borderId="0" xfId="0" applyFont="1" applyFill="1" applyAlignment="1">
      <alignment horizontal="right" wrapText="1"/>
    </xf>
    <xf numFmtId="0" fontId="18" fillId="3" borderId="0" xfId="0" applyFont="1" applyFill="1" applyAlignment="1">
      <alignment horizontal="right" wrapText="1"/>
    </xf>
    <xf numFmtId="170" fontId="6" fillId="0" borderId="0" xfId="3" applyNumberFormat="1" applyFont="1"/>
    <xf numFmtId="9" fontId="6" fillId="0" borderId="11" xfId="3" applyFont="1" applyBorder="1"/>
    <xf numFmtId="9" fontId="6" fillId="0" borderId="12" xfId="3" applyFont="1" applyBorder="1"/>
    <xf numFmtId="9" fontId="6" fillId="0" borderId="13" xfId="3" applyFont="1" applyBorder="1"/>
    <xf numFmtId="0" fontId="26" fillId="3" borderId="0" xfId="0" applyFont="1" applyFill="1"/>
    <xf numFmtId="0" fontId="45" fillId="0" borderId="0" xfId="0" applyFont="1"/>
    <xf numFmtId="166" fontId="5" fillId="0" borderId="0" xfId="0" applyNumberFormat="1" applyFont="1" applyFill="1"/>
    <xf numFmtId="167" fontId="5" fillId="0" borderId="0" xfId="0" applyNumberFormat="1" applyFont="1" applyFill="1"/>
    <xf numFmtId="0" fontId="45" fillId="0" borderId="0" xfId="0" applyFont="1" applyFill="1"/>
    <xf numFmtId="1" fontId="0" fillId="0" borderId="0" xfId="0" applyNumberFormat="1" applyFont="1"/>
    <xf numFmtId="167" fontId="6" fillId="0" borderId="0" xfId="3" applyNumberFormat="1" applyFont="1" applyFill="1"/>
    <xf numFmtId="1" fontId="6" fillId="0" borderId="0" xfId="3" applyNumberFormat="1" applyFont="1" applyFill="1"/>
    <xf numFmtId="166" fontId="6" fillId="0" borderId="0" xfId="3" applyNumberFormat="1" applyFont="1" applyFill="1"/>
    <xf numFmtId="1" fontId="0" fillId="0" borderId="0" xfId="0" applyNumberFormat="1" applyFont="1" applyFill="1"/>
    <xf numFmtId="2" fontId="0" fillId="0" borderId="0" xfId="0" applyNumberFormat="1" applyFont="1"/>
    <xf numFmtId="2" fontId="1" fillId="0" borderId="0" xfId="0" applyNumberFormat="1" applyFont="1"/>
    <xf numFmtId="10" fontId="1" fillId="0" borderId="0" xfId="0" applyNumberFormat="1" applyFont="1"/>
    <xf numFmtId="166" fontId="6" fillId="0" borderId="0" xfId="0" applyNumberFormat="1" applyFont="1"/>
    <xf numFmtId="166" fontId="1" fillId="3" borderId="0" xfId="0" applyNumberFormat="1" applyFont="1" applyFill="1"/>
    <xf numFmtId="0" fontId="18" fillId="3" borderId="11" xfId="0" applyFont="1" applyFill="1" applyBorder="1" applyAlignment="1">
      <alignment horizontal="right" wrapText="1"/>
    </xf>
    <xf numFmtId="168" fontId="10" fillId="0" borderId="12" xfId="0" applyNumberFormat="1" applyFont="1" applyBorder="1"/>
    <xf numFmtId="168" fontId="10" fillId="0" borderId="13" xfId="0" applyNumberFormat="1" applyFont="1" applyBorder="1"/>
    <xf numFmtId="169" fontId="10" fillId="0" borderId="12" xfId="0" applyNumberFormat="1" applyFont="1" applyBorder="1"/>
    <xf numFmtId="170" fontId="10" fillId="0" borderId="12" xfId="0" applyNumberFormat="1" applyFont="1" applyBorder="1"/>
    <xf numFmtId="169" fontId="10" fillId="0" borderId="13" xfId="0" applyNumberFormat="1" applyFont="1" applyBorder="1"/>
    <xf numFmtId="166" fontId="6" fillId="0" borderId="12" xfId="3" applyNumberFormat="1" applyFont="1" applyBorder="1"/>
    <xf numFmtId="166" fontId="10" fillId="0" borderId="12" xfId="0" applyNumberFormat="1" applyFont="1" applyBorder="1"/>
    <xf numFmtId="0" fontId="1" fillId="0" borderId="13" xfId="0" applyNumberFormat="1" applyFont="1" applyBorder="1"/>
    <xf numFmtId="0" fontId="32" fillId="3" borderId="5" xfId="4" applyFont="1" applyFill="1" applyBorder="1"/>
    <xf numFmtId="0" fontId="32" fillId="3" borderId="23" xfId="4" applyFont="1" applyFill="1" applyBorder="1"/>
    <xf numFmtId="0" fontId="32" fillId="3" borderId="6" xfId="4" applyFont="1" applyFill="1" applyBorder="1"/>
    <xf numFmtId="0" fontId="18" fillId="3" borderId="7" xfId="0" applyFont="1" applyFill="1" applyBorder="1" applyAlignment="1">
      <alignment horizontal="centerContinuous"/>
    </xf>
    <xf numFmtId="0" fontId="18" fillId="3" borderId="0" xfId="0" applyFont="1" applyFill="1" applyBorder="1" applyAlignment="1">
      <alignment horizontal="centerContinuous" wrapText="1"/>
    </xf>
    <xf numFmtId="0" fontId="18" fillId="3" borderId="8" xfId="0" applyFont="1" applyFill="1" applyBorder="1" applyAlignment="1">
      <alignment horizontal="centerContinuous"/>
    </xf>
    <xf numFmtId="0" fontId="6" fillId="3" borderId="7" xfId="0" applyFont="1" applyFill="1" applyBorder="1"/>
    <xf numFmtId="0" fontId="18" fillId="3" borderId="0" xfId="0" applyFont="1" applyFill="1" applyBorder="1" applyAlignment="1">
      <alignment wrapText="1"/>
    </xf>
    <xf numFmtId="0" fontId="6" fillId="3" borderId="8" xfId="0" applyFont="1" applyFill="1" applyBorder="1"/>
    <xf numFmtId="0" fontId="18" fillId="3" borderId="7" xfId="0" applyFont="1" applyFill="1" applyBorder="1" applyAlignment="1">
      <alignment horizontal="center"/>
    </xf>
    <xf numFmtId="0" fontId="18" fillId="3" borderId="8" xfId="0" applyFont="1" applyFill="1" applyBorder="1" applyAlignment="1">
      <alignment horizontal="center"/>
    </xf>
    <xf numFmtId="169" fontId="0" fillId="0" borderId="7" xfId="0" applyNumberFormat="1" applyFont="1" applyFill="1" applyBorder="1" applyAlignment="1">
      <alignment horizontal="center"/>
    </xf>
    <xf numFmtId="169" fontId="0" fillId="0" borderId="8" xfId="0" applyNumberFormat="1" applyFont="1" applyFill="1" applyBorder="1" applyAlignment="1">
      <alignment horizontal="center"/>
    </xf>
    <xf numFmtId="169" fontId="6" fillId="3" borderId="7" xfId="0" applyNumberFormat="1" applyFont="1" applyFill="1" applyBorder="1" applyAlignment="1">
      <alignment horizontal="center"/>
    </xf>
    <xf numFmtId="169" fontId="6" fillId="3" borderId="8" xfId="0" applyNumberFormat="1" applyFont="1" applyFill="1" applyBorder="1" applyAlignment="1">
      <alignment horizontal="center"/>
    </xf>
    <xf numFmtId="169" fontId="6" fillId="3" borderId="7" xfId="3" applyNumberFormat="1" applyFont="1" applyFill="1" applyBorder="1" applyAlignment="1">
      <alignment horizontal="center"/>
    </xf>
    <xf numFmtId="169" fontId="6" fillId="3" borderId="0" xfId="3" applyNumberFormat="1" applyFont="1" applyFill="1" applyBorder="1" applyAlignment="1">
      <alignment horizontal="center"/>
    </xf>
    <xf numFmtId="169" fontId="6" fillId="3" borderId="8" xfId="3" applyNumberFormat="1" applyFont="1" applyFill="1" applyBorder="1" applyAlignment="1">
      <alignment horizontal="center"/>
    </xf>
    <xf numFmtId="168" fontId="0" fillId="0" borderId="7" xfId="0" applyNumberFormat="1" applyFont="1" applyFill="1" applyBorder="1" applyAlignment="1">
      <alignment horizontal="center"/>
    </xf>
    <xf numFmtId="168" fontId="0" fillId="0" borderId="8" xfId="0" applyNumberFormat="1" applyFont="1" applyFill="1" applyBorder="1" applyAlignment="1">
      <alignment horizontal="center"/>
    </xf>
    <xf numFmtId="168" fontId="6" fillId="3" borderId="7" xfId="0" applyNumberFormat="1" applyFont="1" applyFill="1" applyBorder="1" applyAlignment="1">
      <alignment horizontal="center"/>
    </xf>
    <xf numFmtId="168" fontId="6" fillId="3" borderId="8" xfId="0" applyNumberFormat="1" applyFont="1" applyFill="1" applyBorder="1" applyAlignment="1">
      <alignment horizontal="center"/>
    </xf>
    <xf numFmtId="168" fontId="6" fillId="3" borderId="7" xfId="3" applyNumberFormat="1" applyFont="1" applyFill="1" applyBorder="1" applyAlignment="1">
      <alignment horizontal="center"/>
    </xf>
    <xf numFmtId="168" fontId="6" fillId="3" borderId="0" xfId="3" applyNumberFormat="1" applyFont="1" applyFill="1" applyBorder="1" applyAlignment="1">
      <alignment horizontal="center"/>
    </xf>
    <xf numFmtId="168" fontId="6" fillId="3" borderId="8" xfId="3" applyNumberFormat="1" applyFont="1" applyFill="1" applyBorder="1" applyAlignment="1">
      <alignment horizontal="center"/>
    </xf>
    <xf numFmtId="0" fontId="11" fillId="0" borderId="13" xfId="0" applyNumberFormat="1" applyFont="1" applyFill="1" applyBorder="1"/>
    <xf numFmtId="0" fontId="18" fillId="0" borderId="11" xfId="0" applyFont="1" applyBorder="1" applyAlignment="1">
      <alignment wrapText="1"/>
    </xf>
    <xf numFmtId="166" fontId="6" fillId="0" borderId="12" xfId="0" applyNumberFormat="1" applyFont="1" applyBorder="1" applyAlignment="1">
      <alignment horizontal="center"/>
    </xf>
    <xf numFmtId="0" fontId="6" fillId="3" borderId="12" xfId="0" applyFont="1" applyFill="1" applyBorder="1" applyAlignment="1">
      <alignment horizontal="right"/>
    </xf>
    <xf numFmtId="1" fontId="1" fillId="0" borderId="13" xfId="0" applyNumberFormat="1" applyFont="1" applyBorder="1" applyAlignment="1">
      <alignment horizontal="center"/>
    </xf>
    <xf numFmtId="0" fontId="18" fillId="0" borderId="11" xfId="0" applyFont="1" applyBorder="1" applyAlignment="1">
      <alignment horizontal="right" wrapText="1"/>
    </xf>
    <xf numFmtId="166" fontId="6" fillId="0" borderId="12" xfId="0" applyNumberFormat="1" applyFont="1" applyBorder="1" applyAlignment="1">
      <alignment horizontal="right"/>
    </xf>
    <xf numFmtId="0" fontId="0" fillId="3" borderId="12" xfId="0" applyFont="1" applyFill="1" applyBorder="1" applyAlignment="1">
      <alignment horizontal="right"/>
    </xf>
    <xf numFmtId="1" fontId="1" fillId="0" borderId="13" xfId="0" applyNumberFormat="1" applyFont="1" applyBorder="1" applyAlignment="1">
      <alignment horizontal="right"/>
    </xf>
    <xf numFmtId="0" fontId="18" fillId="3" borderId="11" xfId="0" applyFont="1" applyFill="1" applyBorder="1" applyAlignment="1">
      <alignment horizontal="right"/>
    </xf>
    <xf numFmtId="166" fontId="10" fillId="0" borderId="12" xfId="3" applyNumberFormat="1" applyFont="1" applyBorder="1"/>
    <xf numFmtId="0" fontId="11" fillId="0" borderId="13" xfId="0" applyNumberFormat="1" applyFont="1" applyBorder="1"/>
    <xf numFmtId="0" fontId="6" fillId="0" borderId="0" xfId="0" applyFont="1" applyFill="1" applyAlignment="1"/>
    <xf numFmtId="1" fontId="0" fillId="0" borderId="0" xfId="3" applyNumberFormat="1" applyFont="1"/>
    <xf numFmtId="0" fontId="19" fillId="3" borderId="0" xfId="0" applyFont="1" applyFill="1"/>
    <xf numFmtId="0" fontId="41" fillId="3" borderId="0" xfId="0" applyFont="1" applyFill="1" applyAlignment="1">
      <alignment horizontal="left"/>
    </xf>
    <xf numFmtId="0" fontId="26" fillId="3" borderId="0" xfId="0" applyFont="1" applyFill="1" applyAlignment="1">
      <alignment horizontal="centerContinuous" vertical="center"/>
    </xf>
    <xf numFmtId="0" fontId="26" fillId="3" borderId="0" xfId="0" applyFont="1" applyFill="1" applyAlignment="1">
      <alignment horizontal="center" vertical="center"/>
    </xf>
    <xf numFmtId="0" fontId="18" fillId="3" borderId="0" xfId="0" applyFont="1" applyFill="1" applyAlignment="1">
      <alignment horizontal="center" vertical="center"/>
    </xf>
    <xf numFmtId="0" fontId="41" fillId="3" borderId="0" xfId="0" applyFont="1" applyFill="1" applyAlignment="1">
      <alignment horizontal="left" vertical="center"/>
    </xf>
    <xf numFmtId="0" fontId="5" fillId="5" borderId="0" xfId="0" applyFont="1" applyFill="1"/>
    <xf numFmtId="0" fontId="31" fillId="3" borderId="0" xfId="0" applyFont="1" applyFill="1" applyAlignment="1">
      <alignment horizontal="left"/>
    </xf>
    <xf numFmtId="168" fontId="5" fillId="0" borderId="0" xfId="0" applyNumberFormat="1" applyFont="1" applyAlignment="1">
      <alignment horizontal="right"/>
    </xf>
    <xf numFmtId="168" fontId="18" fillId="3" borderId="0" xfId="0" applyNumberFormat="1" applyFont="1" applyFill="1" applyAlignment="1">
      <alignment horizontal="left"/>
    </xf>
    <xf numFmtId="0" fontId="26" fillId="3" borderId="0" xfId="0" applyFont="1" applyFill="1" applyAlignment="1">
      <alignment horizontal="left" vertical="center"/>
    </xf>
    <xf numFmtId="0" fontId="0" fillId="0" borderId="0" xfId="0" applyNumberFormat="1" applyFont="1" applyAlignment="1">
      <alignment horizontal="right"/>
    </xf>
    <xf numFmtId="2" fontId="0" fillId="0" borderId="0" xfId="0" applyNumberFormat="1" applyFont="1" applyAlignment="1">
      <alignment horizontal="right"/>
    </xf>
    <xf numFmtId="2" fontId="35" fillId="0" borderId="0" xfId="0" applyNumberFormat="1" applyFont="1" applyAlignment="1">
      <alignment horizontal="right"/>
    </xf>
    <xf numFmtId="0" fontId="31" fillId="3" borderId="0" xfId="0" applyFont="1" applyFill="1" applyAlignment="1">
      <alignment horizontal="left" vertical="center"/>
    </xf>
    <xf numFmtId="167" fontId="6" fillId="0" borderId="0" xfId="3" applyNumberFormat="1" applyFont="1" applyAlignment="1">
      <alignment horizontal="right"/>
    </xf>
    <xf numFmtId="168" fontId="6" fillId="0" borderId="0" xfId="0" applyNumberFormat="1" applyFont="1" applyAlignment="1">
      <alignment horizontal="right"/>
    </xf>
    <xf numFmtId="168" fontId="6" fillId="0" borderId="0" xfId="0" applyNumberFormat="1" applyFont="1" applyFill="1" applyAlignment="1">
      <alignment horizontal="right"/>
    </xf>
    <xf numFmtId="166" fontId="6" fillId="0" borderId="0" xfId="3" applyNumberFormat="1" applyFont="1" applyAlignment="1">
      <alignment horizontal="right"/>
    </xf>
    <xf numFmtId="165" fontId="6" fillId="0" borderId="0" xfId="0" applyNumberFormat="1" applyFont="1" applyFill="1" applyAlignment="1">
      <alignment horizontal="right"/>
    </xf>
    <xf numFmtId="166" fontId="6" fillId="0" borderId="0" xfId="0" applyNumberFormat="1" applyFont="1" applyFill="1" applyAlignment="1">
      <alignment horizontal="right"/>
    </xf>
    <xf numFmtId="168" fontId="6" fillId="0" borderId="0" xfId="0" applyNumberFormat="1" applyFont="1" applyFill="1" applyAlignment="1">
      <alignment horizontal="left"/>
    </xf>
    <xf numFmtId="0" fontId="6" fillId="0" borderId="0" xfId="0" applyFont="1" applyAlignment="1">
      <alignment horizontal="right"/>
    </xf>
    <xf numFmtId="171" fontId="6" fillId="0" borderId="0" xfId="0" applyNumberFormat="1" applyFont="1" applyAlignment="1">
      <alignment horizontal="right"/>
    </xf>
    <xf numFmtId="0" fontId="6" fillId="0" borderId="0" xfId="0" applyFont="1" applyAlignment="1">
      <alignment horizontal="left"/>
    </xf>
    <xf numFmtId="168" fontId="1" fillId="0" borderId="0" xfId="0" applyNumberFormat="1" applyFont="1" applyAlignment="1">
      <alignment horizontal="right"/>
    </xf>
    <xf numFmtId="166" fontId="1" fillId="0" borderId="0" xfId="0" applyNumberFormat="1" applyFont="1" applyAlignment="1">
      <alignment horizontal="right"/>
    </xf>
    <xf numFmtId="167" fontId="6" fillId="0" borderId="0" xfId="3" applyNumberFormat="1" applyFont="1" applyFill="1" applyAlignment="1">
      <alignment horizontal="right"/>
    </xf>
    <xf numFmtId="0" fontId="1" fillId="0" borderId="0" xfId="0" applyFont="1" applyFill="1" applyAlignment="1">
      <alignment horizontal="right"/>
    </xf>
    <xf numFmtId="0" fontId="6" fillId="0" borderId="0" xfId="0" applyFont="1" applyFill="1" applyAlignment="1">
      <alignment horizontal="left"/>
    </xf>
    <xf numFmtId="0" fontId="18" fillId="3" borderId="12" xfId="0" applyFont="1" applyFill="1" applyBorder="1" applyAlignment="1">
      <alignment horizontal="center"/>
    </xf>
    <xf numFmtId="169" fontId="6" fillId="0" borderId="12" xfId="0" applyNumberFormat="1" applyFont="1" applyBorder="1" applyAlignment="1">
      <alignment horizontal="right"/>
    </xf>
    <xf numFmtId="0" fontId="6" fillId="0" borderId="13" xfId="0" applyFont="1" applyBorder="1" applyAlignment="1">
      <alignment horizontal="right"/>
    </xf>
    <xf numFmtId="168" fontId="18" fillId="3" borderId="11" xfId="0" applyNumberFormat="1" applyFont="1" applyFill="1" applyBorder="1" applyAlignment="1">
      <alignment horizontal="center"/>
    </xf>
    <xf numFmtId="168" fontId="18" fillId="3" borderId="12" xfId="0" applyNumberFormat="1" applyFont="1" applyFill="1" applyBorder="1" applyAlignment="1">
      <alignment horizontal="center"/>
    </xf>
    <xf numFmtId="2" fontId="6" fillId="0" borderId="12" xfId="0" applyNumberFormat="1" applyFont="1" applyFill="1" applyBorder="1" applyAlignment="1">
      <alignment horizontal="right"/>
    </xf>
    <xf numFmtId="0" fontId="5" fillId="0" borderId="3" xfId="0" applyFont="1" applyFill="1" applyBorder="1" applyAlignment="1">
      <alignment horizontal="left" vertical="top"/>
    </xf>
    <xf numFmtId="0" fontId="18" fillId="7" borderId="0" xfId="0" applyFont="1" applyFill="1" applyAlignment="1">
      <alignment horizontal="center"/>
    </xf>
    <xf numFmtId="0" fontId="5" fillId="0" borderId="0" xfId="0" applyFont="1" applyAlignment="1">
      <alignment vertical="center"/>
    </xf>
    <xf numFmtId="0" fontId="5" fillId="0" borderId="0" xfId="0" applyFont="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vertical="top"/>
    </xf>
    <xf numFmtId="0" fontId="5" fillId="0" borderId="0" xfId="0" applyFont="1" applyFill="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42" fillId="3" borderId="0" xfId="0" applyNumberFormat="1" applyFont="1" applyFill="1" applyAlignment="1">
      <alignment horizontal="center"/>
    </xf>
    <xf numFmtId="0" fontId="18" fillId="3" borderId="0" xfId="0" applyNumberFormat="1" applyFont="1" applyFill="1" applyAlignment="1">
      <alignment horizontal="center"/>
    </xf>
    <xf numFmtId="0" fontId="18" fillId="7" borderId="0" xfId="0" applyFont="1" applyFill="1" applyAlignment="1">
      <alignment vertical="center"/>
    </xf>
    <xf numFmtId="0" fontId="5" fillId="0" borderId="0" xfId="0" applyFont="1" applyFill="1" applyBorder="1" applyAlignment="1"/>
    <xf numFmtId="169" fontId="5" fillId="0" borderId="0" xfId="0" applyNumberFormat="1" applyFont="1" applyFill="1"/>
    <xf numFmtId="10" fontId="5" fillId="0" borderId="0" xfId="0" applyNumberFormat="1" applyFont="1"/>
    <xf numFmtId="3" fontId="5" fillId="0" borderId="0" xfId="0" applyNumberFormat="1" applyFont="1" applyFill="1" applyBorder="1" applyAlignment="1"/>
    <xf numFmtId="168" fontId="5" fillId="0" borderId="0" xfId="0" applyNumberFormat="1" applyFont="1" applyAlignment="1">
      <alignment vertical="center"/>
    </xf>
    <xf numFmtId="10" fontId="5" fillId="0" borderId="0" xfId="0" applyNumberFormat="1" applyFont="1" applyFill="1" applyAlignment="1">
      <alignment vertical="center"/>
    </xf>
    <xf numFmtId="168" fontId="5" fillId="0" borderId="0" xfId="0" applyNumberFormat="1" applyFont="1" applyAlignment="1"/>
    <xf numFmtId="167" fontId="5" fillId="0" borderId="0" xfId="3" applyNumberFormat="1" applyFont="1" applyAlignment="1">
      <alignment vertical="center"/>
    </xf>
    <xf numFmtId="10" fontId="5" fillId="0" borderId="0" xfId="3" applyNumberFormat="1" applyFont="1" applyAlignment="1"/>
    <xf numFmtId="3" fontId="5" fillId="0" borderId="0" xfId="0" applyNumberFormat="1" applyFont="1"/>
    <xf numFmtId="168" fontId="5" fillId="0" borderId="0" xfId="0" applyNumberFormat="1" applyFont="1" applyFill="1" applyAlignment="1">
      <alignment horizontal="right" wrapText="1"/>
    </xf>
    <xf numFmtId="10" fontId="5" fillId="0" borderId="0" xfId="3" applyNumberFormat="1" applyFont="1" applyFill="1"/>
    <xf numFmtId="168" fontId="5" fillId="3" borderId="0" xfId="0" applyNumberFormat="1" applyFont="1" applyFill="1"/>
    <xf numFmtId="169" fontId="5" fillId="0" borderId="0" xfId="0" applyNumberFormat="1" applyFont="1" applyFill="1" applyBorder="1"/>
    <xf numFmtId="169" fontId="5" fillId="0" borderId="0" xfId="0" applyNumberFormat="1" applyFont="1" applyFill="1" applyBorder="1" applyAlignment="1">
      <alignment horizontal="right"/>
    </xf>
    <xf numFmtId="169" fontId="5" fillId="0" borderId="0" xfId="2" applyNumberFormat="1" applyFont="1" applyFill="1" applyBorder="1"/>
    <xf numFmtId="167" fontId="5" fillId="0" borderId="0" xfId="3" applyNumberFormat="1" applyFont="1"/>
    <xf numFmtId="0" fontId="31" fillId="7" borderId="0" xfId="0" applyFont="1" applyFill="1"/>
    <xf numFmtId="0" fontId="31" fillId="7" borderId="0" xfId="0" applyFont="1" applyFill="1" applyAlignment="1">
      <alignment horizontal="center"/>
    </xf>
    <xf numFmtId="0" fontId="31" fillId="7" borderId="0" xfId="0" applyFont="1" applyFill="1" applyAlignment="1">
      <alignment horizontal="left"/>
    </xf>
    <xf numFmtId="165" fontId="5" fillId="0" borderId="0" xfId="0" applyNumberFormat="1" applyFont="1" applyFill="1" applyBorder="1"/>
    <xf numFmtId="0" fontId="6" fillId="0" borderId="0" xfId="0" applyFont="1" applyFill="1" applyAlignment="1">
      <alignment vertical="top"/>
    </xf>
    <xf numFmtId="169" fontId="5" fillId="0" borderId="0" xfId="0" applyNumberFormat="1" applyFont="1" applyAlignment="1">
      <alignment horizontal="center"/>
    </xf>
    <xf numFmtId="0" fontId="5" fillId="0" borderId="2" xfId="0" applyFont="1" applyBorder="1"/>
    <xf numFmtId="169" fontId="5" fillId="9" borderId="2" xfId="0" applyNumberFormat="1" applyFont="1" applyFill="1" applyBorder="1" applyAlignment="1">
      <alignment horizontal="center"/>
    </xf>
    <xf numFmtId="0" fontId="35" fillId="0" borderId="0" xfId="0" applyFont="1" applyFill="1" applyBorder="1"/>
    <xf numFmtId="165" fontId="0" fillId="0" borderId="0" xfId="0" applyNumberFormat="1" applyFont="1"/>
    <xf numFmtId="167" fontId="5" fillId="0" borderId="0" xfId="3" applyNumberFormat="1" applyFont="1" applyAlignment="1">
      <alignment horizontal="left"/>
    </xf>
    <xf numFmtId="170" fontId="0" fillId="0" borderId="12" xfId="0" applyNumberFormat="1" applyFont="1" applyBorder="1"/>
    <xf numFmtId="168" fontId="1" fillId="0" borderId="0" xfId="0" applyNumberFormat="1" applyFont="1" applyFill="1" applyAlignment="1">
      <alignment horizontal="right"/>
    </xf>
    <xf numFmtId="0" fontId="26" fillId="3" borderId="0" xfId="0" applyFont="1" applyFill="1" applyBorder="1" applyAlignment="1">
      <alignment horizontal="centerContinuous" vertical="center"/>
    </xf>
    <xf numFmtId="169" fontId="6" fillId="0" borderId="0" xfId="0" applyNumberFormat="1" applyFont="1" applyBorder="1" applyAlignment="1">
      <alignment horizontal="right"/>
    </xf>
    <xf numFmtId="168" fontId="6" fillId="0" borderId="0" xfId="0" applyNumberFormat="1" applyFont="1" applyFill="1" applyBorder="1" applyAlignment="1">
      <alignment horizontal="right"/>
    </xf>
    <xf numFmtId="0" fontId="6" fillId="0" borderId="0" xfId="0" applyFont="1" applyBorder="1" applyAlignment="1">
      <alignment horizontal="right"/>
    </xf>
    <xf numFmtId="0" fontId="5" fillId="3" borderId="0" xfId="0" applyFont="1" applyFill="1" applyAlignment="1"/>
    <xf numFmtId="0" fontId="46" fillId="0" borderId="0" xfId="0" applyFont="1"/>
    <xf numFmtId="169" fontId="18" fillId="3" borderId="0" xfId="0" applyNumberFormat="1" applyFont="1" applyFill="1" applyAlignment="1">
      <alignment horizontal="center"/>
    </xf>
    <xf numFmtId="169" fontId="18" fillId="3" borderId="0" xfId="0" applyNumberFormat="1" applyFont="1" applyFill="1" applyAlignment="1">
      <alignment horizontal="centerContinuous"/>
    </xf>
    <xf numFmtId="168" fontId="5" fillId="3" borderId="0" xfId="0" applyNumberFormat="1" applyFont="1" applyFill="1" applyAlignment="1">
      <alignment horizontal="center"/>
    </xf>
    <xf numFmtId="0" fontId="19" fillId="0" borderId="0" xfId="0" applyFont="1" applyFill="1"/>
    <xf numFmtId="169" fontId="18" fillId="0" borderId="0" xfId="0" applyNumberFormat="1" applyFont="1" applyFill="1" applyAlignment="1">
      <alignment horizontal="center"/>
    </xf>
    <xf numFmtId="0" fontId="33" fillId="0" borderId="0" xfId="0" applyFont="1" applyFill="1"/>
    <xf numFmtId="169" fontId="5" fillId="0" borderId="0" xfId="0" applyNumberFormat="1" applyFont="1" applyFill="1" applyAlignment="1">
      <alignment horizontal="center"/>
    </xf>
    <xf numFmtId="169" fontId="19" fillId="0" borderId="0" xfId="0" applyNumberFormat="1" applyFont="1" applyFill="1" applyAlignment="1">
      <alignment horizontal="center"/>
    </xf>
    <xf numFmtId="0" fontId="46" fillId="0" borderId="0" xfId="0" applyFont="1" applyFill="1"/>
    <xf numFmtId="168" fontId="18" fillId="3" borderId="0" xfId="0" applyNumberFormat="1" applyFont="1" applyFill="1" applyAlignment="1">
      <alignment horizontal="centerContinuous"/>
    </xf>
    <xf numFmtId="169" fontId="5" fillId="0" borderId="0" xfId="0" applyNumberFormat="1" applyFont="1" applyAlignment="1">
      <alignment horizontal="left"/>
    </xf>
    <xf numFmtId="169" fontId="18" fillId="0" borderId="0" xfId="0" applyNumberFormat="1" applyFont="1" applyFill="1" applyAlignment="1">
      <alignment horizontal="left"/>
    </xf>
    <xf numFmtId="169" fontId="5" fillId="3" borderId="0" xfId="0" applyNumberFormat="1" applyFont="1" applyFill="1" applyAlignment="1">
      <alignment horizontal="left"/>
    </xf>
    <xf numFmtId="169" fontId="5" fillId="0" borderId="0" xfId="0" applyNumberFormat="1" applyFont="1" applyFill="1" applyAlignment="1">
      <alignment horizontal="left"/>
    </xf>
    <xf numFmtId="168" fontId="5" fillId="3" borderId="0" xfId="0" applyNumberFormat="1" applyFont="1" applyFill="1" applyAlignment="1">
      <alignment horizontal="left"/>
    </xf>
    <xf numFmtId="168" fontId="18" fillId="3" borderId="0" xfId="0" applyNumberFormat="1" applyFont="1" applyFill="1" applyAlignment="1">
      <alignment horizontal="right" wrapText="1"/>
    </xf>
    <xf numFmtId="168" fontId="18" fillId="3" borderId="0" xfId="0" applyNumberFormat="1" applyFont="1" applyFill="1" applyAlignment="1">
      <alignment horizontal="right"/>
    </xf>
    <xf numFmtId="10" fontId="0" fillId="0" borderId="0" xfId="3" applyNumberFormat="1" applyFont="1" applyAlignment="1">
      <alignment horizontal="right"/>
    </xf>
    <xf numFmtId="0" fontId="1" fillId="0" borderId="0" xfId="0" applyNumberFormat="1" applyFont="1" applyFill="1" applyAlignment="1">
      <alignment horizontal="right"/>
    </xf>
    <xf numFmtId="0" fontId="0" fillId="3" borderId="0" xfId="0" applyNumberFormat="1" applyFont="1" applyFill="1" applyAlignment="1">
      <alignment horizontal="right"/>
    </xf>
    <xf numFmtId="168" fontId="0" fillId="3" borderId="0" xfId="0" applyNumberFormat="1" applyFont="1" applyFill="1" applyAlignment="1">
      <alignment horizontal="right"/>
    </xf>
    <xf numFmtId="2" fontId="0" fillId="0" borderId="0" xfId="3" applyNumberFormat="1" applyFont="1" applyAlignment="1">
      <alignment horizontal="right"/>
    </xf>
    <xf numFmtId="0" fontId="0" fillId="0" borderId="0" xfId="0" applyNumberFormat="1" applyFont="1" applyFill="1" applyAlignment="1">
      <alignment horizontal="right"/>
    </xf>
    <xf numFmtId="168" fontId="0" fillId="0" borderId="0" xfId="0" applyNumberFormat="1" applyFont="1" applyFill="1" applyAlignment="1">
      <alignment horizontal="right"/>
    </xf>
    <xf numFmtId="166" fontId="0" fillId="0" borderId="0" xfId="0" applyNumberFormat="1" applyFont="1" applyAlignment="1">
      <alignment horizontal="center"/>
    </xf>
    <xf numFmtId="168" fontId="35" fillId="0" borderId="0" xfId="0" applyNumberFormat="1" applyFont="1" applyAlignment="1">
      <alignment horizontal="left"/>
    </xf>
    <xf numFmtId="0" fontId="47" fillId="0" borderId="0" xfId="0" applyFont="1" applyAlignment="1"/>
    <xf numFmtId="166" fontId="1" fillId="0" borderId="0" xfId="0" applyNumberFormat="1" applyFont="1" applyFill="1" applyAlignment="1">
      <alignment horizontal="center"/>
    </xf>
    <xf numFmtId="166" fontId="1" fillId="0" borderId="0" xfId="0" applyNumberFormat="1" applyFont="1" applyAlignment="1">
      <alignment horizontal="center"/>
    </xf>
    <xf numFmtId="166" fontId="0" fillId="3" borderId="0" xfId="0" applyNumberFormat="1" applyFont="1" applyFill="1" applyAlignment="1">
      <alignment horizontal="center"/>
    </xf>
    <xf numFmtId="169" fontId="0" fillId="0" borderId="12" xfId="0" applyNumberFormat="1" applyFont="1" applyBorder="1" applyAlignment="1">
      <alignment horizontal="center"/>
    </xf>
    <xf numFmtId="169" fontId="0" fillId="3" borderId="12" xfId="0" applyNumberFormat="1" applyFont="1" applyFill="1" applyBorder="1" applyAlignment="1">
      <alignment horizontal="center"/>
    </xf>
    <xf numFmtId="169" fontId="1" fillId="0" borderId="12" xfId="0" applyNumberFormat="1" applyFont="1" applyFill="1" applyBorder="1" applyAlignment="1">
      <alignment horizontal="center"/>
    </xf>
    <xf numFmtId="166" fontId="6" fillId="3" borderId="12" xfId="0" applyNumberFormat="1" applyFont="1" applyFill="1" applyBorder="1" applyAlignment="1">
      <alignment horizontal="center"/>
    </xf>
    <xf numFmtId="9" fontId="6" fillId="3" borderId="12" xfId="3" applyFont="1" applyFill="1" applyBorder="1"/>
    <xf numFmtId="0" fontId="47" fillId="3" borderId="0" xfId="0" applyFont="1" applyFill="1" applyAlignment="1">
      <alignment horizontal="center" wrapText="1"/>
    </xf>
    <xf numFmtId="0" fontId="18" fillId="3" borderId="11" xfId="0" applyFont="1" applyFill="1" applyBorder="1" applyAlignment="1">
      <alignment horizontal="center" wrapText="1"/>
    </xf>
    <xf numFmtId="0" fontId="5" fillId="0" borderId="12" xfId="0" applyFont="1" applyFill="1" applyBorder="1" applyAlignment="1">
      <alignment horizontal="center"/>
    </xf>
    <xf numFmtId="0" fontId="5" fillId="0" borderId="12" xfId="0" applyFont="1" applyFill="1" applyBorder="1"/>
    <xf numFmtId="169" fontId="0" fillId="0" borderId="0" xfId="0" applyNumberFormat="1" applyFont="1" applyFill="1"/>
    <xf numFmtId="0" fontId="18" fillId="13" borderId="0" xfId="0" applyFont="1" applyFill="1" applyAlignment="1">
      <alignment horizontal="right"/>
    </xf>
    <xf numFmtId="0" fontId="32" fillId="0" borderId="0" xfId="4" applyFont="1" applyFill="1" applyBorder="1"/>
    <xf numFmtId="0" fontId="18" fillId="0" borderId="0" xfId="0" applyFont="1" applyFill="1" applyAlignment="1">
      <alignment horizontal="center" wrapText="1"/>
    </xf>
    <xf numFmtId="0" fontId="18" fillId="0" borderId="15" xfId="0" applyFont="1" applyFill="1" applyBorder="1" applyAlignment="1">
      <alignment horizontal="center" wrapText="1"/>
    </xf>
    <xf numFmtId="0" fontId="18" fillId="0" borderId="15" xfId="0" applyFont="1" applyFill="1" applyBorder="1" applyAlignment="1">
      <alignment horizontal="left" wrapText="1"/>
    </xf>
    <xf numFmtId="0" fontId="18" fillId="0" borderId="16" xfId="0" applyFont="1" applyFill="1" applyBorder="1" applyAlignment="1">
      <alignment horizontal="left" wrapText="1"/>
    </xf>
    <xf numFmtId="168" fontId="5" fillId="9" borderId="2" xfId="0" applyNumberFormat="1" applyFont="1" applyFill="1" applyBorder="1" applyAlignment="1">
      <alignment horizontal="center"/>
    </xf>
    <xf numFmtId="168" fontId="5" fillId="9" borderId="0" xfId="0" applyNumberFormat="1" applyFont="1" applyFill="1"/>
    <xf numFmtId="168" fontId="5" fillId="9" borderId="2" xfId="0" applyNumberFormat="1" applyFont="1" applyFill="1" applyBorder="1" applyAlignment="1">
      <alignment horizontal="right"/>
    </xf>
    <xf numFmtId="168" fontId="6" fillId="3" borderId="0" xfId="0" applyNumberFormat="1" applyFont="1" applyFill="1" applyAlignment="1">
      <alignment horizontal="right"/>
    </xf>
    <xf numFmtId="168" fontId="1" fillId="3" borderId="0" xfId="0" applyNumberFormat="1" applyFont="1" applyFill="1" applyAlignment="1">
      <alignment horizontal="right"/>
    </xf>
    <xf numFmtId="165" fontId="1" fillId="3" borderId="0" xfId="0" applyNumberFormat="1" applyFont="1" applyFill="1" applyAlignment="1">
      <alignment horizontal="right"/>
    </xf>
    <xf numFmtId="2" fontId="6" fillId="3" borderId="0" xfId="0" applyNumberFormat="1" applyFont="1" applyFill="1" applyAlignment="1">
      <alignment horizontal="left"/>
    </xf>
    <xf numFmtId="167" fontId="6" fillId="3" borderId="0" xfId="3" applyNumberFormat="1" applyFont="1" applyFill="1" applyAlignment="1">
      <alignment horizontal="right"/>
    </xf>
    <xf numFmtId="0" fontId="6" fillId="3" borderId="0" xfId="0" applyFont="1" applyFill="1" applyAlignment="1">
      <alignment horizontal="left"/>
    </xf>
    <xf numFmtId="2" fontId="35" fillId="0" borderId="0" xfId="0" applyNumberFormat="1" applyFont="1" applyFill="1" applyAlignment="1">
      <alignment horizontal="right"/>
    </xf>
    <xf numFmtId="0" fontId="48" fillId="4" borderId="0" xfId="0" applyFont="1" applyFill="1"/>
    <xf numFmtId="0" fontId="48" fillId="0" borderId="0" xfId="0" applyFont="1"/>
    <xf numFmtId="166" fontId="10" fillId="0" borderId="0" xfId="0" applyNumberFormat="1" applyFont="1" applyBorder="1"/>
    <xf numFmtId="166" fontId="1" fillId="0" borderId="0" xfId="0" applyNumberFormat="1" applyFont="1" applyBorder="1"/>
    <xf numFmtId="1" fontId="1" fillId="0" borderId="13" xfId="0" applyNumberFormat="1" applyFont="1" applyBorder="1"/>
    <xf numFmtId="166" fontId="6" fillId="0" borderId="12" xfId="0" applyNumberFormat="1" applyFont="1" applyBorder="1"/>
    <xf numFmtId="1" fontId="11" fillId="0" borderId="13" xfId="0" applyNumberFormat="1" applyFont="1" applyBorder="1"/>
    <xf numFmtId="168" fontId="6" fillId="0" borderId="12" xfId="0" applyNumberFormat="1" applyFont="1" applyBorder="1" applyAlignment="1">
      <alignment horizontal="right"/>
    </xf>
    <xf numFmtId="10" fontId="6" fillId="0" borderId="0" xfId="3" applyNumberFormat="1" applyFont="1" applyFill="1"/>
    <xf numFmtId="10" fontId="0" fillId="0" borderId="0" xfId="3" applyNumberFormat="1" applyFont="1"/>
    <xf numFmtId="10" fontId="6" fillId="0" borderId="0" xfId="3" applyNumberFormat="1" applyFont="1"/>
    <xf numFmtId="0" fontId="38" fillId="0" borderId="0" xfId="0" applyFont="1"/>
    <xf numFmtId="9" fontId="1" fillId="0" borderId="12" xfId="3" applyFont="1" applyFill="1" applyBorder="1" applyAlignment="1">
      <alignment horizontal="center" wrapText="1"/>
    </xf>
    <xf numFmtId="0" fontId="18" fillId="3" borderId="0" xfId="0" applyFont="1" applyFill="1" applyAlignment="1">
      <alignment horizontal="right" wrapText="1"/>
    </xf>
    <xf numFmtId="0" fontId="14" fillId="0" borderId="0" xfId="0" applyFont="1" applyAlignment="1"/>
    <xf numFmtId="0" fontId="7" fillId="0" borderId="0" xfId="0" applyFont="1" applyAlignment="1"/>
    <xf numFmtId="169" fontId="0" fillId="0" borderId="0" xfId="0" applyNumberFormat="1" applyFont="1" applyBorder="1"/>
    <xf numFmtId="168" fontId="38" fillId="0" borderId="0" xfId="0" applyNumberFormat="1" applyFont="1" applyAlignment="1">
      <alignment horizontal="centerContinuous"/>
    </xf>
    <xf numFmtId="168" fontId="1" fillId="0" borderId="0" xfId="3" applyNumberFormat="1" applyFont="1"/>
    <xf numFmtId="168" fontId="0" fillId="0" borderId="0" xfId="3" applyNumberFormat="1" applyFont="1"/>
    <xf numFmtId="168" fontId="32" fillId="6" borderId="0" xfId="0" applyNumberFormat="1" applyFont="1" applyFill="1" applyAlignment="1">
      <alignment horizontal="centerContinuous"/>
    </xf>
    <xf numFmtId="167" fontId="0" fillId="0" borderId="0" xfId="3" applyNumberFormat="1" applyFont="1" applyAlignment="1">
      <alignment horizontal="right"/>
    </xf>
    <xf numFmtId="168" fontId="7" fillId="0" borderId="0" xfId="0" applyNumberFormat="1" applyFont="1" applyAlignment="1">
      <alignment horizontal="left"/>
    </xf>
    <xf numFmtId="0" fontId="35" fillId="0" borderId="0" xfId="0" applyNumberFormat="1" applyFont="1" applyAlignment="1">
      <alignment horizontal="right"/>
    </xf>
    <xf numFmtId="168" fontId="35" fillId="0" borderId="0" xfId="0" applyNumberFormat="1" applyFont="1"/>
    <xf numFmtId="168" fontId="35" fillId="0" borderId="0" xfId="0" applyNumberFormat="1" applyFont="1" applyFill="1"/>
    <xf numFmtId="0" fontId="18" fillId="3" borderId="0" xfId="0" applyFont="1" applyFill="1" applyAlignment="1">
      <alignment horizontal="right" wrapText="1"/>
    </xf>
    <xf numFmtId="167" fontId="0" fillId="0" borderId="0" xfId="3" applyNumberFormat="1" applyFont="1" applyAlignment="1">
      <alignment horizontal="center"/>
    </xf>
    <xf numFmtId="0" fontId="35" fillId="0" borderId="0" xfId="0" applyFont="1" applyAlignment="1"/>
    <xf numFmtId="2" fontId="6" fillId="0" borderId="0" xfId="3" applyNumberFormat="1" applyFont="1"/>
    <xf numFmtId="0" fontId="35" fillId="0" borderId="0" xfId="0" applyNumberFormat="1" applyFont="1"/>
    <xf numFmtId="167" fontId="0" fillId="0" borderId="0" xfId="3" applyNumberFormat="1" applyFont="1" applyFill="1" applyAlignment="1"/>
    <xf numFmtId="169" fontId="1" fillId="0" borderId="0" xfId="0" applyNumberFormat="1" applyFont="1"/>
    <xf numFmtId="6" fontId="15" fillId="0" borderId="0" xfId="0" applyNumberFormat="1" applyFont="1" applyAlignment="1">
      <alignment horizontal="center"/>
    </xf>
    <xf numFmtId="0" fontId="49" fillId="0" borderId="0" xfId="0" applyFont="1"/>
    <xf numFmtId="0" fontId="19" fillId="0" borderId="0" xfId="0" applyFont="1"/>
    <xf numFmtId="0" fontId="18" fillId="3" borderId="0" xfId="0" applyFont="1" applyFill="1" applyAlignment="1">
      <alignment horizontal="right" wrapText="1"/>
    </xf>
    <xf numFmtId="0" fontId="50" fillId="0" borderId="0" xfId="0" applyFont="1" applyFill="1"/>
    <xf numFmtId="166" fontId="0" fillId="0" borderId="0" xfId="3" applyNumberFormat="1" applyFont="1" applyAlignment="1">
      <alignment horizontal="right"/>
    </xf>
    <xf numFmtId="166" fontId="0" fillId="0" borderId="0" xfId="3" applyNumberFormat="1" applyFont="1" applyAlignment="1">
      <alignment horizontal="center"/>
    </xf>
    <xf numFmtId="1" fontId="0" fillId="0" borderId="0" xfId="3" applyNumberFormat="1" applyFont="1" applyAlignment="1">
      <alignment horizontal="right"/>
    </xf>
    <xf numFmtId="9" fontId="0" fillId="0" borderId="0" xfId="3" applyNumberFormat="1" applyFont="1" applyAlignment="1">
      <alignment horizontal="right"/>
    </xf>
    <xf numFmtId="166" fontId="0" fillId="0" borderId="0" xfId="0" applyNumberFormat="1" applyFont="1" applyFill="1" applyAlignment="1">
      <alignment horizontal="right"/>
    </xf>
    <xf numFmtId="166" fontId="1" fillId="0" borderId="0" xfId="0" applyNumberFormat="1" applyFont="1" applyFill="1" applyAlignment="1">
      <alignment horizontal="right"/>
    </xf>
    <xf numFmtId="0" fontId="25" fillId="15" borderId="0" xfId="5" applyFont="1" applyFill="1"/>
    <xf numFmtId="0" fontId="28" fillId="16" borderId="0" xfId="6" applyFont="1" applyFill="1" applyBorder="1" applyAlignment="1">
      <alignment horizontal="centerContinuous" vertical="center" wrapText="1"/>
    </xf>
    <xf numFmtId="170" fontId="0" fillId="0" borderId="0" xfId="0" applyNumberFormat="1" applyFont="1" applyFill="1" applyAlignment="1">
      <alignment horizontal="right"/>
    </xf>
    <xf numFmtId="0" fontId="51" fillId="15" borderId="0" xfId="5" applyFont="1" applyFill="1"/>
    <xf numFmtId="0" fontId="42" fillId="16" borderId="0" xfId="6" applyFont="1" applyFill="1" applyBorder="1" applyAlignment="1">
      <alignment horizontal="centerContinuous" vertical="center" wrapText="1"/>
    </xf>
    <xf numFmtId="168" fontId="38" fillId="3" borderId="0" xfId="0" applyNumberFormat="1" applyFont="1" applyFill="1" applyAlignment="1">
      <alignment horizontal="centerContinuous"/>
    </xf>
    <xf numFmtId="0" fontId="38" fillId="3" borderId="0" xfId="0" applyFont="1" applyFill="1" applyAlignment="1">
      <alignment horizontal="left" wrapText="1"/>
    </xf>
    <xf numFmtId="169" fontId="15" fillId="0" borderId="0" xfId="0" applyNumberFormat="1" applyFont="1" applyFill="1" applyAlignment="1">
      <alignment horizontal="left"/>
    </xf>
    <xf numFmtId="0" fontId="15" fillId="0" borderId="0" xfId="0" applyFont="1" applyFill="1" applyAlignment="1">
      <alignment horizontal="center"/>
    </xf>
    <xf numFmtId="0" fontId="15" fillId="3" borderId="0" xfId="0" applyFont="1" applyFill="1" applyAlignment="1">
      <alignment horizontal="center"/>
    </xf>
    <xf numFmtId="0" fontId="38" fillId="0" borderId="0" xfId="0" applyFont="1" applyFill="1" applyAlignment="1">
      <alignment horizontal="center"/>
    </xf>
    <xf numFmtId="168" fontId="15" fillId="0" borderId="0" xfId="0" applyNumberFormat="1" applyFont="1" applyFill="1" applyAlignment="1">
      <alignment horizontal="left"/>
    </xf>
    <xf numFmtId="169" fontId="15" fillId="0" borderId="0" xfId="0" applyNumberFormat="1" applyFont="1" applyAlignment="1">
      <alignment horizontal="left"/>
    </xf>
    <xf numFmtId="0" fontId="15" fillId="3" borderId="0" xfId="0" applyFont="1" applyFill="1"/>
    <xf numFmtId="168" fontId="15" fillId="0" borderId="0" xfId="0" applyNumberFormat="1" applyFont="1" applyFill="1" applyAlignment="1">
      <alignment horizontal="center"/>
    </xf>
    <xf numFmtId="0" fontId="15" fillId="0" borderId="0" xfId="0" applyFont="1" applyFill="1"/>
    <xf numFmtId="1" fontId="0" fillId="0" borderId="0" xfId="3" applyNumberFormat="1" applyFont="1" applyAlignment="1">
      <alignment horizontal="center"/>
    </xf>
    <xf numFmtId="168" fontId="11" fillId="0" borderId="0" xfId="0" applyNumberFormat="1" applyFont="1" applyAlignment="1">
      <alignment horizontal="center"/>
    </xf>
    <xf numFmtId="0" fontId="18" fillId="3" borderId="0" xfId="0" applyFont="1" applyFill="1" applyAlignment="1">
      <alignment horizontal="right" wrapText="1"/>
    </xf>
    <xf numFmtId="2" fontId="11" fillId="0" borderId="0" xfId="0" applyNumberFormat="1" applyFont="1" applyAlignment="1">
      <alignment horizontal="center"/>
    </xf>
    <xf numFmtId="0" fontId="25" fillId="15" borderId="0" xfId="5" applyFont="1" applyFill="1" applyAlignment="1">
      <alignment horizontal="center"/>
    </xf>
    <xf numFmtId="0" fontId="28" fillId="16" borderId="0" xfId="6" applyFont="1" applyFill="1" applyBorder="1" applyAlignment="1">
      <alignment horizontal="center" vertical="center" wrapText="1"/>
    </xf>
    <xf numFmtId="168" fontId="18" fillId="3" borderId="0" xfId="0" applyNumberFormat="1" applyFont="1" applyFill="1" applyAlignment="1">
      <alignment horizontal="center"/>
    </xf>
    <xf numFmtId="169" fontId="0" fillId="0" borderId="12" xfId="0" applyNumberFormat="1" applyFont="1" applyFill="1" applyBorder="1" applyAlignment="1">
      <alignment horizontal="center"/>
    </xf>
    <xf numFmtId="0" fontId="0" fillId="0" borderId="12" xfId="0" applyFont="1" applyFill="1" applyBorder="1" applyAlignment="1">
      <alignment horizontal="center"/>
    </xf>
    <xf numFmtId="0" fontId="0" fillId="3" borderId="12" xfId="0" applyFont="1" applyFill="1" applyBorder="1" applyAlignment="1">
      <alignment horizontal="center"/>
    </xf>
    <xf numFmtId="0" fontId="1" fillId="0" borderId="12" xfId="0" applyFont="1" applyFill="1" applyBorder="1" applyAlignment="1">
      <alignment horizontal="center"/>
    </xf>
    <xf numFmtId="168" fontId="0" fillId="0" borderId="12" xfId="0" applyNumberFormat="1" applyFont="1" applyFill="1" applyBorder="1" applyAlignment="1">
      <alignment horizontal="center"/>
    </xf>
    <xf numFmtId="0" fontId="5" fillId="3" borderId="12" xfId="0" applyFont="1" applyFill="1" applyBorder="1" applyAlignment="1">
      <alignment horizontal="center"/>
    </xf>
    <xf numFmtId="170" fontId="0" fillId="0" borderId="12" xfId="0" applyNumberFormat="1" applyFont="1" applyFill="1" applyBorder="1" applyAlignment="1">
      <alignment horizontal="center"/>
    </xf>
    <xf numFmtId="0" fontId="5" fillId="0" borderId="13" xfId="0" applyFont="1" applyFill="1" applyBorder="1" applyAlignment="1">
      <alignment horizontal="center"/>
    </xf>
    <xf numFmtId="0" fontId="25" fillId="10" borderId="0" xfId="5" applyFont="1" applyAlignment="1">
      <alignment horizontal="center"/>
    </xf>
    <xf numFmtId="0" fontId="19" fillId="6" borderId="0" xfId="0" applyFont="1" applyFill="1" applyAlignment="1">
      <alignment horizontal="center"/>
    </xf>
    <xf numFmtId="0" fontId="5" fillId="0" borderId="0" xfId="0" applyFont="1" applyFill="1" applyBorder="1" applyAlignment="1">
      <alignment horizontal="center"/>
    </xf>
    <xf numFmtId="0" fontId="5" fillId="3" borderId="0" xfId="0" applyFont="1" applyFill="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168" fontId="52" fillId="0" borderId="0" xfId="0" applyNumberFormat="1" applyFont="1"/>
    <xf numFmtId="0" fontId="5" fillId="0" borderId="0" xfId="0" applyFont="1" applyFill="1" applyAlignment="1">
      <alignment horizontal="left"/>
    </xf>
    <xf numFmtId="168" fontId="5" fillId="0" borderId="0" xfId="0" applyNumberFormat="1" applyFont="1" applyAlignment="1">
      <alignment horizontal="left"/>
    </xf>
    <xf numFmtId="0" fontId="32" fillId="12" borderId="0" xfId="4" applyFont="1" applyFill="1" applyBorder="1" applyAlignment="1">
      <alignment horizontal="right"/>
    </xf>
    <xf numFmtId="169" fontId="6" fillId="0" borderId="12" xfId="0" applyNumberFormat="1" applyFont="1" applyFill="1" applyBorder="1"/>
    <xf numFmtId="169" fontId="6" fillId="0" borderId="13" xfId="0" applyNumberFormat="1" applyFont="1" applyFill="1" applyBorder="1"/>
    <xf numFmtId="0" fontId="18" fillId="3" borderId="0" xfId="0" applyFont="1" applyFill="1" applyAlignment="1">
      <alignment horizontal="right" wrapText="1"/>
    </xf>
    <xf numFmtId="0" fontId="0" fillId="3" borderId="0" xfId="0" applyFill="1"/>
    <xf numFmtId="0" fontId="0" fillId="3" borderId="0" xfId="0" applyFill="1" applyAlignment="1">
      <alignment horizontal="center"/>
    </xf>
    <xf numFmtId="0" fontId="0" fillId="0" borderId="0" xfId="0" applyFill="1" applyAlignment="1">
      <alignment horizontal="center"/>
    </xf>
    <xf numFmtId="0" fontId="52" fillId="0" borderId="0" xfId="0" applyFont="1"/>
    <xf numFmtId="1" fontId="15" fillId="0" borderId="0" xfId="0" applyNumberFormat="1" applyFont="1" applyFill="1" applyAlignment="1">
      <alignment horizontal="center"/>
    </xf>
    <xf numFmtId="168" fontId="15" fillId="0" borderId="0" xfId="0" applyNumberFormat="1" applyFont="1" applyAlignment="1">
      <alignment horizontal="center"/>
    </xf>
    <xf numFmtId="168" fontId="38" fillId="3" borderId="0" xfId="0" applyNumberFormat="1" applyFont="1" applyFill="1" applyAlignment="1">
      <alignment horizontal="center"/>
    </xf>
    <xf numFmtId="168" fontId="15" fillId="3" borderId="0" xfId="0" applyNumberFormat="1" applyFont="1" applyFill="1" applyAlignment="1">
      <alignment horizontal="center"/>
    </xf>
    <xf numFmtId="170" fontId="38" fillId="3" borderId="0" xfId="0" applyNumberFormat="1" applyFont="1" applyFill="1" applyAlignment="1">
      <alignment horizontal="center"/>
    </xf>
    <xf numFmtId="0" fontId="38" fillId="0" borderId="0" xfId="0" applyFont="1" applyAlignment="1"/>
    <xf numFmtId="0" fontId="38" fillId="0" borderId="0" xfId="0" applyFont="1" applyFill="1" applyAlignment="1">
      <alignment horizontal="left"/>
    </xf>
    <xf numFmtId="0" fontId="38" fillId="0" borderId="0" xfId="0" applyFont="1" applyFill="1" applyAlignment="1">
      <alignment horizontal="left" vertical="center"/>
    </xf>
    <xf numFmtId="168" fontId="38" fillId="0" borderId="0" xfId="0" applyNumberFormat="1" applyFont="1" applyFill="1" applyAlignment="1">
      <alignment horizontal="left"/>
    </xf>
    <xf numFmtId="168" fontId="38" fillId="0" borderId="0" xfId="0" applyNumberFormat="1" applyFont="1" applyFill="1" applyAlignment="1">
      <alignment horizontal="left" vertical="center"/>
    </xf>
    <xf numFmtId="0" fontId="38" fillId="0" borderId="0" xfId="0" applyFont="1" applyAlignment="1">
      <alignment horizontal="center" vertical="center"/>
    </xf>
    <xf numFmtId="0" fontId="1" fillId="0" borderId="0" xfId="0" applyFont="1" applyAlignment="1"/>
    <xf numFmtId="1" fontId="15" fillId="0" borderId="0" xfId="0" applyNumberFormat="1" applyFont="1" applyAlignment="1">
      <alignment horizontal="center"/>
    </xf>
    <xf numFmtId="0" fontId="21" fillId="10" borderId="0" xfId="5"/>
    <xf numFmtId="0" fontId="5" fillId="6" borderId="0" xfId="0" applyFont="1" applyFill="1"/>
    <xf numFmtId="172" fontId="0" fillId="0" borderId="0" xfId="0" applyNumberFormat="1" applyFont="1" applyFill="1"/>
    <xf numFmtId="0" fontId="15" fillId="0" borderId="0" xfId="0" applyFont="1" applyFill="1" applyAlignment="1">
      <alignment horizontal="left"/>
    </xf>
    <xf numFmtId="168" fontId="0" fillId="0" borderId="12" xfId="0" applyNumberFormat="1" applyFont="1" applyBorder="1"/>
    <xf numFmtId="168" fontId="0" fillId="0" borderId="13" xfId="0" applyNumberFormat="1" applyFont="1" applyBorder="1"/>
    <xf numFmtId="0" fontId="52" fillId="0" borderId="0" xfId="0" applyFont="1" applyAlignment="1"/>
    <xf numFmtId="10" fontId="15" fillId="0" borderId="3" xfId="3" applyNumberFormat="1" applyFont="1" applyFill="1" applyBorder="1" applyAlignment="1">
      <alignment horizontal="center"/>
    </xf>
    <xf numFmtId="10" fontId="15" fillId="0" borderId="0" xfId="3" applyNumberFormat="1" applyFont="1" applyFill="1" applyAlignment="1">
      <alignment horizontal="center"/>
    </xf>
    <xf numFmtId="10" fontId="5" fillId="0" borderId="0" xfId="3" applyNumberFormat="1" applyFont="1" applyFill="1" applyBorder="1" applyAlignment="1">
      <alignment horizontal="center"/>
    </xf>
    <xf numFmtId="9" fontId="15" fillId="0" borderId="3" xfId="3" applyNumberFormat="1" applyFont="1" applyFill="1" applyBorder="1" applyAlignment="1">
      <alignment horizontal="center"/>
    </xf>
    <xf numFmtId="9" fontId="15" fillId="0" borderId="0" xfId="3" applyNumberFormat="1" applyFont="1" applyFill="1" applyAlignment="1">
      <alignment horizontal="center"/>
    </xf>
    <xf numFmtId="10" fontId="6" fillId="0" borderId="0" xfId="0" applyNumberFormat="1" applyFont="1" applyFill="1" applyBorder="1" applyAlignment="1">
      <alignment horizontal="center"/>
    </xf>
    <xf numFmtId="169" fontId="6" fillId="0" borderId="0" xfId="0" applyNumberFormat="1" applyFont="1" applyFill="1" applyBorder="1" applyAlignment="1">
      <alignment horizontal="center"/>
    </xf>
    <xf numFmtId="0" fontId="55" fillId="0" borderId="0" xfId="0" applyFont="1" applyAlignment="1">
      <alignment vertical="center"/>
    </xf>
    <xf numFmtId="0" fontId="55" fillId="0" borderId="0" xfId="0" applyFont="1"/>
    <xf numFmtId="0" fontId="56" fillId="0" borderId="0" xfId="0" applyFont="1"/>
    <xf numFmtId="0" fontId="55" fillId="0" borderId="0" xfId="0" quotePrefix="1" applyFont="1" applyAlignment="1">
      <alignment vertical="center"/>
    </xf>
    <xf numFmtId="0" fontId="57" fillId="0" borderId="0" xfId="0" applyFont="1" applyAlignment="1"/>
    <xf numFmtId="0" fontId="15" fillId="0" borderId="3" xfId="3" applyNumberFormat="1" applyFont="1" applyFill="1" applyBorder="1" applyAlignment="1">
      <alignment horizontal="center"/>
    </xf>
    <xf numFmtId="0" fontId="15" fillId="0" borderId="0" xfId="3" applyNumberFormat="1" applyFont="1" applyFill="1" applyAlignment="1">
      <alignment horizontal="center"/>
    </xf>
    <xf numFmtId="0" fontId="52" fillId="0" borderId="0" xfId="3" applyNumberFormat="1" applyFont="1" applyFill="1" applyBorder="1" applyAlignment="1">
      <alignment horizontal="center"/>
    </xf>
    <xf numFmtId="0" fontId="58" fillId="0" borderId="0" xfId="0" applyFont="1"/>
    <xf numFmtId="168" fontId="6" fillId="0" borderId="0" xfId="0" applyNumberFormat="1" applyFont="1" applyFill="1" applyBorder="1" applyAlignment="1">
      <alignment horizontal="center"/>
    </xf>
    <xf numFmtId="169" fontId="6" fillId="0" borderId="0" xfId="3" applyNumberFormat="1" applyFont="1" applyFill="1" applyBorder="1" applyAlignment="1">
      <alignment horizontal="center"/>
    </xf>
    <xf numFmtId="2" fontId="5" fillId="0" borderId="0" xfId="3" applyNumberFormat="1" applyFont="1" applyFill="1" applyBorder="1" applyAlignment="1">
      <alignment horizontal="center"/>
    </xf>
    <xf numFmtId="168" fontId="6" fillId="0" borderId="0" xfId="3" applyNumberFormat="1" applyFont="1" applyFill="1" applyBorder="1" applyAlignment="1">
      <alignment horizontal="center"/>
    </xf>
    <xf numFmtId="9" fontId="5" fillId="0" borderId="0" xfId="3" applyNumberFormat="1" applyFont="1" applyFill="1" applyBorder="1" applyAlignment="1">
      <alignment horizontal="center"/>
    </xf>
    <xf numFmtId="0" fontId="5" fillId="0" borderId="0" xfId="3" applyNumberFormat="1" applyFont="1" applyFill="1" applyBorder="1" applyAlignment="1">
      <alignment horizontal="center"/>
    </xf>
    <xf numFmtId="1" fontId="5" fillId="0" borderId="0" xfId="3" applyNumberFormat="1" applyFont="1" applyFill="1" applyBorder="1" applyAlignment="1">
      <alignment horizontal="center"/>
    </xf>
    <xf numFmtId="166" fontId="10" fillId="0" borderId="0" xfId="0" applyNumberFormat="1" applyFont="1" applyFill="1" applyBorder="1"/>
    <xf numFmtId="166" fontId="1" fillId="0" borderId="0" xfId="0" applyNumberFormat="1" applyFont="1" applyFill="1" applyBorder="1"/>
    <xf numFmtId="169" fontId="10" fillId="0" borderId="0" xfId="0" applyNumberFormat="1" applyFont="1" applyFill="1" applyBorder="1" applyAlignment="1">
      <alignment horizontal="center"/>
    </xf>
    <xf numFmtId="0" fontId="6" fillId="0" borderId="0" xfId="0" applyFont="1" applyFill="1" applyBorder="1"/>
    <xf numFmtId="168" fontId="6" fillId="0" borderId="0" xfId="0" applyNumberFormat="1" applyFont="1" applyFill="1" applyBorder="1"/>
    <xf numFmtId="0" fontId="6" fillId="0" borderId="0" xfId="0" applyFont="1" applyFill="1" applyBorder="1" applyAlignment="1">
      <alignment horizontal="right"/>
    </xf>
    <xf numFmtId="167" fontId="6" fillId="0" borderId="0" xfId="3" applyNumberFormat="1" applyFont="1" applyFill="1" applyBorder="1"/>
    <xf numFmtId="9" fontId="6" fillId="0" borderId="0" xfId="3" applyFont="1" applyFill="1" applyBorder="1" applyAlignment="1">
      <alignment horizontal="right"/>
    </xf>
    <xf numFmtId="9" fontId="5" fillId="0" borderId="0" xfId="3" applyFont="1" applyFill="1" applyBorder="1" applyAlignment="1">
      <alignment horizontal="center"/>
    </xf>
    <xf numFmtId="168" fontId="5" fillId="0" borderId="0" xfId="3" applyNumberFormat="1" applyFont="1" applyFill="1" applyBorder="1" applyAlignment="1">
      <alignment horizontal="center"/>
    </xf>
    <xf numFmtId="167" fontId="5" fillId="0" borderId="0" xfId="3" applyNumberFormat="1" applyFont="1" applyFill="1" applyBorder="1" applyAlignment="1">
      <alignment horizontal="center"/>
    </xf>
    <xf numFmtId="0" fontId="6" fillId="0" borderId="0" xfId="0" applyFont="1" applyFill="1" applyBorder="1" applyAlignment="1">
      <alignment horizontal="center"/>
    </xf>
    <xf numFmtId="167" fontId="6" fillId="0" borderId="0" xfId="3" applyNumberFormat="1" applyFont="1" applyFill="1" applyBorder="1" applyAlignment="1">
      <alignment horizontal="center"/>
    </xf>
    <xf numFmtId="9" fontId="6" fillId="0" borderId="0" xfId="3" applyFont="1" applyFill="1" applyBorder="1" applyAlignment="1">
      <alignment horizontal="center"/>
    </xf>
    <xf numFmtId="2" fontId="6" fillId="0" borderId="0" xfId="0" applyNumberFormat="1" applyFont="1" applyFill="1" applyBorder="1" applyAlignment="1">
      <alignment horizontal="center"/>
    </xf>
    <xf numFmtId="168" fontId="5" fillId="0" borderId="0" xfId="0" applyNumberFormat="1" applyFont="1" applyFill="1" applyBorder="1"/>
    <xf numFmtId="0" fontId="5" fillId="0" borderId="0" xfId="0" applyFont="1" applyFill="1" applyBorder="1" applyAlignment="1">
      <alignment horizontal="right"/>
    </xf>
    <xf numFmtId="167" fontId="5" fillId="0" borderId="0" xfId="3" applyNumberFormat="1" applyFont="1" applyFill="1" applyBorder="1"/>
    <xf numFmtId="9" fontId="5" fillId="0" borderId="0" xfId="3" applyFont="1" applyFill="1" applyBorder="1" applyAlignment="1">
      <alignment horizontal="right"/>
    </xf>
    <xf numFmtId="10" fontId="5" fillId="0" borderId="0" xfId="0" applyNumberFormat="1" applyFont="1" applyFill="1" applyBorder="1"/>
    <xf numFmtId="2" fontId="6" fillId="0" borderId="0" xfId="0" applyNumberFormat="1" applyFont="1" applyFill="1" applyBorder="1"/>
    <xf numFmtId="166" fontId="6" fillId="0" borderId="0" xfId="0" applyNumberFormat="1" applyFont="1" applyFill="1" applyBorder="1" applyAlignment="1">
      <alignment horizontal="center"/>
    </xf>
    <xf numFmtId="0" fontId="34" fillId="0" borderId="0" xfId="0" applyFont="1" applyFill="1" applyBorder="1"/>
    <xf numFmtId="0" fontId="18" fillId="0" borderId="0" xfId="0" applyFont="1" applyFill="1" applyBorder="1" applyAlignment="1">
      <alignment horizontal="centerContinuous"/>
    </xf>
    <xf numFmtId="168" fontId="1" fillId="0" borderId="0" xfId="0" applyNumberFormat="1" applyFont="1" applyFill="1" applyBorder="1"/>
    <xf numFmtId="1" fontId="11" fillId="0" borderId="0" xfId="0" applyNumberFormat="1" applyFont="1" applyFill="1" applyBorder="1"/>
    <xf numFmtId="10" fontId="15" fillId="0" borderId="3" xfId="3" applyNumberFormat="1" applyFont="1" applyBorder="1" applyAlignment="1">
      <alignment horizontal="center"/>
    </xf>
    <xf numFmtId="10" fontId="15" fillId="0" borderId="0" xfId="3" applyNumberFormat="1" applyFont="1" applyFill="1" applyBorder="1" applyAlignment="1">
      <alignment horizontal="center"/>
    </xf>
    <xf numFmtId="10" fontId="15" fillId="0" borderId="0" xfId="0" applyNumberFormat="1" applyFont="1" applyFill="1" applyAlignment="1">
      <alignment horizontal="center"/>
    </xf>
    <xf numFmtId="10" fontId="0" fillId="8" borderId="3" xfId="3" applyNumberFormat="1" applyFont="1" applyFill="1" applyBorder="1" applyAlignment="1">
      <alignment horizontal="center"/>
    </xf>
    <xf numFmtId="10" fontId="0" fillId="8" borderId="0" xfId="3" applyNumberFormat="1" applyFont="1" applyFill="1" applyAlignment="1">
      <alignment horizontal="center"/>
    </xf>
    <xf numFmtId="168" fontId="59" fillId="8" borderId="0" xfId="0" applyNumberFormat="1" applyFont="1" applyFill="1" applyBorder="1" applyAlignment="1">
      <alignment horizontal="center"/>
    </xf>
    <xf numFmtId="168" fontId="59" fillId="8" borderId="7" xfId="0" applyNumberFormat="1" applyFont="1" applyFill="1" applyBorder="1" applyAlignment="1">
      <alignment horizontal="center"/>
    </xf>
    <xf numFmtId="168" fontId="59" fillId="8" borderId="8" xfId="0" applyNumberFormat="1" applyFont="1" applyFill="1" applyBorder="1" applyAlignment="1">
      <alignment horizontal="center"/>
    </xf>
    <xf numFmtId="10" fontId="5" fillId="8" borderId="0" xfId="3" applyNumberFormat="1" applyFont="1" applyFill="1" applyBorder="1" applyAlignment="1">
      <alignment horizontal="center"/>
    </xf>
    <xf numFmtId="167" fontId="5" fillId="8" borderId="0" xfId="0" applyNumberFormat="1" applyFont="1" applyFill="1" applyBorder="1" applyAlignment="1">
      <alignment horizontal="center"/>
    </xf>
    <xf numFmtId="10" fontId="15" fillId="0" borderId="0" xfId="3" applyNumberFormat="1" applyFont="1" applyAlignment="1">
      <alignment horizontal="center"/>
    </xf>
    <xf numFmtId="0" fontId="60" fillId="0" borderId="0" xfId="0" applyFont="1"/>
    <xf numFmtId="0" fontId="55" fillId="0" borderId="0" xfId="0" applyFont="1" applyAlignment="1"/>
    <xf numFmtId="0" fontId="18" fillId="3" borderId="0" xfId="0" applyFont="1" applyFill="1" applyAlignment="1">
      <alignment horizontal="right" wrapText="1"/>
    </xf>
    <xf numFmtId="172" fontId="1" fillId="3" borderId="0" xfId="0" applyNumberFormat="1" applyFont="1" applyFill="1" applyAlignment="1">
      <alignment horizontal="center"/>
    </xf>
    <xf numFmtId="168" fontId="1" fillId="3" borderId="0" xfId="0" applyNumberFormat="1" applyFont="1" applyFill="1" applyAlignment="1">
      <alignment horizontal="center"/>
    </xf>
    <xf numFmtId="2" fontId="1" fillId="3" borderId="0" xfId="0" applyNumberFormat="1" applyFont="1" applyFill="1" applyAlignment="1">
      <alignment horizontal="center"/>
    </xf>
    <xf numFmtId="170" fontId="1" fillId="3" borderId="0" xfId="0" applyNumberFormat="1" applyFont="1" applyFill="1" applyAlignment="1">
      <alignment horizontal="center"/>
    </xf>
    <xf numFmtId="0" fontId="1" fillId="3" borderId="0" xfId="0" applyFont="1" applyFill="1" applyAlignment="1">
      <alignment horizontal="center"/>
    </xf>
    <xf numFmtId="0" fontId="63" fillId="0" borderId="0" xfId="0" applyFont="1" applyFill="1" applyAlignment="1">
      <alignment horizontal="center" vertical="center"/>
    </xf>
    <xf numFmtId="0" fontId="50" fillId="0" borderId="0" xfId="0" applyFont="1" applyFill="1" applyAlignment="1"/>
    <xf numFmtId="0" fontId="0" fillId="0" borderId="0" xfId="0" applyFont="1" applyFill="1" applyAlignment="1"/>
    <xf numFmtId="0" fontId="62" fillId="0" borderId="0" xfId="6" applyFont="1" applyFill="1" applyBorder="1" applyAlignment="1">
      <alignment horizontal="center" vertical="center"/>
    </xf>
    <xf numFmtId="0" fontId="5" fillId="17" borderId="7" xfId="0" applyFont="1" applyFill="1" applyBorder="1" applyAlignment="1"/>
    <xf numFmtId="0" fontId="15" fillId="17" borderId="7" xfId="6" applyFont="1" applyFill="1" applyBorder="1" applyAlignment="1">
      <alignment horizontal="left"/>
    </xf>
    <xf numFmtId="0" fontId="61" fillId="18" borderId="5" xfId="0" applyFont="1" applyFill="1" applyBorder="1" applyAlignment="1"/>
    <xf numFmtId="172" fontId="0" fillId="0" borderId="0" xfId="0" applyNumberFormat="1" applyFont="1" applyFill="1" applyAlignment="1">
      <alignment horizontal="center"/>
    </xf>
    <xf numFmtId="168" fontId="0" fillId="0" borderId="0" xfId="0" applyNumberFormat="1" applyFont="1" applyFill="1" applyAlignment="1">
      <alignment horizontal="center"/>
    </xf>
    <xf numFmtId="172" fontId="0" fillId="0" borderId="0" xfId="0" applyNumberFormat="1" applyFont="1" applyAlignment="1">
      <alignment horizontal="center"/>
    </xf>
    <xf numFmtId="0" fontId="0" fillId="17" borderId="7" xfId="0" applyFont="1" applyFill="1" applyBorder="1" applyAlignment="1"/>
    <xf numFmtId="0" fontId="64" fillId="0" borderId="0" xfId="6" applyFont="1" applyFill="1" applyBorder="1" applyAlignment="1">
      <alignment horizontal="center" vertical="center"/>
    </xf>
    <xf numFmtId="0" fontId="5" fillId="17" borderId="9" xfId="0" applyFont="1" applyFill="1" applyBorder="1" applyAlignment="1"/>
    <xf numFmtId="0" fontId="0" fillId="8" borderId="5" xfId="0" applyFont="1" applyFill="1" applyBorder="1" applyAlignment="1"/>
    <xf numFmtId="0" fontId="62" fillId="8" borderId="11" xfId="6" applyFont="1" applyFill="1" applyBorder="1" applyAlignment="1">
      <alignment horizontal="center" vertical="center"/>
    </xf>
    <xf numFmtId="0" fontId="38" fillId="8" borderId="9" xfId="0" applyFont="1" applyFill="1" applyBorder="1" applyAlignment="1">
      <alignment horizontal="center" vertical="center"/>
    </xf>
    <xf numFmtId="0" fontId="38" fillId="8" borderId="13" xfId="6" applyFont="1" applyFill="1" applyBorder="1" applyAlignment="1">
      <alignment horizontal="center" vertical="center"/>
    </xf>
    <xf numFmtId="1" fontId="15" fillId="4" borderId="0" xfId="0" applyNumberFormat="1" applyFont="1" applyFill="1" applyAlignment="1">
      <alignment horizontal="right"/>
    </xf>
    <xf numFmtId="9" fontId="6" fillId="3" borderId="0" xfId="0" applyNumberFormat="1" applyFont="1" applyFill="1" applyAlignment="1">
      <alignment horizontal="center"/>
    </xf>
    <xf numFmtId="167" fontId="5" fillId="0" borderId="0" xfId="0" applyNumberFormat="1" applyFont="1" applyFill="1" applyAlignment="1">
      <alignment horizontal="center"/>
    </xf>
    <xf numFmtId="9" fontId="5" fillId="0" borderId="0" xfId="0" applyNumberFormat="1" applyFont="1" applyFill="1" applyAlignment="1">
      <alignment horizontal="center"/>
    </xf>
    <xf numFmtId="9" fontId="6" fillId="0" borderId="0" xfId="0" applyNumberFormat="1" applyFont="1" applyFill="1" applyAlignment="1">
      <alignment horizontal="center"/>
    </xf>
    <xf numFmtId="168" fontId="65" fillId="0" borderId="0" xfId="0" applyNumberFormat="1" applyFont="1" applyFill="1" applyBorder="1" applyAlignment="1">
      <alignment horizontal="center"/>
    </xf>
    <xf numFmtId="167" fontId="65" fillId="0" borderId="0" xfId="3" applyNumberFormat="1" applyFont="1" applyFill="1" applyBorder="1" applyAlignment="1">
      <alignment horizontal="center"/>
    </xf>
    <xf numFmtId="168" fontId="5" fillId="8" borderId="0" xfId="0" applyNumberFormat="1" applyFont="1" applyFill="1" applyBorder="1" applyAlignment="1">
      <alignment horizontal="center"/>
    </xf>
    <xf numFmtId="0" fontId="15" fillId="0" borderId="0" xfId="3" applyNumberFormat="1" applyFont="1" applyFill="1" applyBorder="1" applyAlignment="1">
      <alignment horizontal="center"/>
    </xf>
    <xf numFmtId="9" fontId="6" fillId="0" borderId="0" xfId="0" applyNumberFormat="1" applyFont="1" applyAlignment="1">
      <alignment horizontal="center"/>
    </xf>
    <xf numFmtId="168" fontId="6" fillId="0" borderId="0" xfId="0" applyNumberFormat="1" applyFont="1" applyAlignment="1">
      <alignment horizontal="center"/>
    </xf>
    <xf numFmtId="167" fontId="6" fillId="0" borderId="0" xfId="0" applyNumberFormat="1" applyFont="1" applyAlignment="1">
      <alignment horizontal="center"/>
    </xf>
    <xf numFmtId="0" fontId="6" fillId="0" borderId="0" xfId="0" applyFont="1" applyAlignment="1">
      <alignment horizontal="center"/>
    </xf>
    <xf numFmtId="9" fontId="15" fillId="0" borderId="0" xfId="3" applyFont="1" applyFill="1" applyBorder="1" applyAlignment="1">
      <alignment horizontal="center"/>
    </xf>
    <xf numFmtId="0" fontId="47" fillId="3" borderId="0" xfId="0" applyFont="1" applyFill="1" applyAlignment="1">
      <alignment horizontal="center"/>
    </xf>
    <xf numFmtId="0" fontId="6" fillId="3" borderId="0" xfId="0" applyFont="1" applyFill="1" applyAlignment="1">
      <alignment vertical="distributed" wrapText="1"/>
    </xf>
    <xf numFmtId="49" fontId="47" fillId="3" borderId="0" xfId="0" quotePrefix="1" applyNumberFormat="1" applyFont="1" applyFill="1" applyAlignment="1">
      <alignment horizontal="center" vertical="distributed" wrapText="1"/>
    </xf>
    <xf numFmtId="0" fontId="47" fillId="3" borderId="0" xfId="0" applyFont="1" applyFill="1" applyAlignment="1">
      <alignment horizontal="centerContinuous" wrapText="1"/>
    </xf>
    <xf numFmtId="0" fontId="47" fillId="3" borderId="0" xfId="0" applyFont="1" applyFill="1" applyBorder="1" applyAlignment="1">
      <alignment horizontal="centerContinuous" wrapText="1"/>
    </xf>
    <xf numFmtId="0" fontId="0" fillId="12" borderId="0" xfId="0" applyFont="1" applyFill="1"/>
    <xf numFmtId="0" fontId="26" fillId="12" borderId="0" xfId="0" applyFont="1" applyFill="1" applyAlignment="1">
      <alignment horizontal="left"/>
    </xf>
    <xf numFmtId="0" fontId="5" fillId="3" borderId="0" xfId="0" applyFont="1" applyFill="1" applyBorder="1"/>
    <xf numFmtId="0" fontId="5" fillId="0" borderId="0" xfId="0" applyFont="1" applyBorder="1"/>
    <xf numFmtId="1" fontId="15" fillId="0" borderId="3" xfId="3" applyNumberFormat="1" applyFont="1" applyFill="1" applyBorder="1" applyAlignment="1">
      <alignment horizontal="center"/>
    </xf>
    <xf numFmtId="1" fontId="15" fillId="0" borderId="0" xfId="3" applyNumberFormat="1" applyFont="1" applyFill="1" applyAlignment="1">
      <alignment horizontal="center"/>
    </xf>
    <xf numFmtId="9" fontId="52" fillId="0" borderId="0" xfId="3" applyFont="1" applyBorder="1"/>
    <xf numFmtId="0" fontId="52" fillId="0" borderId="0" xfId="0" applyFont="1" applyFill="1"/>
    <xf numFmtId="0" fontId="18" fillId="3" borderId="0" xfId="0" applyFont="1" applyFill="1" applyAlignment="1">
      <alignment horizontal="center" vertical="top" wrapText="1"/>
    </xf>
    <xf numFmtId="0" fontId="18" fillId="3" borderId="11" xfId="0" applyFont="1" applyFill="1" applyBorder="1" applyAlignment="1">
      <alignment horizontal="left" vertical="top" wrapText="1"/>
    </xf>
    <xf numFmtId="0" fontId="18" fillId="3" borderId="11" xfId="0" applyFont="1" applyFill="1" applyBorder="1" applyAlignment="1">
      <alignment horizontal="center" vertical="top" wrapText="1"/>
    </xf>
    <xf numFmtId="0" fontId="18" fillId="3" borderId="0" xfId="0" applyFont="1" applyFill="1" applyBorder="1" applyAlignment="1">
      <alignment horizontal="center" vertical="top" wrapText="1"/>
    </xf>
    <xf numFmtId="0" fontId="18" fillId="3" borderId="0" xfId="0" applyFont="1" applyFill="1" applyAlignment="1">
      <alignment horizontal="left" vertical="top" wrapText="1"/>
    </xf>
    <xf numFmtId="0" fontId="66" fillId="3" borderId="0" xfId="4" applyFont="1" applyFill="1" applyBorder="1"/>
    <xf numFmtId="1" fontId="6" fillId="0" borderId="12" xfId="0" applyNumberFormat="1" applyFont="1" applyFill="1" applyBorder="1"/>
    <xf numFmtId="1" fontId="6" fillId="0" borderId="13" xfId="0" applyNumberFormat="1" applyFont="1" applyFill="1" applyBorder="1"/>
    <xf numFmtId="0" fontId="5" fillId="3" borderId="13" xfId="0" applyFont="1" applyFill="1" applyBorder="1"/>
    <xf numFmtId="0" fontId="5" fillId="0" borderId="7" xfId="0" applyFont="1" applyFill="1" applyBorder="1"/>
    <xf numFmtId="0" fontId="5" fillId="0" borderId="8" xfId="0" applyFont="1" applyFill="1" applyBorder="1"/>
    <xf numFmtId="1" fontId="0" fillId="0" borderId="8" xfId="0" applyNumberFormat="1" applyFont="1" applyFill="1" applyBorder="1"/>
    <xf numFmtId="1" fontId="0" fillId="0" borderId="10" xfId="0" applyNumberFormat="1" applyFont="1" applyFill="1" applyBorder="1"/>
    <xf numFmtId="0" fontId="18" fillId="3" borderId="5" xfId="0" applyFont="1" applyFill="1" applyBorder="1" applyAlignment="1">
      <alignment horizontal="center" vertical="top" wrapText="1"/>
    </xf>
    <xf numFmtId="169" fontId="6" fillId="0" borderId="7" xfId="0" applyNumberFormat="1" applyFont="1" applyFill="1" applyBorder="1"/>
    <xf numFmtId="169" fontId="6" fillId="0" borderId="9" xfId="0" applyNumberFormat="1" applyFont="1" applyFill="1" applyBorder="1"/>
    <xf numFmtId="0" fontId="18" fillId="3" borderId="6" xfId="0" applyFont="1" applyFill="1" applyBorder="1" applyAlignment="1">
      <alignment wrapText="1"/>
    </xf>
    <xf numFmtId="169" fontId="0" fillId="0" borderId="9" xfId="0" applyNumberFormat="1" applyFont="1" applyFill="1" applyBorder="1" applyAlignment="1">
      <alignment horizontal="center"/>
    </xf>
    <xf numFmtId="169" fontId="0" fillId="0" borderId="24" xfId="0" applyNumberFormat="1" applyFont="1" applyFill="1" applyBorder="1" applyAlignment="1">
      <alignment horizontal="center"/>
    </xf>
    <xf numFmtId="169" fontId="0" fillId="0" borderId="10" xfId="0" applyNumberFormat="1" applyFont="1" applyFill="1" applyBorder="1" applyAlignment="1">
      <alignment horizontal="center"/>
    </xf>
    <xf numFmtId="9" fontId="15" fillId="0" borderId="0" xfId="3" applyNumberFormat="1" applyFont="1" applyFill="1" applyBorder="1" applyAlignment="1">
      <alignment horizontal="center"/>
    </xf>
    <xf numFmtId="0" fontId="6" fillId="0" borderId="0" xfId="0" applyFont="1" applyBorder="1"/>
    <xf numFmtId="0" fontId="38" fillId="3" borderId="0" xfId="0" applyFont="1" applyFill="1" applyAlignment="1">
      <alignment horizontal="right" wrapText="1"/>
    </xf>
    <xf numFmtId="0" fontId="11" fillId="0" borderId="0" xfId="0" applyNumberFormat="1" applyFont="1" applyFill="1" applyBorder="1"/>
    <xf numFmtId="0" fontId="38" fillId="3" borderId="0" xfId="0" applyFont="1" applyFill="1" applyAlignment="1">
      <alignment horizontal="center" vertical="top" wrapText="1"/>
    </xf>
    <xf numFmtId="169" fontId="1" fillId="3" borderId="0" xfId="0" applyNumberFormat="1" applyFont="1" applyFill="1"/>
    <xf numFmtId="0" fontId="18" fillId="3" borderId="0" xfId="0" applyFont="1" applyFill="1" applyAlignment="1">
      <alignment horizontal="right" wrapText="1"/>
    </xf>
    <xf numFmtId="0" fontId="38" fillId="3" borderId="0" xfId="0" applyFont="1" applyFill="1" applyAlignment="1">
      <alignment horizontal="right" wrapText="1"/>
    </xf>
    <xf numFmtId="0" fontId="18" fillId="3" borderId="0" xfId="0" applyFont="1" applyFill="1" applyAlignment="1">
      <alignment horizontal="right" wrapText="1"/>
    </xf>
    <xf numFmtId="0" fontId="18" fillId="3" borderId="0" xfId="0" applyFont="1" applyFill="1" applyAlignment="1">
      <alignment horizontal="right" wrapText="1"/>
    </xf>
    <xf numFmtId="0" fontId="38" fillId="3" borderId="0" xfId="0" applyFont="1" applyFill="1" applyAlignment="1">
      <alignment horizontal="right" vertical="top" wrapText="1"/>
    </xf>
    <xf numFmtId="167" fontId="1" fillId="3" borderId="0" xfId="3" applyNumberFormat="1" applyFont="1" applyFill="1" applyAlignment="1">
      <alignment horizontal="right"/>
    </xf>
    <xf numFmtId="166" fontId="1" fillId="3" borderId="0" xfId="0" applyNumberFormat="1" applyFont="1" applyFill="1" applyAlignment="1">
      <alignment horizontal="right"/>
    </xf>
    <xf numFmtId="168" fontId="1" fillId="3" borderId="0" xfId="0" applyNumberFormat="1" applyFont="1" applyFill="1" applyAlignment="1">
      <alignment horizontal="left"/>
    </xf>
    <xf numFmtId="0" fontId="1" fillId="3" borderId="0" xfId="0" applyFont="1" applyFill="1" applyAlignment="1">
      <alignment horizontal="left"/>
    </xf>
    <xf numFmtId="168" fontId="1" fillId="3" borderId="0" xfId="0" applyNumberFormat="1" applyFont="1" applyFill="1" applyBorder="1" applyAlignment="1">
      <alignment horizontal="right"/>
    </xf>
    <xf numFmtId="169" fontId="0" fillId="0" borderId="0" xfId="3" applyNumberFormat="1" applyFont="1"/>
    <xf numFmtId="170" fontId="0" fillId="0" borderId="13" xfId="0" applyNumberFormat="1" applyFont="1" applyBorder="1"/>
    <xf numFmtId="168" fontId="0" fillId="0" borderId="11" xfId="0" applyNumberFormat="1" applyFont="1" applyBorder="1"/>
    <xf numFmtId="44" fontId="5" fillId="0" borderId="0" xfId="0" applyNumberFormat="1" applyFont="1"/>
    <xf numFmtId="166" fontId="1" fillId="3" borderId="0" xfId="0" applyNumberFormat="1" applyFont="1" applyFill="1" applyAlignment="1">
      <alignment horizontal="center"/>
    </xf>
    <xf numFmtId="166" fontId="0" fillId="0" borderId="0" xfId="0" applyNumberFormat="1" applyFont="1" applyFill="1" applyAlignment="1">
      <alignment horizontal="center"/>
    </xf>
    <xf numFmtId="170" fontId="1" fillId="0" borderId="0" xfId="0" applyNumberFormat="1" applyFont="1" applyAlignment="1">
      <alignment horizontal="right"/>
    </xf>
    <xf numFmtId="169" fontId="1" fillId="0" borderId="0" xfId="0" applyNumberFormat="1" applyFont="1" applyAlignment="1">
      <alignment horizontal="right"/>
    </xf>
    <xf numFmtId="10" fontId="6" fillId="0" borderId="0" xfId="3" applyNumberFormat="1" applyFont="1" applyAlignment="1">
      <alignment horizontal="right"/>
    </xf>
    <xf numFmtId="166" fontId="6" fillId="3" borderId="0" xfId="0" applyNumberFormat="1" applyFont="1" applyFill="1"/>
    <xf numFmtId="0" fontId="6" fillId="3" borderId="0" xfId="0" applyFont="1" applyFill="1" applyAlignment="1">
      <alignment horizontal="center"/>
    </xf>
    <xf numFmtId="0" fontId="18" fillId="3" borderId="0" xfId="0" applyFont="1" applyFill="1" applyAlignment="1">
      <alignment horizontal="right" wrapText="1"/>
    </xf>
    <xf numFmtId="0" fontId="38" fillId="3" borderId="0" xfId="0" applyFont="1" applyFill="1" applyAlignment="1">
      <alignment horizontal="right" wrapText="1"/>
    </xf>
    <xf numFmtId="0" fontId="5" fillId="0" borderId="0" xfId="0" applyNumberFormat="1" applyFont="1" applyAlignment="1">
      <alignment horizontal="right"/>
    </xf>
    <xf numFmtId="0" fontId="0" fillId="0" borderId="12" xfId="0" applyFont="1" applyBorder="1" applyAlignment="1">
      <alignment horizontal="center"/>
    </xf>
    <xf numFmtId="168" fontId="6" fillId="3" borderId="0" xfId="0" applyNumberFormat="1" applyFont="1" applyFill="1" applyAlignment="1">
      <alignment horizontal="center"/>
    </xf>
    <xf numFmtId="1" fontId="6" fillId="0" borderId="0" xfId="3" applyNumberFormat="1" applyFont="1" applyAlignment="1">
      <alignment horizontal="right"/>
    </xf>
    <xf numFmtId="10" fontId="6" fillId="0" borderId="0" xfId="3" applyNumberFormat="1" applyFont="1" applyAlignment="1">
      <alignment horizontal="center"/>
    </xf>
    <xf numFmtId="1" fontId="6" fillId="0" borderId="0" xfId="3" applyNumberFormat="1" applyFont="1" applyAlignment="1">
      <alignment horizontal="center"/>
    </xf>
    <xf numFmtId="168" fontId="6" fillId="0" borderId="0" xfId="0" applyNumberFormat="1" applyFont="1" applyFill="1"/>
    <xf numFmtId="166" fontId="6" fillId="0" borderId="0" xfId="0" applyNumberFormat="1" applyFont="1" applyFill="1"/>
    <xf numFmtId="170" fontId="6" fillId="0" borderId="0" xfId="0" applyNumberFormat="1" applyFont="1" applyFill="1" applyAlignment="1">
      <alignment horizontal="right"/>
    </xf>
    <xf numFmtId="168" fontId="32" fillId="6" borderId="0" xfId="0" applyNumberFormat="1" applyFont="1" applyFill="1" applyAlignment="1">
      <alignment horizontal="center"/>
    </xf>
    <xf numFmtId="168" fontId="19" fillId="6" borderId="0" xfId="0" applyNumberFormat="1" applyFont="1" applyFill="1" applyAlignment="1">
      <alignment horizontal="center"/>
    </xf>
    <xf numFmtId="166" fontId="6" fillId="0" borderId="0" xfId="3" applyNumberFormat="1" applyFont="1" applyAlignment="1">
      <alignment horizontal="center"/>
    </xf>
    <xf numFmtId="168" fontId="52" fillId="0" borderId="0" xfId="0" applyNumberFormat="1" applyFont="1" applyAlignment="1">
      <alignment horizontal="center"/>
    </xf>
    <xf numFmtId="169" fontId="10" fillId="0" borderId="0" xfId="0" applyNumberFormat="1" applyFont="1" applyBorder="1"/>
    <xf numFmtId="170" fontId="10" fillId="0" borderId="0" xfId="0" applyNumberFormat="1" applyFont="1" applyBorder="1"/>
    <xf numFmtId="168" fontId="0" fillId="0" borderId="0" xfId="3" applyNumberFormat="1" applyFont="1" applyFill="1"/>
    <xf numFmtId="168" fontId="6" fillId="0" borderId="0" xfId="3" applyNumberFormat="1" applyFont="1" applyFill="1"/>
    <xf numFmtId="170" fontId="1" fillId="0" borderId="0" xfId="0" applyNumberFormat="1" applyFont="1"/>
    <xf numFmtId="167" fontId="0" fillId="3" borderId="0" xfId="3" applyNumberFormat="1" applyFont="1" applyFill="1" applyAlignment="1"/>
    <xf numFmtId="166" fontId="6" fillId="3" borderId="0" xfId="3" applyNumberFormat="1" applyFont="1" applyFill="1"/>
    <xf numFmtId="170" fontId="10" fillId="3" borderId="12" xfId="0" applyNumberFormat="1" applyFont="1" applyFill="1" applyBorder="1"/>
    <xf numFmtId="10" fontId="0" fillId="0" borderId="0" xfId="0" applyNumberFormat="1" applyFont="1" applyFill="1" applyAlignment="1"/>
    <xf numFmtId="10" fontId="0" fillId="0" borderId="0" xfId="3" applyNumberFormat="1" applyFont="1" applyFill="1" applyAlignment="1"/>
    <xf numFmtId="9" fontId="6" fillId="0" borderId="0" xfId="3" applyNumberFormat="1" applyFont="1"/>
    <xf numFmtId="168" fontId="6" fillId="3" borderId="0" xfId="3" applyNumberFormat="1" applyFont="1" applyFill="1"/>
    <xf numFmtId="168" fontId="0" fillId="3" borderId="0" xfId="3" applyNumberFormat="1" applyFont="1" applyFill="1"/>
    <xf numFmtId="0" fontId="38" fillId="3" borderId="0" xfId="0" applyFont="1" applyFill="1" applyAlignment="1">
      <alignment horizontal="right" wrapText="1"/>
    </xf>
    <xf numFmtId="172" fontId="0" fillId="0" borderId="12" xfId="0" applyNumberFormat="1" applyFont="1" applyFill="1" applyBorder="1" applyAlignment="1">
      <alignment horizontal="center"/>
    </xf>
    <xf numFmtId="0" fontId="18" fillId="3" borderId="0" xfId="0" applyFont="1" applyFill="1" applyAlignment="1">
      <alignment horizontal="right" wrapText="1"/>
    </xf>
    <xf numFmtId="0" fontId="38" fillId="3" borderId="0" xfId="0" applyFont="1" applyFill="1" applyAlignment="1">
      <alignment horizontal="right" wrapText="1"/>
    </xf>
    <xf numFmtId="168" fontId="10" fillId="0" borderId="0" xfId="0" applyNumberFormat="1" applyFont="1" applyBorder="1"/>
    <xf numFmtId="168" fontId="11" fillId="0" borderId="0" xfId="0" applyNumberFormat="1" applyFont="1" applyFill="1" applyBorder="1"/>
    <xf numFmtId="166" fontId="11" fillId="0" borderId="0" xfId="0" applyNumberFormat="1" applyFont="1" applyFill="1" applyBorder="1"/>
    <xf numFmtId="2" fontId="1" fillId="0" borderId="0" xfId="0" applyNumberFormat="1" applyFont="1" applyFill="1"/>
    <xf numFmtId="0" fontId="11" fillId="0" borderId="0" xfId="0" applyNumberFormat="1" applyFont="1" applyFill="1" applyAlignment="1">
      <alignment horizontal="left" vertical="top"/>
    </xf>
    <xf numFmtId="0" fontId="38" fillId="3" borderId="0" xfId="0" applyFont="1" applyFill="1" applyAlignment="1">
      <alignment horizontal="left" vertical="top" wrapText="1"/>
    </xf>
    <xf numFmtId="0" fontId="18" fillId="0" borderId="0" xfId="0" applyFont="1" applyBorder="1" applyAlignment="1">
      <alignment horizontal="right" wrapText="1"/>
    </xf>
    <xf numFmtId="166" fontId="6" fillId="0" borderId="0" xfId="0" applyNumberFormat="1" applyFont="1" applyBorder="1" applyAlignment="1">
      <alignment horizontal="right"/>
    </xf>
    <xf numFmtId="0" fontId="0" fillId="3" borderId="0" xfId="0" applyFont="1" applyFill="1" applyBorder="1" applyAlignment="1">
      <alignment horizontal="right"/>
    </xf>
    <xf numFmtId="1" fontId="1" fillId="0" borderId="0" xfId="0" applyNumberFormat="1" applyFont="1" applyBorder="1" applyAlignment="1">
      <alignment horizontal="right"/>
    </xf>
    <xf numFmtId="0" fontId="18" fillId="0" borderId="0" xfId="0" applyFont="1" applyFill="1" applyBorder="1" applyAlignment="1">
      <alignment horizontal="center" wrapText="1"/>
    </xf>
    <xf numFmtId="2" fontId="1" fillId="3" borderId="0" xfId="0" applyNumberFormat="1" applyFont="1" applyFill="1"/>
    <xf numFmtId="0" fontId="0" fillId="4" borderId="0" xfId="0" applyFont="1" applyFill="1"/>
    <xf numFmtId="0" fontId="67" fillId="3" borderId="0" xfId="4" applyFont="1" applyFill="1" applyBorder="1"/>
    <xf numFmtId="168" fontId="0" fillId="0" borderId="8" xfId="0" applyNumberFormat="1" applyFont="1" applyFill="1" applyBorder="1"/>
    <xf numFmtId="170" fontId="0" fillId="0" borderId="0" xfId="0" applyNumberFormat="1" applyFont="1" applyFill="1"/>
    <xf numFmtId="167" fontId="6" fillId="0" borderId="0" xfId="3" applyNumberFormat="1" applyFont="1" applyAlignment="1">
      <alignment horizontal="center"/>
    </xf>
    <xf numFmtId="168" fontId="6" fillId="0" borderId="0" xfId="0" applyNumberFormat="1" applyFont="1" applyFill="1" applyAlignment="1">
      <alignment horizontal="center"/>
    </xf>
    <xf numFmtId="169" fontId="1" fillId="0" borderId="0" xfId="0" applyNumberFormat="1" applyFont="1" applyAlignment="1">
      <alignment horizontal="center"/>
    </xf>
    <xf numFmtId="0" fontId="18" fillId="0" borderId="0" xfId="0" applyFont="1" applyFill="1" applyBorder="1" applyAlignment="1">
      <alignment horizontal="right" wrapText="1"/>
    </xf>
    <xf numFmtId="0" fontId="57" fillId="0" borderId="0" xfId="0" applyFont="1"/>
    <xf numFmtId="0" fontId="5" fillId="0" borderId="0" xfId="0" applyFont="1" applyFill="1" applyBorder="1" applyAlignment="1">
      <alignment horizontal="left" vertical="top"/>
    </xf>
    <xf numFmtId="0" fontId="14" fillId="3" borderId="0" xfId="0" applyFont="1" applyFill="1" applyAlignment="1">
      <alignment horizontal="center" vertical="top" wrapText="1"/>
    </xf>
    <xf numFmtId="9" fontId="14" fillId="0" borderId="0" xfId="3" applyFont="1" applyFill="1" applyBorder="1" applyAlignment="1">
      <alignment horizontal="center" wrapText="1"/>
    </xf>
    <xf numFmtId="1" fontId="0" fillId="0" borderId="0" xfId="0" applyNumberFormat="1" applyFont="1" applyFill="1" applyBorder="1"/>
    <xf numFmtId="168" fontId="0" fillId="0" borderId="0" xfId="0" applyNumberFormat="1" applyFont="1" applyFill="1" applyBorder="1"/>
    <xf numFmtId="0" fontId="18" fillId="3" borderId="23" xfId="0" applyFont="1" applyFill="1" applyBorder="1" applyAlignment="1">
      <alignment horizontal="center" vertical="top" wrapText="1"/>
    </xf>
    <xf numFmtId="0" fontId="18" fillId="3" borderId="23" xfId="0" applyFont="1" applyFill="1" applyBorder="1" applyAlignment="1">
      <alignment wrapText="1"/>
    </xf>
    <xf numFmtId="1" fontId="0" fillId="0" borderId="24" xfId="0" applyNumberFormat="1" applyFont="1" applyFill="1" applyBorder="1"/>
    <xf numFmtId="169" fontId="6" fillId="0" borderId="0" xfId="0" applyNumberFormat="1" applyFont="1" applyFill="1" applyBorder="1"/>
    <xf numFmtId="168" fontId="6" fillId="0" borderId="12" xfId="0" applyNumberFormat="1" applyFont="1" applyFill="1" applyBorder="1"/>
    <xf numFmtId="169" fontId="6" fillId="0" borderId="24" xfId="0" applyNumberFormat="1" applyFont="1" applyFill="1" applyBorder="1"/>
    <xf numFmtId="0" fontId="0" fillId="0" borderId="0" xfId="0" applyAlignment="1"/>
    <xf numFmtId="0" fontId="5" fillId="4" borderId="0" xfId="0" applyFont="1" applyFill="1"/>
    <xf numFmtId="0" fontId="5" fillId="0" borderId="0" xfId="0" applyFont="1" applyAlignment="1">
      <alignment horizontal="center" vertical="center" wrapText="1"/>
    </xf>
    <xf numFmtId="0" fontId="8" fillId="3" borderId="0" xfId="0" applyFont="1" applyFill="1" applyAlignment="1">
      <alignment vertical="top" wrapText="1"/>
    </xf>
    <xf numFmtId="0" fontId="0" fillId="3" borderId="0" xfId="0" applyFill="1" applyAlignment="1">
      <alignment vertical="top" wrapText="1"/>
    </xf>
    <xf numFmtId="168" fontId="15" fillId="19" borderId="7" xfId="0" applyNumberFormat="1" applyFont="1" applyFill="1" applyBorder="1" applyAlignment="1">
      <alignment horizontal="center"/>
    </xf>
    <xf numFmtId="168" fontId="15" fillId="19" borderId="12" xfId="6" applyNumberFormat="1" applyFont="1" applyFill="1" applyBorder="1" applyAlignment="1">
      <alignment horizontal="center" vertical="center"/>
    </xf>
    <xf numFmtId="0" fontId="15" fillId="19" borderId="7" xfId="6" applyFont="1" applyFill="1" applyBorder="1" applyAlignment="1">
      <alignment horizontal="center" vertical="center"/>
    </xf>
    <xf numFmtId="0" fontId="15" fillId="19" borderId="12" xfId="6" applyFont="1" applyFill="1" applyBorder="1" applyAlignment="1">
      <alignment horizontal="center" vertical="center"/>
    </xf>
    <xf numFmtId="168" fontId="15" fillId="19" borderId="7" xfId="6" applyNumberFormat="1" applyFont="1" applyFill="1" applyBorder="1" applyAlignment="1">
      <alignment horizontal="center" vertical="center"/>
    </xf>
    <xf numFmtId="0" fontId="15" fillId="19" borderId="9" xfId="6" applyFont="1" applyFill="1" applyBorder="1" applyAlignment="1">
      <alignment horizontal="center" vertical="center"/>
    </xf>
    <xf numFmtId="0" fontId="15" fillId="19" borderId="13" xfId="6" applyFont="1" applyFill="1" applyBorder="1" applyAlignment="1">
      <alignment horizontal="center" vertical="center"/>
    </xf>
    <xf numFmtId="0" fontId="43" fillId="0" borderId="0" xfId="1" applyFont="1" applyFill="1"/>
    <xf numFmtId="0" fontId="43" fillId="0" borderId="5" xfId="1" applyFont="1" applyBorder="1"/>
    <xf numFmtId="0" fontId="43" fillId="0" borderId="7" xfId="1" applyFont="1" applyBorder="1" applyAlignment="1">
      <alignment horizontal="left" wrapText="1"/>
    </xf>
    <xf numFmtId="0" fontId="43" fillId="0" borderId="7" xfId="1" applyFont="1" applyFill="1" applyBorder="1"/>
    <xf numFmtId="168" fontId="5" fillId="0" borderId="0" xfId="0" applyNumberFormat="1" applyFont="1" applyFill="1" applyAlignment="1">
      <alignment horizontal="left"/>
    </xf>
    <xf numFmtId="0" fontId="18" fillId="0" borderId="0" xfId="0" applyFont="1" applyFill="1" applyAlignment="1">
      <alignment horizontal="center"/>
    </xf>
    <xf numFmtId="2" fontId="5" fillId="0" borderId="0" xfId="0" applyNumberFormat="1" applyFont="1" applyAlignment="1">
      <alignment horizontal="center"/>
    </xf>
    <xf numFmtId="0" fontId="0" fillId="0" borderId="23" xfId="0" applyFill="1" applyBorder="1"/>
    <xf numFmtId="0" fontId="0" fillId="4" borderId="23" xfId="0" applyFill="1" applyBorder="1"/>
    <xf numFmtId="0" fontId="0" fillId="4" borderId="6" xfId="0" applyFill="1" applyBorder="1"/>
    <xf numFmtId="0" fontId="34" fillId="4" borderId="7" xfId="0" applyFont="1" applyFill="1" applyBorder="1"/>
    <xf numFmtId="0" fontId="34" fillId="4" borderId="0" xfId="0" applyFont="1" applyFill="1" applyBorder="1"/>
    <xf numFmtId="0" fontId="2" fillId="4" borderId="0" xfId="1" applyFill="1" applyBorder="1"/>
    <xf numFmtId="0" fontId="48" fillId="4" borderId="0" xfId="0" applyFont="1" applyFill="1" applyBorder="1"/>
    <xf numFmtId="0" fontId="48" fillId="4" borderId="8" xfId="0" applyFont="1" applyFill="1" applyBorder="1"/>
    <xf numFmtId="0" fontId="34" fillId="4" borderId="9" xfId="0" applyFont="1" applyFill="1" applyBorder="1"/>
    <xf numFmtId="0" fontId="48" fillId="4" borderId="10" xfId="0" applyFont="1" applyFill="1" applyBorder="1"/>
    <xf numFmtId="0" fontId="18" fillId="4" borderId="5" xfId="0" applyFont="1" applyFill="1" applyBorder="1"/>
    <xf numFmtId="0" fontId="57" fillId="4" borderId="0" xfId="1" applyFont="1" applyFill="1" applyAlignment="1" applyProtection="1"/>
    <xf numFmtId="0" fontId="57" fillId="4" borderId="0" xfId="0" applyFont="1" applyFill="1"/>
    <xf numFmtId="168" fontId="0" fillId="0" borderId="12" xfId="0" applyNumberFormat="1" applyFont="1" applyBorder="1" applyAlignment="1">
      <alignment horizontal="center"/>
    </xf>
    <xf numFmtId="170" fontId="0" fillId="0" borderId="12" xfId="0" applyNumberFormat="1" applyFont="1" applyBorder="1" applyAlignment="1">
      <alignment horizontal="center"/>
    </xf>
    <xf numFmtId="2" fontId="0" fillId="0" borderId="12" xfId="0" applyNumberFormat="1" applyFont="1" applyBorder="1" applyAlignment="1">
      <alignment horizontal="center"/>
    </xf>
    <xf numFmtId="0" fontId="0" fillId="0" borderId="13" xfId="0" applyFont="1" applyBorder="1" applyAlignment="1">
      <alignment horizontal="center"/>
    </xf>
    <xf numFmtId="169" fontId="0" fillId="0" borderId="12" xfId="0" applyNumberFormat="1" applyFont="1" applyBorder="1" applyAlignment="1">
      <alignment horizontal="center" vertical="center"/>
    </xf>
    <xf numFmtId="169" fontId="0" fillId="3" borderId="12" xfId="0" applyNumberFormat="1" applyFont="1" applyFill="1" applyBorder="1" applyAlignment="1">
      <alignment horizontal="center" vertical="center"/>
    </xf>
    <xf numFmtId="169" fontId="1" fillId="0" borderId="12" xfId="0" applyNumberFormat="1" applyFont="1" applyFill="1" applyBorder="1" applyAlignment="1">
      <alignment horizontal="center" vertical="center"/>
    </xf>
    <xf numFmtId="169" fontId="0" fillId="0" borderId="12" xfId="0" applyNumberFormat="1" applyFont="1" applyFill="1" applyBorder="1" applyAlignment="1">
      <alignment horizontal="center" vertical="center"/>
    </xf>
    <xf numFmtId="0" fontId="0" fillId="0" borderId="13" xfId="0" applyFont="1" applyBorder="1" applyAlignment="1">
      <alignment horizontal="center" vertical="center"/>
    </xf>
    <xf numFmtId="168" fontId="0" fillId="0" borderId="12" xfId="0" applyNumberFormat="1" applyFont="1" applyBorder="1" applyAlignment="1">
      <alignment horizontal="center" vertical="center"/>
    </xf>
    <xf numFmtId="172" fontId="0" fillId="0" borderId="12" xfId="0" applyNumberFormat="1" applyFont="1" applyBorder="1" applyAlignment="1">
      <alignment horizontal="center" vertical="center"/>
    </xf>
    <xf numFmtId="172" fontId="6" fillId="0" borderId="7" xfId="0" applyNumberFormat="1" applyFont="1" applyFill="1" applyBorder="1"/>
    <xf numFmtId="10" fontId="5" fillId="0" borderId="0" xfId="0" applyNumberFormat="1" applyFont="1" applyBorder="1" applyAlignment="1">
      <alignment horizontal="center"/>
    </xf>
    <xf numFmtId="172" fontId="6" fillId="0" borderId="0" xfId="0" applyNumberFormat="1" applyFont="1"/>
    <xf numFmtId="0" fontId="18" fillId="8" borderId="0" xfId="0" applyFont="1" applyFill="1" applyAlignment="1">
      <alignment horizontal="center" wrapText="1"/>
    </xf>
    <xf numFmtId="0" fontId="38" fillId="8" borderId="0" xfId="0" applyFont="1" applyFill="1" applyAlignment="1">
      <alignment horizontal="center" wrapText="1"/>
    </xf>
    <xf numFmtId="0" fontId="26" fillId="16" borderId="0" xfId="0" applyFont="1" applyFill="1" applyAlignment="1">
      <alignment horizontal="centerContinuous"/>
    </xf>
    <xf numFmtId="0" fontId="18" fillId="8" borderId="0" xfId="0" applyFont="1" applyFill="1" applyAlignment="1">
      <alignment horizontal="centerContinuous"/>
    </xf>
    <xf numFmtId="0" fontId="18" fillId="8" borderId="0" xfId="0" applyFont="1" applyFill="1" applyAlignment="1">
      <alignment horizontal="centerContinuous" vertical="top"/>
    </xf>
    <xf numFmtId="0" fontId="36" fillId="8" borderId="0" xfId="0" applyFont="1" applyFill="1" applyAlignment="1">
      <alignment horizontal="centerContinuous" vertical="top"/>
    </xf>
    <xf numFmtId="0" fontId="36" fillId="8" borderId="0" xfId="0" applyFont="1" applyFill="1" applyAlignment="1">
      <alignment horizontal="centerContinuous"/>
    </xf>
    <xf numFmtId="0" fontId="28" fillId="13" borderId="0" xfId="6" applyFont="1" applyFill="1" applyBorder="1" applyAlignment="1">
      <alignment horizontal="centerContinuous" vertical="center" wrapText="1"/>
    </xf>
    <xf numFmtId="0" fontId="5" fillId="13" borderId="0" xfId="0" applyFont="1" applyFill="1"/>
    <xf numFmtId="0" fontId="18" fillId="13" borderId="0" xfId="0" applyFont="1" applyFill="1" applyAlignment="1">
      <alignment horizontal="centerContinuous" wrapText="1"/>
    </xf>
    <xf numFmtId="0" fontId="36" fillId="13" borderId="0" xfId="0" applyFont="1" applyFill="1"/>
    <xf numFmtId="0" fontId="18" fillId="13" borderId="0" xfId="0" applyFont="1" applyFill="1" applyBorder="1" applyAlignment="1">
      <alignment horizontal="right" wrapText="1"/>
    </xf>
    <xf numFmtId="169" fontId="0" fillId="13" borderId="0" xfId="0" applyNumberFormat="1" applyFont="1" applyFill="1"/>
    <xf numFmtId="170" fontId="0" fillId="13" borderId="0" xfId="0" applyNumberFormat="1" applyFont="1" applyFill="1"/>
    <xf numFmtId="0" fontId="68" fillId="11" borderId="0" xfId="6" applyFont="1" applyBorder="1" applyAlignment="1">
      <alignment horizontal="centerContinuous" vertical="center" wrapText="1"/>
    </xf>
    <xf numFmtId="0" fontId="69" fillId="6" borderId="0" xfId="0" applyFont="1" applyFill="1" applyAlignment="1">
      <alignment horizontal="centerContinuous"/>
    </xf>
    <xf numFmtId="0" fontId="26" fillId="13" borderId="0" xfId="0" applyFont="1" applyFill="1" applyAlignment="1">
      <alignment horizontal="left"/>
    </xf>
    <xf numFmtId="0" fontId="5" fillId="13" borderId="0" xfId="0" applyFont="1" applyFill="1" applyAlignment="1">
      <alignment wrapText="1"/>
    </xf>
    <xf numFmtId="0" fontId="14" fillId="3" borderId="0" xfId="0" applyFont="1" applyFill="1" applyAlignment="1">
      <alignment horizontal="center" wrapText="1"/>
    </xf>
    <xf numFmtId="0" fontId="70" fillId="4" borderId="24" xfId="0" applyFont="1" applyFill="1" applyBorder="1"/>
    <xf numFmtId="0" fontId="71" fillId="4" borderId="24" xfId="1" applyFont="1" applyFill="1" applyBorder="1"/>
    <xf numFmtId="169" fontId="0" fillId="0" borderId="0" xfId="0" applyNumberFormat="1" applyFont="1"/>
    <xf numFmtId="0" fontId="18" fillId="3" borderId="0" xfId="0" applyFont="1" applyFill="1" applyAlignment="1">
      <alignment vertical="top"/>
    </xf>
    <xf numFmtId="0" fontId="21" fillId="13" borderId="0" xfId="5" applyFill="1"/>
    <xf numFmtId="0" fontId="32" fillId="13" borderId="0" xfId="4" applyFont="1" applyFill="1" applyBorder="1"/>
    <xf numFmtId="0" fontId="18" fillId="13" borderId="0" xfId="0" applyFont="1" applyFill="1" applyBorder="1" applyAlignment="1">
      <alignment horizontal="center" wrapText="1"/>
    </xf>
    <xf numFmtId="169" fontId="5" fillId="13" borderId="0" xfId="0" applyNumberFormat="1" applyFont="1" applyFill="1"/>
    <xf numFmtId="168" fontId="5" fillId="13" borderId="0" xfId="0" applyNumberFormat="1" applyFont="1" applyFill="1"/>
    <xf numFmtId="172" fontId="5" fillId="0" borderId="0" xfId="0" applyNumberFormat="1" applyFont="1"/>
    <xf numFmtId="173" fontId="5" fillId="0" borderId="0" xfId="0" applyNumberFormat="1" applyFont="1"/>
    <xf numFmtId="0" fontId="25" fillId="13" borderId="0" xfId="5" applyFont="1" applyFill="1"/>
    <xf numFmtId="1" fontId="5" fillId="0" borderId="0" xfId="0" applyNumberFormat="1" applyFont="1" applyFill="1"/>
    <xf numFmtId="170" fontId="6" fillId="0" borderId="7" xfId="0" applyNumberFormat="1" applyFont="1" applyFill="1" applyBorder="1"/>
    <xf numFmtId="170" fontId="6" fillId="0" borderId="0" xfId="0" applyNumberFormat="1" applyFont="1" applyFill="1" applyBorder="1"/>
    <xf numFmtId="0" fontId="26" fillId="13" borderId="0" xfId="0" applyFont="1" applyFill="1" applyAlignment="1">
      <alignment horizontal="centerContinuous"/>
    </xf>
    <xf numFmtId="0" fontId="18" fillId="13" borderId="0" xfId="0" applyFont="1" applyFill="1" applyAlignment="1">
      <alignment wrapText="1"/>
    </xf>
    <xf numFmtId="0" fontId="4" fillId="13" borderId="0" xfId="0" applyFont="1" applyFill="1" applyAlignment="1"/>
    <xf numFmtId="166" fontId="0" fillId="13" borderId="0" xfId="0" applyNumberFormat="1" applyFont="1" applyFill="1"/>
    <xf numFmtId="0" fontId="72" fillId="6" borderId="0" xfId="0" applyFont="1" applyFill="1" applyAlignment="1">
      <alignment horizontal="centerContinuous"/>
    </xf>
    <xf numFmtId="0" fontId="28" fillId="11" borderId="0" xfId="6" applyFont="1" applyBorder="1" applyAlignment="1">
      <alignment horizontal="center" vertical="center" wrapText="1"/>
    </xf>
    <xf numFmtId="0" fontId="42" fillId="11" borderId="0" xfId="6" applyFont="1" applyBorder="1" applyAlignment="1">
      <alignment horizontal="center" vertical="center"/>
    </xf>
    <xf numFmtId="0" fontId="72" fillId="6" borderId="0" xfId="0" applyFont="1" applyFill="1" applyAlignment="1">
      <alignment horizontal="center" vertical="center"/>
    </xf>
    <xf numFmtId="166" fontId="0" fillId="0" borderId="0" xfId="0" applyNumberFormat="1" applyFont="1" applyFill="1" applyBorder="1"/>
    <xf numFmtId="0" fontId="32" fillId="3" borderId="0" xfId="4" applyFont="1" applyFill="1" applyBorder="1" applyAlignment="1">
      <alignment horizontal="left" vertical="top" wrapText="1"/>
    </xf>
    <xf numFmtId="0" fontId="18" fillId="3" borderId="0" xfId="0" applyFont="1" applyFill="1" applyBorder="1" applyAlignment="1">
      <alignment horizontal="left" vertical="top" wrapText="1"/>
    </xf>
    <xf numFmtId="0" fontId="18" fillId="3" borderId="0" xfId="0" applyFont="1" applyFill="1" applyBorder="1" applyAlignment="1">
      <alignment horizontal="left" vertical="top"/>
    </xf>
    <xf numFmtId="0" fontId="18" fillId="3" borderId="0" xfId="0" applyFont="1" applyFill="1" applyAlignment="1">
      <alignment horizontal="left" vertical="top"/>
    </xf>
    <xf numFmtId="0" fontId="26" fillId="0" borderId="0" xfId="0" applyFont="1" applyFill="1" applyAlignment="1">
      <alignment horizontal="left"/>
    </xf>
    <xf numFmtId="0" fontId="43" fillId="0" borderId="0" xfId="0" applyFont="1" applyFill="1"/>
    <xf numFmtId="0" fontId="18" fillId="3" borderId="0" xfId="0" applyFont="1" applyFill="1" applyAlignment="1">
      <alignment horizontal="center" vertical="top"/>
    </xf>
    <xf numFmtId="0" fontId="18" fillId="0" borderId="0" xfId="0" applyFont="1" applyFill="1" applyBorder="1" applyAlignment="1">
      <alignment horizontal="center" wrapText="1"/>
    </xf>
    <xf numFmtId="170" fontId="6" fillId="0" borderId="12" xfId="0" applyNumberFormat="1" applyFont="1" applyFill="1" applyBorder="1"/>
    <xf numFmtId="0" fontId="14" fillId="0" borderId="0" xfId="0" applyFont="1" applyFill="1" applyAlignment="1">
      <alignment horizontal="center" wrapText="1"/>
    </xf>
    <xf numFmtId="0" fontId="57" fillId="0" borderId="0" xfId="0" applyFont="1" applyFill="1"/>
    <xf numFmtId="0" fontId="32" fillId="6" borderId="0" xfId="0" applyFont="1" applyFill="1" applyAlignment="1">
      <alignment horizontal="centerContinuous"/>
    </xf>
    <xf numFmtId="0" fontId="32" fillId="12" borderId="0" xfId="0" applyFont="1" applyFill="1" applyAlignment="1">
      <alignment horizontal="centerContinuous"/>
    </xf>
    <xf numFmtId="169" fontId="73" fillId="0" borderId="0" xfId="0" applyNumberFormat="1" applyFont="1"/>
    <xf numFmtId="169" fontId="5" fillId="3" borderId="0" xfId="0" applyNumberFormat="1" applyFont="1" applyFill="1"/>
    <xf numFmtId="170" fontId="5" fillId="0" borderId="0" xfId="0" applyNumberFormat="1" applyFont="1"/>
    <xf numFmtId="170" fontId="5" fillId="3" borderId="0" xfId="0" applyNumberFormat="1" applyFont="1" applyFill="1"/>
    <xf numFmtId="1" fontId="0" fillId="3" borderId="0" xfId="0" applyNumberFormat="1" applyFont="1" applyFill="1"/>
    <xf numFmtId="0" fontId="57" fillId="13" borderId="0" xfId="0" applyFont="1" applyFill="1" applyAlignment="1">
      <alignment horizontal="right"/>
    </xf>
    <xf numFmtId="0" fontId="57" fillId="13" borderId="0" xfId="0" applyFont="1" applyFill="1" applyAlignment="1">
      <alignment horizontal="right" wrapText="1"/>
    </xf>
    <xf numFmtId="174" fontId="5" fillId="9" borderId="2" xfId="2" applyNumberFormat="1" applyFont="1" applyFill="1" applyBorder="1" applyAlignment="1">
      <alignment horizontal="center"/>
    </xf>
    <xf numFmtId="174" fontId="5" fillId="9" borderId="18" xfId="2" applyNumberFormat="1" applyFont="1" applyFill="1" applyBorder="1" applyAlignment="1">
      <alignment horizontal="center"/>
    </xf>
    <xf numFmtId="174" fontId="5" fillId="9" borderId="20" xfId="2" applyNumberFormat="1" applyFont="1" applyFill="1" applyBorder="1" applyAlignment="1">
      <alignment horizontal="center"/>
    </xf>
    <xf numFmtId="174" fontId="5" fillId="9" borderId="21" xfId="2" applyNumberFormat="1" applyFont="1" applyFill="1" applyBorder="1" applyAlignment="1">
      <alignment horizontal="center"/>
    </xf>
    <xf numFmtId="169" fontId="7" fillId="0" borderId="12" xfId="0" applyNumberFormat="1" applyFont="1" applyBorder="1"/>
    <xf numFmtId="169" fontId="7" fillId="0" borderId="0" xfId="3" applyNumberFormat="1" applyFont="1"/>
    <xf numFmtId="0" fontId="5" fillId="0" borderId="0" xfId="0" applyFont="1" applyBorder="1" applyAlignment="1">
      <alignment horizontal="center" vertical="center"/>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18" fillId="3" borderId="0" xfId="0" applyFont="1" applyFill="1" applyAlignment="1">
      <alignment horizontal="right" wrapText="1"/>
    </xf>
    <xf numFmtId="0" fontId="38" fillId="3" borderId="0" xfId="0" applyFont="1" applyFill="1" applyAlignment="1">
      <alignment horizontal="right" wrapText="1"/>
    </xf>
    <xf numFmtId="0" fontId="18" fillId="0" borderId="11" xfId="0" applyFont="1" applyFill="1" applyBorder="1" applyAlignment="1">
      <alignment horizontal="center" wrapText="1"/>
    </xf>
    <xf numFmtId="0" fontId="18" fillId="0" borderId="12" xfId="0" applyFont="1" applyFill="1" applyBorder="1" applyAlignment="1">
      <alignment horizontal="center" wrapText="1"/>
    </xf>
    <xf numFmtId="0" fontId="18" fillId="0" borderId="0" xfId="0" applyFont="1" applyFill="1" applyBorder="1" applyAlignment="1">
      <alignment horizontal="center" wrapText="1"/>
    </xf>
    <xf numFmtId="0" fontId="7" fillId="13" borderId="0" xfId="0" applyFont="1" applyFill="1" applyAlignment="1">
      <alignment horizontal="left" wrapText="1"/>
    </xf>
  </cellXfs>
  <cellStyles count="8">
    <cellStyle name="Accent2" xfId="5" builtinId="33"/>
    <cellStyle name="Accent3" xfId="6" builtinId="37"/>
    <cellStyle name="Comma" xfId="2" builtinId="3"/>
    <cellStyle name="Heading 1" xfId="4" builtinId="16"/>
    <cellStyle name="Hyperlink" xfId="1" builtinId="8"/>
    <cellStyle name="Hyperlink 2" xfId="7"/>
    <cellStyle name="Normal" xfId="0" builtinId="0"/>
    <cellStyle name="Percent" xfId="3" builtinId="5"/>
  </cellStyles>
  <dxfs count="0"/>
  <tableStyles count="0" defaultTableStyle="TableStyleMedium2" defaultPivotStyle="PivotStyleLight16"/>
  <colors>
    <mruColors>
      <color rgb="FFFF66CC"/>
      <color rgb="FF000000"/>
      <color rgb="FFFFFF00"/>
      <color rgb="FF1F669D"/>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WRMP Triangulated Values and Range</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2"/>
            </a:solidFill>
            <a:ln>
              <a:noFill/>
            </a:ln>
            <a:effectLst/>
          </c:spPr>
          <c:invertIfNegative val="0"/>
          <c:errBars>
            <c:errBarType val="both"/>
            <c:errValType val="cust"/>
            <c:noEndCap val="0"/>
            <c:plus>
              <c:numRef>
                <c:f>'WRMP Main'!$R$30:$R$37</c:f>
                <c:numCache>
                  <c:formatCode>General</c:formatCode>
                  <c:ptCount val="8"/>
                  <c:pt idx="0">
                    <c:v>17.003859892923344</c:v>
                  </c:pt>
                  <c:pt idx="1">
                    <c:v>17.650155734905407</c:v>
                  </c:pt>
                  <c:pt idx="2">
                    <c:v>3.7921466117477891</c:v>
                  </c:pt>
                  <c:pt idx="3">
                    <c:v>3.2914194203062728</c:v>
                  </c:pt>
                  <c:pt idx="4">
                    <c:v>8.0630941803747547</c:v>
                  </c:pt>
                  <c:pt idx="5">
                    <c:v>0.20334976571606234</c:v>
                  </c:pt>
                  <c:pt idx="6">
                    <c:v>0.10382732069167311</c:v>
                  </c:pt>
                  <c:pt idx="7">
                    <c:v>1.1998370274089671</c:v>
                  </c:pt>
                </c:numCache>
              </c:numRef>
            </c:plus>
            <c:minus>
              <c:numRef>
                <c:f>'WRMP Main'!$Q$30:$Q$37</c:f>
                <c:numCache>
                  <c:formatCode>General</c:formatCode>
                  <c:ptCount val="8"/>
                  <c:pt idx="0">
                    <c:v>13.107105824483197</c:v>
                  </c:pt>
                  <c:pt idx="1">
                    <c:v>12.098253818396222</c:v>
                  </c:pt>
                  <c:pt idx="2">
                    <c:v>3.7921466117477838</c:v>
                  </c:pt>
                  <c:pt idx="3">
                    <c:v>7.3666438840830768</c:v>
                  </c:pt>
                  <c:pt idx="4">
                    <c:v>7.0184678014634088</c:v>
                  </c:pt>
                  <c:pt idx="5">
                    <c:v>0.20334976571606411</c:v>
                  </c:pt>
                  <c:pt idx="6">
                    <c:v>0.10382732069166778</c:v>
                  </c:pt>
                  <c:pt idx="7">
                    <c:v>1.1998370274089663</c:v>
                  </c:pt>
                </c:numCache>
              </c:numRef>
            </c:minus>
            <c:spPr>
              <a:noFill/>
              <a:ln w="9525" cap="flat" cmpd="sng" algn="ctr">
                <a:solidFill>
                  <a:sysClr val="windowText" lastClr="000000"/>
                </a:solidFill>
                <a:round/>
              </a:ln>
              <a:effectLst/>
            </c:spPr>
          </c:errBars>
          <c:cat>
            <c:strRef>
              <c:f>'WRMP Main'!$O$30:$O$37</c:f>
              <c:strCache>
                <c:ptCount val="8"/>
                <c:pt idx="0">
                  <c:v>Increased metering (not smart meters)</c:v>
                </c:pt>
                <c:pt idx="1">
                  <c:v>Reducing leakage</c:v>
                </c:pt>
                <c:pt idx="2">
                  <c:v>Trading with another water company</c:v>
                </c:pt>
                <c:pt idx="3">
                  <c:v>Reducing customer water usage/More education campaigns</c:v>
                </c:pt>
                <c:pt idx="4">
                  <c:v>Installing smart meters</c:v>
                </c:pt>
                <c:pt idx="5">
                  <c:v>Increasing the amount of water in the Blithfield reservoir</c:v>
                </c:pt>
                <c:pt idx="6">
                  <c:v>Taking water from the River Trent</c:v>
                </c:pt>
                <c:pt idx="7">
                  <c:v>Taking more groundwater </c:v>
                </c:pt>
              </c:strCache>
            </c:strRef>
          </c:cat>
          <c:val>
            <c:numRef>
              <c:f>'WRMP Main'!$P$30:$P$37</c:f>
              <c:numCache>
                <c:formatCode>0.0</c:formatCode>
                <c:ptCount val="8"/>
                <c:pt idx="0">
                  <c:v>22.166749942658207</c:v>
                </c:pt>
                <c:pt idx="1">
                  <c:v>16.200936698442366</c:v>
                </c:pt>
                <c:pt idx="2">
                  <c:v>12.468734882226347</c:v>
                </c:pt>
                <c:pt idx="3">
                  <c:v>11.245798729195428</c:v>
                </c:pt>
                <c:pt idx="4">
                  <c:v>10.862531219709062</c:v>
                </c:pt>
                <c:pt idx="5">
                  <c:v>10.38435552595482</c:v>
                </c:pt>
                <c:pt idx="6">
                  <c:v>9.5026239913896067</c:v>
                </c:pt>
                <c:pt idx="7">
                  <c:v>7.1682690104241447</c:v>
                </c:pt>
              </c:numCache>
            </c:numRef>
          </c:val>
          <c:extLst xmlns:c16r2="http://schemas.microsoft.com/office/drawing/2015/06/chart">
            <c:ext xmlns:c16="http://schemas.microsoft.com/office/drawing/2014/chart" uri="{C3380CC4-5D6E-409C-BE32-E72D297353CC}">
              <c16:uniqueId val="{00000000-0B02-473B-AE9E-AD86959F128C}"/>
            </c:ext>
          </c:extLst>
        </c:ser>
        <c:dLbls>
          <c:showLegendKey val="0"/>
          <c:showVal val="0"/>
          <c:showCatName val="0"/>
          <c:showSerName val="0"/>
          <c:showPercent val="0"/>
          <c:showBubbleSize val="0"/>
        </c:dLbls>
        <c:gapWidth val="219"/>
        <c:overlap val="-27"/>
        <c:axId val="1186713808"/>
        <c:axId val="1186711088"/>
      </c:barChart>
      <c:catAx>
        <c:axId val="1186713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6711088"/>
        <c:crosses val="autoZero"/>
        <c:auto val="1"/>
        <c:lblAlgn val="ctr"/>
        <c:lblOffset val="100"/>
        <c:noMultiLvlLbl val="0"/>
      </c:catAx>
      <c:valAx>
        <c:axId val="11867110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671380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WRMP Priorities:  Customer Priorities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spPr>
            <a:solidFill>
              <a:schemeClr val="accent3"/>
            </a:solidFill>
            <a:ln>
              <a:noFill/>
            </a:ln>
            <a:effectLst/>
          </c:spPr>
          <c:invertIfNegative val="0"/>
          <c:cat>
            <c:strRef>
              <c:extLst>
                <c:ext xmlns:c15="http://schemas.microsoft.com/office/drawing/2012/chart" uri="{02D57815-91ED-43cb-92C2-25804820EDAC}">
                  <c15:fullRef>
                    <c15:sqref>'WRMP Main'!$A$30:$A$38</c15:sqref>
                  </c15:fullRef>
                </c:ext>
              </c:extLst>
              <c:f>('WRMP Main'!$A$30:$A$35,'WRMP Main'!$A$38)</c:f>
              <c:strCache>
                <c:ptCount val="7"/>
                <c:pt idx="0">
                  <c:v>Reducing leakage</c:v>
                </c:pt>
                <c:pt idx="1">
                  <c:v>Building a new water reservoir</c:v>
                </c:pt>
                <c:pt idx="2">
                  <c:v>Increased metering (not smart meters)</c:v>
                </c:pt>
                <c:pt idx="3">
                  <c:v>Trading with another water company</c:v>
                </c:pt>
                <c:pt idx="4">
                  <c:v>Reducing customer water usage/More education campaigns</c:v>
                </c:pt>
                <c:pt idx="5">
                  <c:v>Installing smart meters</c:v>
                </c:pt>
                <c:pt idx="6">
                  <c:v>Taking more groundwater </c:v>
                </c:pt>
              </c:strCache>
            </c:strRef>
          </c:cat>
          <c:val>
            <c:numRef>
              <c:extLst>
                <c:ext xmlns:c15="http://schemas.microsoft.com/office/drawing/2012/chart" uri="{02D57815-91ED-43cb-92C2-25804820EDAC}">
                  <c15:fullRef>
                    <c15:sqref>'WRMP Main'!$V$30:$V$38</c15:sqref>
                  </c15:fullRef>
                </c:ext>
              </c:extLst>
              <c:f>('WRMP Main'!$V$30:$V$35,'WRMP Main'!$V$38)</c:f>
              <c:numCache>
                <c:formatCode>0.0</c:formatCode>
                <c:ptCount val="7"/>
                <c:pt idx="0">
                  <c:v>23.532957034863944</c:v>
                </c:pt>
                <c:pt idx="4">
                  <c:v>6.8968988302639174</c:v>
                </c:pt>
                <c:pt idx="5">
                  <c:v>7.6123419101690057</c:v>
                </c:pt>
              </c:numCache>
            </c:numRef>
          </c:val>
          <c:extLst xmlns:c16r2="http://schemas.microsoft.com/office/drawing/2015/06/chart">
            <c:ext xmlns:c16="http://schemas.microsoft.com/office/drawing/2014/chart" uri="{C3380CC4-5D6E-409C-BE32-E72D297353CC}">
              <c16:uniqueId val="{00000000-5303-4CB0-BCB1-E4439BDEC719}"/>
            </c:ext>
          </c:extLst>
        </c:ser>
        <c:dLbls>
          <c:showLegendKey val="0"/>
          <c:showVal val="0"/>
          <c:showCatName val="0"/>
          <c:showSerName val="0"/>
          <c:showPercent val="0"/>
          <c:showBubbleSize val="0"/>
        </c:dLbls>
        <c:gapWidth val="219"/>
        <c:overlap val="-27"/>
        <c:axId val="1301276960"/>
        <c:axId val="1301268256"/>
      </c:barChart>
      <c:catAx>
        <c:axId val="130127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01268256"/>
        <c:crosses val="autoZero"/>
        <c:auto val="1"/>
        <c:lblAlgn val="ctr"/>
        <c:lblOffset val="100"/>
        <c:noMultiLvlLbl val="0"/>
      </c:catAx>
      <c:valAx>
        <c:axId val="1301268256"/>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0127696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WRMP Priorities:  WTP DCE</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spPr>
            <a:solidFill>
              <a:schemeClr val="accent4"/>
            </a:solidFill>
            <a:ln>
              <a:noFill/>
            </a:ln>
            <a:effectLst/>
          </c:spPr>
          <c:invertIfNegative val="0"/>
          <c:cat>
            <c:strRef>
              <c:extLst>
                <c:ext xmlns:c15="http://schemas.microsoft.com/office/drawing/2012/chart" uri="{02D57815-91ED-43cb-92C2-25804820EDAC}">
                  <c15:fullRef>
                    <c15:sqref>'WRMP Main'!$A$30:$A$38</c15:sqref>
                  </c15:fullRef>
                </c:ext>
              </c:extLst>
              <c:f>('WRMP Main'!$A$30,'WRMP Main'!$A$32:$A$38)</c:f>
              <c:strCache>
                <c:ptCount val="8"/>
                <c:pt idx="0">
                  <c:v>Reducing leakage</c:v>
                </c:pt>
                <c:pt idx="1">
                  <c:v>Increased metering (not smart meters)</c:v>
                </c:pt>
                <c:pt idx="2">
                  <c:v>Trading with another water company</c:v>
                </c:pt>
                <c:pt idx="3">
                  <c:v>Reducing customer water usage/More education campaigns</c:v>
                </c:pt>
                <c:pt idx="4">
                  <c:v>Installing smart meters</c:v>
                </c:pt>
                <c:pt idx="5">
                  <c:v>Increasing the amount of water in the Blithfield reservoir</c:v>
                </c:pt>
                <c:pt idx="6">
                  <c:v>Taking water from the River Trent</c:v>
                </c:pt>
                <c:pt idx="7">
                  <c:v>Taking more groundwater </c:v>
                </c:pt>
              </c:strCache>
            </c:strRef>
          </c:cat>
          <c:val>
            <c:numRef>
              <c:extLst>
                <c:ext xmlns:c15="http://schemas.microsoft.com/office/drawing/2012/chart" uri="{02D57815-91ED-43cb-92C2-25804820EDAC}">
                  <c15:fullRef>
                    <c15:sqref>'WRMP Main'!$E$30:$E$38</c15:sqref>
                  </c15:fullRef>
                </c:ext>
              </c:extLst>
              <c:f>('WRMP Main'!$E$30,'WRMP Main'!$E$32:$E$38)</c:f>
              <c:numCache>
                <c:formatCode>General</c:formatCode>
                <c:ptCount val="8"/>
                <c:pt idx="0" formatCode="0.0">
                  <c:v>3.6339103020841947</c:v>
                </c:pt>
                <c:pt idx="1" formatCode="0.0">
                  <c:v>34.694975649407077</c:v>
                </c:pt>
                <c:pt idx="4" formatCode="0.0">
                  <c:v>3.4048407020117413</c:v>
                </c:pt>
              </c:numCache>
            </c:numRef>
          </c:val>
          <c:extLst xmlns:c16r2="http://schemas.microsoft.com/office/drawing/2015/06/chart">
            <c:ext xmlns:c16="http://schemas.microsoft.com/office/drawing/2014/chart" uri="{C3380CC4-5D6E-409C-BE32-E72D297353CC}">
              <c16:uniqueId val="{00000000-88DB-4A9C-B441-5F6FDFF3EC42}"/>
            </c:ext>
          </c:extLst>
        </c:ser>
        <c:dLbls>
          <c:showLegendKey val="0"/>
          <c:showVal val="0"/>
          <c:showCatName val="0"/>
          <c:showSerName val="0"/>
          <c:showPercent val="0"/>
          <c:showBubbleSize val="0"/>
        </c:dLbls>
        <c:gapWidth val="219"/>
        <c:overlap val="-27"/>
        <c:axId val="1301266624"/>
        <c:axId val="1301275872"/>
      </c:barChart>
      <c:catAx>
        <c:axId val="1301266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01275872"/>
        <c:crosses val="autoZero"/>
        <c:auto val="1"/>
        <c:lblAlgn val="ctr"/>
        <c:lblOffset val="100"/>
        <c:noMultiLvlLbl val="0"/>
      </c:catAx>
      <c:valAx>
        <c:axId val="1301275872"/>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01266624"/>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WRMP Priorities:  WTP DCE</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spPr>
            <a:solidFill>
              <a:schemeClr val="accent4"/>
            </a:solidFill>
            <a:ln>
              <a:noFill/>
            </a:ln>
            <a:effectLst/>
          </c:spPr>
          <c:invertIfNegative val="0"/>
          <c:cat>
            <c:strRef>
              <c:extLst>
                <c:ext xmlns:c15="http://schemas.microsoft.com/office/drawing/2012/chart" uri="{02D57815-91ED-43cb-92C2-25804820EDAC}">
                  <c15:fullRef>
                    <c15:sqref>'WRMP Main'!$A$30:$A$38</c15:sqref>
                  </c15:fullRef>
                </c:ext>
              </c:extLst>
              <c:f>('WRMP Main'!$A$30:$A$35,'WRMP Main'!$A$38)</c:f>
              <c:strCache>
                <c:ptCount val="7"/>
                <c:pt idx="0">
                  <c:v>Reducing leakage</c:v>
                </c:pt>
                <c:pt idx="1">
                  <c:v>Building a new water reservoir</c:v>
                </c:pt>
                <c:pt idx="2">
                  <c:v>Increased metering (not smart meters)</c:v>
                </c:pt>
                <c:pt idx="3">
                  <c:v>Trading with another water company</c:v>
                </c:pt>
                <c:pt idx="4">
                  <c:v>Reducing customer water usage/More education campaigns</c:v>
                </c:pt>
                <c:pt idx="5">
                  <c:v>Installing smart meters</c:v>
                </c:pt>
                <c:pt idx="6">
                  <c:v>Taking more groundwater </c:v>
                </c:pt>
              </c:strCache>
            </c:strRef>
          </c:cat>
          <c:val>
            <c:numRef>
              <c:extLst>
                <c:ext xmlns:c15="http://schemas.microsoft.com/office/drawing/2012/chart" uri="{02D57815-91ED-43cb-92C2-25804820EDAC}">
                  <c15:fullRef>
                    <c15:sqref>'WRMP Main'!$W$30:$W$38</c15:sqref>
                  </c15:fullRef>
                </c:ext>
              </c:extLst>
              <c:f>('WRMP Main'!$W$30:$W$35,'WRMP Main'!$W$38)</c:f>
              <c:numCache>
                <c:formatCode>General</c:formatCode>
                <c:ptCount val="7"/>
                <c:pt idx="0" formatCode="0.0">
                  <c:v>1.2392653813028263</c:v>
                </c:pt>
                <c:pt idx="2" formatCode="0.0">
                  <c:v>19.218653194352381</c:v>
                </c:pt>
                <c:pt idx="5" formatCode="0.0">
                  <c:v>23.658386573066895</c:v>
                </c:pt>
              </c:numCache>
            </c:numRef>
          </c:val>
          <c:extLst xmlns:c16r2="http://schemas.microsoft.com/office/drawing/2015/06/chart">
            <c:ext xmlns:c16="http://schemas.microsoft.com/office/drawing/2014/chart" uri="{C3380CC4-5D6E-409C-BE32-E72D297353CC}">
              <c16:uniqueId val="{00000000-52C1-4FF9-A8EC-A1AC9E793E20}"/>
            </c:ext>
          </c:extLst>
        </c:ser>
        <c:dLbls>
          <c:showLegendKey val="0"/>
          <c:showVal val="0"/>
          <c:showCatName val="0"/>
          <c:showSerName val="0"/>
          <c:showPercent val="0"/>
          <c:showBubbleSize val="0"/>
        </c:dLbls>
        <c:gapWidth val="219"/>
        <c:overlap val="-27"/>
        <c:axId val="1301267168"/>
        <c:axId val="1301267712"/>
      </c:barChart>
      <c:catAx>
        <c:axId val="130126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01267712"/>
        <c:crosses val="autoZero"/>
        <c:auto val="1"/>
        <c:lblAlgn val="ctr"/>
        <c:lblOffset val="100"/>
        <c:noMultiLvlLbl val="0"/>
      </c:catAx>
      <c:valAx>
        <c:axId val="1301267712"/>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0126716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WRMP Priorities:  WTP MaxDiff</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spPr>
            <a:solidFill>
              <a:schemeClr val="accent4">
                <a:lumMod val="75000"/>
              </a:schemeClr>
            </a:solidFill>
            <a:ln>
              <a:noFill/>
            </a:ln>
            <a:effectLst/>
          </c:spPr>
          <c:invertIfNegative val="0"/>
          <c:cat>
            <c:strRef>
              <c:extLst>
                <c:ext xmlns:c15="http://schemas.microsoft.com/office/drawing/2012/chart" uri="{02D57815-91ED-43cb-92C2-25804820EDAC}">
                  <c15:fullRef>
                    <c15:sqref>'WRMP Main'!$A$30:$A$38</c15:sqref>
                  </c15:fullRef>
                </c:ext>
              </c:extLst>
              <c:f>('WRMP Main'!$A$30,'WRMP Main'!$A$32:$A$38)</c:f>
              <c:strCache>
                <c:ptCount val="8"/>
                <c:pt idx="0">
                  <c:v>Reducing leakage</c:v>
                </c:pt>
                <c:pt idx="1">
                  <c:v>Increased metering (not smart meters)</c:v>
                </c:pt>
                <c:pt idx="2">
                  <c:v>Trading with another water company</c:v>
                </c:pt>
                <c:pt idx="3">
                  <c:v>Reducing customer water usage/More education campaigns</c:v>
                </c:pt>
                <c:pt idx="4">
                  <c:v>Installing smart meters</c:v>
                </c:pt>
                <c:pt idx="5">
                  <c:v>Increasing the amount of water in the Blithfield reservoir</c:v>
                </c:pt>
                <c:pt idx="6">
                  <c:v>Taking water from the River Trent</c:v>
                </c:pt>
                <c:pt idx="7">
                  <c:v>Taking more groundwater </c:v>
                </c:pt>
              </c:strCache>
            </c:strRef>
          </c:cat>
          <c:val>
            <c:numRef>
              <c:extLst>
                <c:ext xmlns:c15="http://schemas.microsoft.com/office/drawing/2012/chart" uri="{02D57815-91ED-43cb-92C2-25804820EDAC}">
                  <c15:fullRef>
                    <c15:sqref>'WRMP Main'!$F$30:$F$38</c15:sqref>
                  </c15:fullRef>
                </c:ext>
              </c:extLst>
              <c:f>('WRMP Main'!$F$30,'WRMP Main'!$F$32:$F$38)</c:f>
              <c:numCache>
                <c:formatCode>General</c:formatCode>
                <c:ptCount val="8"/>
                <c:pt idx="0" formatCode="0.0">
                  <c:v>29.98326634715751</c:v>
                </c:pt>
                <c:pt idx="1" formatCode="0.0">
                  <c:v>8.0244891103751019</c:v>
                </c:pt>
                <c:pt idx="4" formatCode="0.0">
                  <c:v>3.7259711959704078</c:v>
                </c:pt>
              </c:numCache>
            </c:numRef>
          </c:val>
          <c:extLst xmlns:c16r2="http://schemas.microsoft.com/office/drawing/2015/06/chart">
            <c:ext xmlns:c16="http://schemas.microsoft.com/office/drawing/2014/chart" uri="{C3380CC4-5D6E-409C-BE32-E72D297353CC}">
              <c16:uniqueId val="{00000000-2272-4CA2-8D31-C62EA3973CF9}"/>
            </c:ext>
          </c:extLst>
        </c:ser>
        <c:dLbls>
          <c:showLegendKey val="0"/>
          <c:showVal val="0"/>
          <c:showCatName val="0"/>
          <c:showSerName val="0"/>
          <c:showPercent val="0"/>
          <c:showBubbleSize val="0"/>
        </c:dLbls>
        <c:gapWidth val="219"/>
        <c:overlap val="-27"/>
        <c:axId val="1301269888"/>
        <c:axId val="1301272608"/>
      </c:barChart>
      <c:catAx>
        <c:axId val="1301269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01272608"/>
        <c:crosses val="autoZero"/>
        <c:auto val="1"/>
        <c:lblAlgn val="ctr"/>
        <c:lblOffset val="100"/>
        <c:noMultiLvlLbl val="0"/>
      </c:catAx>
      <c:valAx>
        <c:axId val="1301272608"/>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012698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WRMP Priorities:  WTP MaxDiff</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spPr>
            <a:solidFill>
              <a:schemeClr val="accent4">
                <a:lumMod val="75000"/>
              </a:schemeClr>
            </a:solidFill>
            <a:ln>
              <a:noFill/>
            </a:ln>
            <a:effectLst/>
          </c:spPr>
          <c:invertIfNegative val="0"/>
          <c:cat>
            <c:strRef>
              <c:extLst>
                <c:ext xmlns:c15="http://schemas.microsoft.com/office/drawing/2012/chart" uri="{02D57815-91ED-43cb-92C2-25804820EDAC}">
                  <c15:fullRef>
                    <c15:sqref>'WRMP Main'!$A$30:$A$38</c15:sqref>
                  </c15:fullRef>
                </c:ext>
              </c:extLst>
              <c:f>('WRMP Main'!$A$30:$A$35,'WRMP Main'!$A$38)</c:f>
              <c:strCache>
                <c:ptCount val="7"/>
                <c:pt idx="0">
                  <c:v>Reducing leakage</c:v>
                </c:pt>
                <c:pt idx="1">
                  <c:v>Building a new water reservoir</c:v>
                </c:pt>
                <c:pt idx="2">
                  <c:v>Increased metering (not smart meters)</c:v>
                </c:pt>
                <c:pt idx="3">
                  <c:v>Trading with another water company</c:v>
                </c:pt>
                <c:pt idx="4">
                  <c:v>Reducing customer water usage/More education campaigns</c:v>
                </c:pt>
                <c:pt idx="5">
                  <c:v>Installing smart meters</c:v>
                </c:pt>
                <c:pt idx="6">
                  <c:v>Taking more groundwater </c:v>
                </c:pt>
              </c:strCache>
            </c:strRef>
          </c:cat>
          <c:val>
            <c:numRef>
              <c:extLst>
                <c:ext xmlns:c15="http://schemas.microsoft.com/office/drawing/2012/chart" uri="{02D57815-91ED-43cb-92C2-25804820EDAC}">
                  <c15:fullRef>
                    <c15:sqref>'WRMP Main'!$X$30:$X$38</c15:sqref>
                  </c15:fullRef>
                </c:ext>
              </c:extLst>
              <c:f>('WRMP Main'!$X$30:$X$35,'WRMP Main'!$X$38)</c:f>
              <c:numCache>
                <c:formatCode>General</c:formatCode>
                <c:ptCount val="7"/>
                <c:pt idx="0" formatCode="0.0">
                  <c:v>31.235655330734097</c:v>
                </c:pt>
                <c:pt idx="2" formatCode="0.0">
                  <c:v>7.9593496450049761</c:v>
                </c:pt>
                <c:pt idx="5" formatCode="0.0">
                  <c:v>4.9213001729830328</c:v>
                </c:pt>
              </c:numCache>
            </c:numRef>
          </c:val>
          <c:extLst xmlns:c16r2="http://schemas.microsoft.com/office/drawing/2015/06/chart">
            <c:ext xmlns:c16="http://schemas.microsoft.com/office/drawing/2014/chart" uri="{C3380CC4-5D6E-409C-BE32-E72D297353CC}">
              <c16:uniqueId val="{00000000-F4E8-4D49-913C-0CF9893E7E91}"/>
            </c:ext>
          </c:extLst>
        </c:ser>
        <c:dLbls>
          <c:showLegendKey val="0"/>
          <c:showVal val="0"/>
          <c:showCatName val="0"/>
          <c:showSerName val="0"/>
          <c:showPercent val="0"/>
          <c:showBubbleSize val="0"/>
        </c:dLbls>
        <c:gapWidth val="219"/>
        <c:overlap val="-27"/>
        <c:axId val="1334977184"/>
        <c:axId val="1334971200"/>
      </c:barChart>
      <c:catAx>
        <c:axId val="1334977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4971200"/>
        <c:crosses val="autoZero"/>
        <c:auto val="1"/>
        <c:lblAlgn val="ctr"/>
        <c:lblOffset val="100"/>
        <c:noMultiLvlLbl val="0"/>
      </c:catAx>
      <c:valAx>
        <c:axId val="1334971200"/>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4977184"/>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WTP Unit Values and Range</a:t>
            </a:r>
            <a:r>
              <a:rPr lang="en-US" b="1" baseline="0"/>
              <a:t> - Services at Property (HH and NHH)</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2"/>
            </a:solidFill>
            <a:ln>
              <a:noFill/>
            </a:ln>
            <a:effectLst/>
          </c:spPr>
          <c:invertIfNegative val="0"/>
          <c:errBars>
            <c:errBarType val="both"/>
            <c:errValType val="cust"/>
            <c:noEndCap val="0"/>
            <c:plus>
              <c:numRef>
                <c:f>'WTP Main'!$F$100:$F$107</c:f>
                <c:numCache>
                  <c:formatCode>General</c:formatCode>
                  <c:ptCount val="8"/>
                  <c:pt idx="0">
                    <c:v>2774.8162425597557</c:v>
                  </c:pt>
                  <c:pt idx="1">
                    <c:v>3015.6722060411248</c:v>
                  </c:pt>
                  <c:pt idx="2">
                    <c:v>712.75569311305821</c:v>
                  </c:pt>
                  <c:pt idx="3">
                    <c:v>572.63213264392925</c:v>
                  </c:pt>
                  <c:pt idx="4">
                    <c:v>372.39351857199046</c:v>
                  </c:pt>
                  <c:pt idx="5">
                    <c:v>169.19468086403475</c:v>
                  </c:pt>
                  <c:pt idx="6">
                    <c:v>132.45080636892021</c:v>
                  </c:pt>
                  <c:pt idx="7">
                    <c:v>23.473765824923213</c:v>
                  </c:pt>
                </c:numCache>
              </c:numRef>
            </c:plus>
            <c:minus>
              <c:numRef>
                <c:f>'WTP Main'!$E$100:$E$107</c:f>
                <c:numCache>
                  <c:formatCode>General</c:formatCode>
                  <c:ptCount val="8"/>
                  <c:pt idx="0">
                    <c:v>1105.8523583405508</c:v>
                  </c:pt>
                  <c:pt idx="1">
                    <c:v>198.69601603648323</c:v>
                  </c:pt>
                  <c:pt idx="2">
                    <c:v>407.09300308429107</c:v>
                  </c:pt>
                  <c:pt idx="3">
                    <c:v>313.43481144261625</c:v>
                  </c:pt>
                  <c:pt idx="4">
                    <c:v>213.55373687920681</c:v>
                  </c:pt>
                  <c:pt idx="5">
                    <c:v>99.861554049543173</c:v>
                  </c:pt>
                  <c:pt idx="6">
                    <c:v>40.915191181494095</c:v>
                  </c:pt>
                  <c:pt idx="7">
                    <c:v>20.376362330330405</c:v>
                  </c:pt>
                </c:numCache>
              </c:numRef>
            </c:minus>
            <c:spPr>
              <a:noFill/>
              <a:ln w="9525" cap="flat" cmpd="sng" algn="ctr">
                <a:solidFill>
                  <a:sysClr val="windowText" lastClr="000000"/>
                </a:solidFill>
                <a:round/>
              </a:ln>
              <a:effectLst/>
            </c:spPr>
          </c:errBars>
          <c:cat>
            <c:strRef>
              <c:f>'WTP Main'!$A$100:$A$107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Main'!$D$100:$D$107</c:f>
              <c:numCache>
                <c:formatCode>"£"#,##0</c:formatCode>
                <c:ptCount val="8"/>
                <c:pt idx="0">
                  <c:v>1452.9099720059705</c:v>
                </c:pt>
                <c:pt idx="1">
                  <c:v>817.86998013959521</c:v>
                </c:pt>
                <c:pt idx="2">
                  <c:v>545.87314651273914</c:v>
                </c:pt>
                <c:pt idx="3">
                  <c:v>401.22638875551917</c:v>
                </c:pt>
                <c:pt idx="4">
                  <c:v>373.65738040810317</c:v>
                </c:pt>
                <c:pt idx="5">
                  <c:v>193.37006930959473</c:v>
                </c:pt>
                <c:pt idx="6">
                  <c:v>63.473901160007046</c:v>
                </c:pt>
                <c:pt idx="7">
                  <c:v>43.901514280815427</c:v>
                </c:pt>
              </c:numCache>
            </c:numRef>
          </c:val>
          <c:extLst xmlns:c16r2="http://schemas.microsoft.com/office/drawing/2015/06/chart">
            <c:ext xmlns:c16="http://schemas.microsoft.com/office/drawing/2014/chart" uri="{C3380CC4-5D6E-409C-BE32-E72D297353CC}">
              <c16:uniqueId val="{00000000-4E21-42C8-A9E7-3BD0A05350EC}"/>
            </c:ext>
          </c:extLst>
        </c:ser>
        <c:dLbls>
          <c:showLegendKey val="0"/>
          <c:showVal val="0"/>
          <c:showCatName val="0"/>
          <c:showSerName val="0"/>
          <c:showPercent val="0"/>
          <c:showBubbleSize val="0"/>
        </c:dLbls>
        <c:gapWidth val="219"/>
        <c:overlap val="-27"/>
        <c:axId val="1334976096"/>
        <c:axId val="1334978816"/>
      </c:barChart>
      <c:catAx>
        <c:axId val="1334976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4978816"/>
        <c:crosses val="autoZero"/>
        <c:auto val="1"/>
        <c:lblAlgn val="ctr"/>
        <c:lblOffset val="100"/>
        <c:noMultiLvlLbl val="0"/>
      </c:catAx>
      <c:valAx>
        <c:axId val="1334978816"/>
        <c:scaling>
          <c:orientation val="minMax"/>
          <c:max val="45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497609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HH WTP Unit Values and Range</a:t>
            </a:r>
            <a:r>
              <a:rPr lang="en-US" b="1" baseline="0"/>
              <a:t> - Services at Property</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Main'!$D$123</c:f>
              <c:strCache>
                <c:ptCount val="1"/>
                <c:pt idx="0">
                  <c:v>COMBINED</c:v>
                </c:pt>
              </c:strCache>
            </c:strRef>
          </c:tx>
          <c:spPr>
            <a:solidFill>
              <a:schemeClr val="accent2"/>
            </a:solidFill>
            <a:ln>
              <a:noFill/>
            </a:ln>
            <a:effectLst/>
          </c:spPr>
          <c:invertIfNegative val="0"/>
          <c:errBars>
            <c:errBarType val="both"/>
            <c:errValType val="cust"/>
            <c:noEndCap val="0"/>
            <c:plus>
              <c:numRef>
                <c:f>'WTP Main'!$R$124:$R$131</c:f>
                <c:numCache>
                  <c:formatCode>General</c:formatCode>
                  <c:ptCount val="8"/>
                  <c:pt idx="0">
                    <c:v>1906.6713027439314</c:v>
                  </c:pt>
                  <c:pt idx="1">
                    <c:v>173.75347337872324</c:v>
                  </c:pt>
                  <c:pt idx="2">
                    <c:v>346.45412668221843</c:v>
                  </c:pt>
                  <c:pt idx="3">
                    <c:v>487.65780350309387</c:v>
                  </c:pt>
                  <c:pt idx="4">
                    <c:v>194.12906514085071</c:v>
                  </c:pt>
                  <c:pt idx="5">
                    <c:v>70.250283320319852</c:v>
                  </c:pt>
                  <c:pt idx="6">
                    <c:v>47.276498745074576</c:v>
                  </c:pt>
                  <c:pt idx="7">
                    <c:v>11.911534102764012</c:v>
                  </c:pt>
                </c:numCache>
              </c:numRef>
            </c:plus>
            <c:minus>
              <c:numRef>
                <c:f>'WTP Main'!$Q$124:$Q$131</c:f>
                <c:numCache>
                  <c:formatCode>General</c:formatCode>
                  <c:ptCount val="8"/>
                  <c:pt idx="0">
                    <c:v>785.49978929326471</c:v>
                  </c:pt>
                  <c:pt idx="1">
                    <c:v>78.731110487292824</c:v>
                  </c:pt>
                  <c:pt idx="2">
                    <c:v>242.7369121639511</c:v>
                  </c:pt>
                  <c:pt idx="3">
                    <c:v>229.75787314921217</c:v>
                  </c:pt>
                  <c:pt idx="4">
                    <c:v>103.9754294896868</c:v>
                  </c:pt>
                  <c:pt idx="5">
                    <c:v>44.210784001400853</c:v>
                  </c:pt>
                  <c:pt idx="6">
                    <c:v>22.218812718405019</c:v>
                  </c:pt>
                  <c:pt idx="7">
                    <c:v>13.813578146752263</c:v>
                  </c:pt>
                </c:numCache>
              </c:numRef>
            </c:minus>
            <c:spPr>
              <a:noFill/>
              <a:ln w="9525" cap="flat" cmpd="sng" algn="ctr">
                <a:solidFill>
                  <a:sysClr val="windowText" lastClr="000000"/>
                </a:solidFill>
                <a:round/>
              </a:ln>
              <a:effectLst/>
            </c:spPr>
          </c:errBars>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Main'!$D$124:$D$131</c:f>
              <c:numCache>
                <c:formatCode>"£"#,##0</c:formatCode>
                <c:ptCount val="8"/>
                <c:pt idx="0">
                  <c:v>1004.0372248742228</c:v>
                </c:pt>
                <c:pt idx="1">
                  <c:v>435.08659630715613</c:v>
                </c:pt>
                <c:pt idx="2">
                  <c:v>303.42114020493887</c:v>
                </c:pt>
                <c:pt idx="3">
                  <c:v>288.01505799402719</c:v>
                </c:pt>
                <c:pt idx="4">
                  <c:v>183.49859370647627</c:v>
                </c:pt>
                <c:pt idx="5">
                  <c:v>79.485021362144408</c:v>
                </c:pt>
                <c:pt idx="6">
                  <c:v>36.54579248098554</c:v>
                </c:pt>
                <c:pt idx="7">
                  <c:v>22.504130758641768</c:v>
                </c:pt>
              </c:numCache>
            </c:numRef>
          </c:val>
          <c:extLst xmlns:c16r2="http://schemas.microsoft.com/office/drawing/2015/06/chart">
            <c:ext xmlns:c16="http://schemas.microsoft.com/office/drawing/2014/chart" uri="{C3380CC4-5D6E-409C-BE32-E72D297353CC}">
              <c16:uniqueId val="{00000000-9C32-4EB5-B5F2-792AE2A86C85}"/>
            </c:ext>
          </c:extLst>
        </c:ser>
        <c:ser>
          <c:idx val="1"/>
          <c:order val="1"/>
          <c:tx>
            <c:strRef>
              <c:f>'WTP Main'!$E$123</c:f>
              <c:strCache>
                <c:ptCount val="1"/>
                <c:pt idx="0">
                  <c:v>WTPCore_DCE</c:v>
                </c:pt>
              </c:strCache>
            </c:strRef>
          </c:tx>
          <c:spPr>
            <a:solidFill>
              <a:schemeClr val="accent4"/>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Main'!$E$124:$E$131</c:f>
              <c:numCache>
                <c:formatCode>"£"#,##0</c:formatCode>
                <c:ptCount val="8"/>
                <c:pt idx="0">
                  <c:v>751.24482173174863</c:v>
                </c:pt>
                <c:pt idx="1">
                  <c:v>474.58879456706273</c:v>
                </c:pt>
                <c:pt idx="2">
                  <c:v>160.37052631578945</c:v>
                </c:pt>
                <c:pt idx="3">
                  <c:v>6.1197962648556876</c:v>
                </c:pt>
                <c:pt idx="4">
                  <c:v>171.97536823750744</c:v>
                </c:pt>
                <c:pt idx="5">
                  <c:v>27.809917858229387</c:v>
                </c:pt>
                <c:pt idx="6">
                  <c:v>40.646907591559547</c:v>
                </c:pt>
                <c:pt idx="7">
                  <c:v>25.360135823429545</c:v>
                </c:pt>
              </c:numCache>
            </c:numRef>
          </c:val>
          <c:extLst xmlns:c16r2="http://schemas.microsoft.com/office/drawing/2015/06/chart">
            <c:ext xmlns:c16="http://schemas.microsoft.com/office/drawing/2014/chart" uri="{C3380CC4-5D6E-409C-BE32-E72D297353CC}">
              <c16:uniqueId val="{00000001-9C32-4EB5-B5F2-792AE2A86C85}"/>
            </c:ext>
          </c:extLst>
        </c:ser>
        <c:ser>
          <c:idx val="2"/>
          <c:order val="2"/>
          <c:tx>
            <c:strRef>
              <c:f>'WTP Main'!$F$123</c:f>
              <c:strCache>
                <c:ptCount val="1"/>
                <c:pt idx="0">
                  <c:v>WTPCore_DCE2</c:v>
                </c:pt>
              </c:strCache>
            </c:strRef>
          </c:tx>
          <c:spPr>
            <a:solidFill>
              <a:schemeClr val="accent6">
                <a:lumMod val="20000"/>
                <a:lumOff val="80000"/>
              </a:schemeClr>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Main'!$F$124:$F$131</c:f>
              <c:numCache>
                <c:formatCode>"£"#,##0</c:formatCode>
                <c:ptCount val="8"/>
                <c:pt idx="0">
                  <c:v>250.4921474232392</c:v>
                </c:pt>
                <c:pt idx="1">
                  <c:v>366.32698810829567</c:v>
                </c:pt>
                <c:pt idx="2">
                  <c:v>184.16917331534088</c:v>
                </c:pt>
                <c:pt idx="3">
                  <c:v>813.60715316807944</c:v>
                </c:pt>
                <c:pt idx="4">
                  <c:v>83.328820216603944</c:v>
                </c:pt>
                <c:pt idx="5">
                  <c:v>139.68750774741403</c:v>
                </c:pt>
                <c:pt idx="6">
                  <c:v>32.35006265563927</c:v>
                </c:pt>
                <c:pt idx="7">
                  <c:v>24.652821631993461</c:v>
                </c:pt>
              </c:numCache>
            </c:numRef>
          </c:val>
          <c:extLst xmlns:c16r2="http://schemas.microsoft.com/office/drawing/2015/06/chart">
            <c:ext xmlns:c16="http://schemas.microsoft.com/office/drawing/2014/chart" uri="{C3380CC4-5D6E-409C-BE32-E72D297353CC}">
              <c16:uniqueId val="{00000002-9C32-4EB5-B5F2-792AE2A86C85}"/>
            </c:ext>
          </c:extLst>
        </c:ser>
        <c:ser>
          <c:idx val="3"/>
          <c:order val="3"/>
          <c:tx>
            <c:strRef>
              <c:f>'WTP Main'!$G$123</c:f>
              <c:strCache>
                <c:ptCount val="1"/>
                <c:pt idx="0">
                  <c:v>WTP core_DCE_Private</c:v>
                </c:pt>
              </c:strCache>
            </c:strRef>
          </c:tx>
          <c:spPr>
            <a:solidFill>
              <a:schemeClr val="accent2">
                <a:lumMod val="60000"/>
              </a:schemeClr>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Main'!$G$124:$G$131</c:f>
              <c:numCache>
                <c:formatCode>"£"#,##0</c:formatCode>
                <c:ptCount val="8"/>
                <c:pt idx="0">
                  <c:v>1956.8353140916806</c:v>
                </c:pt>
                <c:pt idx="1">
                  <c:v>652.27843803056021</c:v>
                </c:pt>
                <c:pt idx="2">
                  <c:v>328.66960950764013</c:v>
                </c:pt>
                <c:pt idx="3">
                  <c:v>12.286451612903226</c:v>
                </c:pt>
                <c:pt idx="4">
                  <c:v>263.16061120543299</c:v>
                </c:pt>
                <c:pt idx="5">
                  <c:v>54.825127334465201</c:v>
                </c:pt>
                <c:pt idx="6">
                  <c:v>53.700509337860773</c:v>
                </c:pt>
                <c:pt idx="7">
                  <c:v>37.393548387096779</c:v>
                </c:pt>
              </c:numCache>
            </c:numRef>
          </c:val>
          <c:extLst xmlns:c16r2="http://schemas.microsoft.com/office/drawing/2015/06/chart">
            <c:ext xmlns:c16="http://schemas.microsoft.com/office/drawing/2014/chart" uri="{C3380CC4-5D6E-409C-BE32-E72D297353CC}">
              <c16:uniqueId val="{00000003-9C32-4EB5-B5F2-792AE2A86C85}"/>
            </c:ext>
          </c:extLst>
        </c:ser>
        <c:ser>
          <c:idx val="4"/>
          <c:order val="4"/>
          <c:tx>
            <c:strRef>
              <c:f>'WTP Main'!$H$123</c:f>
              <c:strCache>
                <c:ptCount val="1"/>
                <c:pt idx="0">
                  <c:v>WTPCore_DCE2_LowBill</c:v>
                </c:pt>
              </c:strCache>
            </c:strRef>
          </c:tx>
          <c:spPr>
            <a:solidFill>
              <a:schemeClr val="accent4">
                <a:lumMod val="60000"/>
              </a:schemeClr>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Main'!$H$124:$H$131</c:f>
              <c:numCache>
                <c:formatCode>"£"#,##0</c:formatCode>
                <c:ptCount val="8"/>
                <c:pt idx="0">
                  <c:v>242.94617733728819</c:v>
                </c:pt>
                <c:pt idx="1">
                  <c:v>418.55420962086112</c:v>
                </c:pt>
                <c:pt idx="2">
                  <c:v>127.31131893909981</c:v>
                </c:pt>
                <c:pt idx="3">
                  <c:v>638.02303360913299</c:v>
                </c:pt>
                <c:pt idx="4">
                  <c:v>53.529306844367753</c:v>
                </c:pt>
                <c:pt idx="5">
                  <c:v>102.61084576187584</c:v>
                </c:pt>
                <c:pt idx="6">
                  <c:v>28.473099286918725</c:v>
                </c:pt>
                <c:pt idx="7">
                  <c:v>19.488320043841146</c:v>
                </c:pt>
              </c:numCache>
            </c:numRef>
          </c:val>
          <c:extLst xmlns:c16r2="http://schemas.microsoft.com/office/drawing/2015/06/chart">
            <c:ext xmlns:c16="http://schemas.microsoft.com/office/drawing/2014/chart" uri="{C3380CC4-5D6E-409C-BE32-E72D297353CC}">
              <c16:uniqueId val="{00000004-9C32-4EB5-B5F2-792AE2A86C85}"/>
            </c:ext>
          </c:extLst>
        </c:ser>
        <c:ser>
          <c:idx val="5"/>
          <c:order val="5"/>
          <c:tx>
            <c:strRef>
              <c:f>'WTP Main'!$I$123</c:f>
              <c:strCache>
                <c:ptCount val="1"/>
                <c:pt idx="0">
                  <c:v>WTPPR14</c:v>
                </c:pt>
              </c:strCache>
            </c:strRef>
          </c:tx>
          <c:spPr>
            <a:solidFill>
              <a:schemeClr val="accent6">
                <a:lumMod val="60000"/>
              </a:schemeClr>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Main'!$I$124:$I$131</c:f>
              <c:numCache>
                <c:formatCode>"£"#,##0</c:formatCode>
                <c:ptCount val="8"/>
                <c:pt idx="2">
                  <c:v>322.64590277419234</c:v>
                </c:pt>
                <c:pt idx="3">
                  <c:v>0.81771655751198691</c:v>
                </c:pt>
                <c:pt idx="4">
                  <c:v>170.55692503551589</c:v>
                </c:pt>
                <c:pt idx="5">
                  <c:v>167.29787551254421</c:v>
                </c:pt>
              </c:numCache>
            </c:numRef>
          </c:val>
          <c:extLst xmlns:c16r2="http://schemas.microsoft.com/office/drawing/2015/06/chart">
            <c:ext xmlns:c16="http://schemas.microsoft.com/office/drawing/2014/chart" uri="{C3380CC4-5D6E-409C-BE32-E72D297353CC}">
              <c16:uniqueId val="{00000005-9C32-4EB5-B5F2-792AE2A86C85}"/>
            </c:ext>
          </c:extLst>
        </c:ser>
        <c:ser>
          <c:idx val="6"/>
          <c:order val="6"/>
          <c:tx>
            <c:strRef>
              <c:f>'WTP Main'!$J$123</c:f>
              <c:strCache>
                <c:ptCount val="1"/>
                <c:pt idx="0">
                  <c:v>ExternalWTP14</c:v>
                </c:pt>
              </c:strCache>
            </c:strRef>
          </c:tx>
          <c:spPr>
            <a:solidFill>
              <a:schemeClr val="accent2">
                <a:lumMod val="80000"/>
                <a:lumOff val="20000"/>
              </a:schemeClr>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Main'!$J$124:$J$131</c:f>
              <c:numCache>
                <c:formatCode>"£"#,##0</c:formatCode>
                <c:ptCount val="8"/>
                <c:pt idx="2">
                  <c:v>162.76608173770856</c:v>
                </c:pt>
                <c:pt idx="3">
                  <c:v>3.1268186186950557</c:v>
                </c:pt>
                <c:pt idx="4">
                  <c:v>187.24664712503574</c:v>
                </c:pt>
                <c:pt idx="5">
                  <c:v>113.1864253552789</c:v>
                </c:pt>
                <c:pt idx="6">
                  <c:v>30.981498899742913</c:v>
                </c:pt>
              </c:numCache>
            </c:numRef>
          </c:val>
          <c:extLst xmlns:c16r2="http://schemas.microsoft.com/office/drawing/2015/06/chart">
            <c:ext xmlns:c16="http://schemas.microsoft.com/office/drawing/2014/chart" uri="{C3380CC4-5D6E-409C-BE32-E72D297353CC}">
              <c16:uniqueId val="{00000006-9C32-4EB5-B5F2-792AE2A86C85}"/>
            </c:ext>
          </c:extLst>
        </c:ser>
        <c:ser>
          <c:idx val="7"/>
          <c:order val="7"/>
          <c:tx>
            <c:strRef>
              <c:f>'WTP Main'!$K$123</c:f>
              <c:strCache>
                <c:ptCount val="1"/>
                <c:pt idx="0">
                  <c:v>ExternalWTP19</c:v>
                </c:pt>
              </c:strCache>
            </c:strRef>
          </c:tx>
          <c:spPr>
            <a:solidFill>
              <a:srgbClr val="FF66CC"/>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Main'!$K$124:$K$131</c:f>
              <c:numCache>
                <c:formatCode>"£"#,##0</c:formatCode>
                <c:ptCount val="8"/>
                <c:pt idx="0">
                  <c:v>472.65285796343375</c:v>
                </c:pt>
                <c:pt idx="2">
                  <c:v>167.68357359970324</c:v>
                </c:pt>
                <c:pt idx="4">
                  <c:v>236.20986861563162</c:v>
                </c:pt>
                <c:pt idx="5">
                  <c:v>78.475101701335177</c:v>
                </c:pt>
                <c:pt idx="6">
                  <c:v>46.290980727560729</c:v>
                </c:pt>
              </c:numCache>
            </c:numRef>
          </c:val>
          <c:extLst xmlns:c16r2="http://schemas.microsoft.com/office/drawing/2015/06/chart">
            <c:ext xmlns:c16="http://schemas.microsoft.com/office/drawing/2014/chart" uri="{C3380CC4-5D6E-409C-BE32-E72D297353CC}">
              <c16:uniqueId val="{00000000-20DF-45C3-81C1-43FE75865F54}"/>
            </c:ext>
          </c:extLst>
        </c:ser>
        <c:ser>
          <c:idx val="8"/>
          <c:order val="8"/>
          <c:tx>
            <c:strRef>
              <c:f>'WTP Main'!$L$123</c:f>
              <c:strCache>
                <c:ptCount val="1"/>
                <c:pt idx="0">
                  <c:v>WTPCore_MaxDiff</c:v>
                </c:pt>
              </c:strCache>
            </c:strRef>
          </c:tx>
          <c:spPr>
            <a:solidFill>
              <a:schemeClr val="accent6">
                <a:lumMod val="80000"/>
                <a:lumOff val="20000"/>
              </a:schemeClr>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Main'!$L$124:$L$131</c:f>
              <c:numCache>
                <c:formatCode>"£"#,##0</c:formatCode>
                <c:ptCount val="8"/>
                <c:pt idx="0">
                  <c:v>3387.376353304137</c:v>
                </c:pt>
                <c:pt idx="1">
                  <c:v>493.6014161850639</c:v>
                </c:pt>
                <c:pt idx="2">
                  <c:v>602.87121355351076</c:v>
                </c:pt>
                <c:pt idx="3">
                  <c:v>102.76407977692409</c:v>
                </c:pt>
                <c:pt idx="4">
                  <c:v>426.15992513253963</c:v>
                </c:pt>
                <c:pt idx="5">
                  <c:v>53.526359649598</c:v>
                </c:pt>
                <c:pt idx="6">
                  <c:v>17.314232736822554</c:v>
                </c:pt>
                <c:pt idx="7">
                  <c:v>21.128225224083</c:v>
                </c:pt>
              </c:numCache>
            </c:numRef>
          </c:val>
          <c:extLst xmlns:c16r2="http://schemas.microsoft.com/office/drawing/2015/06/chart">
            <c:ext xmlns:c16="http://schemas.microsoft.com/office/drawing/2014/chart" uri="{C3380CC4-5D6E-409C-BE32-E72D297353CC}">
              <c16:uniqueId val="{00000000-60F9-4608-A2DA-995A24091028}"/>
            </c:ext>
          </c:extLst>
        </c:ser>
        <c:ser>
          <c:idx val="9"/>
          <c:order val="9"/>
          <c:tx>
            <c:strRef>
              <c:f>'WTP Main'!$M$123</c:f>
              <c:strCache>
                <c:ptCount val="1"/>
                <c:pt idx="0">
                  <c:v>Priorities</c:v>
                </c:pt>
              </c:strCache>
            </c:strRef>
          </c:tx>
          <c:spPr>
            <a:solidFill>
              <a:srgbClr val="00B050"/>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Main'!$M$124:$M$131</c:f>
              <c:numCache>
                <c:formatCode>"£"#,##0</c:formatCode>
                <c:ptCount val="8"/>
                <c:pt idx="0">
                  <c:v>1775.9679939155951</c:v>
                </c:pt>
                <c:pt idx="2">
                  <c:v>366.78010858618666</c:v>
                </c:pt>
                <c:pt idx="3">
                  <c:v>84.882317835358194</c:v>
                </c:pt>
                <c:pt idx="4">
                  <c:v>299.13645170099181</c:v>
                </c:pt>
                <c:pt idx="5">
                  <c:v>40.152789365063612</c:v>
                </c:pt>
                <c:pt idx="6">
                  <c:v>8.7722765829792628</c:v>
                </c:pt>
                <c:pt idx="7">
                  <c:v>5.2371580752014397</c:v>
                </c:pt>
              </c:numCache>
            </c:numRef>
          </c:val>
          <c:extLst xmlns:c16r2="http://schemas.microsoft.com/office/drawing/2015/06/chart">
            <c:ext xmlns:c16="http://schemas.microsoft.com/office/drawing/2014/chart" uri="{C3380CC4-5D6E-409C-BE32-E72D297353CC}">
              <c16:uniqueId val="{00000000-C129-48A2-83EB-59A0BF69D3DA}"/>
            </c:ext>
          </c:extLst>
        </c:ser>
        <c:ser>
          <c:idx val="10"/>
          <c:order val="10"/>
          <c:tx>
            <c:strRef>
              <c:f>'WTP Main'!$N$123</c:f>
              <c:strCache>
                <c:ptCount val="1"/>
                <c:pt idx="0">
                  <c:v>Contacts</c:v>
                </c:pt>
              </c:strCache>
            </c:strRef>
          </c:tx>
          <c:spPr>
            <a:solidFill>
              <a:schemeClr val="accent4">
                <a:lumMod val="80000"/>
              </a:schemeClr>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Main'!$N$124:$N$131</c:f>
              <c:numCache>
                <c:formatCode>"£"#,##0</c:formatCode>
                <c:ptCount val="8"/>
                <c:pt idx="0">
                  <c:v>22.162488257641915</c:v>
                </c:pt>
                <c:pt idx="2">
                  <c:v>736.48879855771179</c:v>
                </c:pt>
                <c:pt idx="4">
                  <c:v>62.235359467680475</c:v>
                </c:pt>
                <c:pt idx="5">
                  <c:v>71.421627432047032</c:v>
                </c:pt>
              </c:numCache>
            </c:numRef>
          </c:val>
          <c:extLst xmlns:c16r2="http://schemas.microsoft.com/office/drawing/2015/06/chart">
            <c:ext xmlns:c16="http://schemas.microsoft.com/office/drawing/2014/chart" uri="{C3380CC4-5D6E-409C-BE32-E72D297353CC}">
              <c16:uniqueId val="{00000001-C129-48A2-83EB-59A0BF69D3DA}"/>
            </c:ext>
          </c:extLst>
        </c:ser>
        <c:ser>
          <c:idx val="11"/>
          <c:order val="11"/>
          <c:tx>
            <c:strRef>
              <c:f>'WTP Main'!$O$123</c:f>
              <c:strCache>
                <c:ptCount val="1"/>
                <c:pt idx="0">
                  <c:v>Satisfaction</c:v>
                </c:pt>
              </c:strCache>
            </c:strRef>
          </c:tx>
          <c:spPr>
            <a:solidFill>
              <a:srgbClr val="FFFF00"/>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Main'!$O$124:$O$131</c:f>
              <c:numCache>
                <c:formatCode>"£"#,##0</c:formatCode>
                <c:ptCount val="8"/>
                <c:pt idx="2">
                  <c:v>0</c:v>
                </c:pt>
                <c:pt idx="4">
                  <c:v>109.30447532837569</c:v>
                </c:pt>
                <c:pt idx="5">
                  <c:v>44.404943102152615</c:v>
                </c:pt>
                <c:pt idx="6">
                  <c:v>95.641415912328753</c:v>
                </c:pt>
              </c:numCache>
            </c:numRef>
          </c:val>
          <c:extLst xmlns:c16r2="http://schemas.microsoft.com/office/drawing/2015/06/chart">
            <c:ext xmlns:c16="http://schemas.microsoft.com/office/drawing/2014/chart" uri="{C3380CC4-5D6E-409C-BE32-E72D297353CC}">
              <c16:uniqueId val="{00000002-C129-48A2-83EB-59A0BF69D3DA}"/>
            </c:ext>
          </c:extLst>
        </c:ser>
        <c:ser>
          <c:idx val="12"/>
          <c:order val="12"/>
          <c:tx>
            <c:strRef>
              <c:f>'WTP Main'!$P$123</c:f>
              <c:strCache>
                <c:ptCount val="1"/>
                <c:pt idx="0">
                  <c:v>PC Slider</c:v>
                </c:pt>
              </c:strCache>
            </c:strRef>
          </c:tx>
          <c:spPr>
            <a:solidFill>
              <a:srgbClr val="FFC000"/>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Main'!$P$124:$P$131</c:f>
              <c:numCache>
                <c:formatCode>"£"#,##0</c:formatCode>
                <c:ptCount val="8"/>
                <c:pt idx="2">
                  <c:v>366.75032875828862</c:v>
                </c:pt>
              </c:numCache>
            </c:numRef>
          </c:val>
          <c:extLst xmlns:c16r2="http://schemas.microsoft.com/office/drawing/2015/06/chart">
            <c:ext xmlns:c16="http://schemas.microsoft.com/office/drawing/2014/chart" uri="{C3380CC4-5D6E-409C-BE32-E72D297353CC}">
              <c16:uniqueId val="{00000000-BA73-41F2-A1BA-C153B6FBB126}"/>
            </c:ext>
          </c:extLst>
        </c:ser>
        <c:dLbls>
          <c:showLegendKey val="0"/>
          <c:showVal val="0"/>
          <c:showCatName val="0"/>
          <c:showSerName val="0"/>
          <c:showPercent val="0"/>
          <c:showBubbleSize val="0"/>
        </c:dLbls>
        <c:gapWidth val="219"/>
        <c:overlap val="-27"/>
        <c:axId val="1334973376"/>
        <c:axId val="1334970656"/>
      </c:barChart>
      <c:catAx>
        <c:axId val="133497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4970656"/>
        <c:crosses val="autoZero"/>
        <c:auto val="1"/>
        <c:lblAlgn val="ctr"/>
        <c:lblOffset val="100"/>
        <c:noMultiLvlLbl val="0"/>
      </c:catAx>
      <c:valAx>
        <c:axId val="1334970656"/>
        <c:scaling>
          <c:orientation val="minMax"/>
          <c:max val="45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4973376"/>
        <c:crosses val="autoZero"/>
        <c:crossBetween val="between"/>
      </c:valAx>
      <c:spPr>
        <a:noFill/>
        <a:ln>
          <a:noFill/>
        </a:ln>
        <a:effectLst/>
      </c:spPr>
    </c:plotArea>
    <c:legend>
      <c:legendPos val="b"/>
      <c:layout>
        <c:manualLayout>
          <c:xMode val="edge"/>
          <c:yMode val="edge"/>
          <c:x val="4.9042120787022046E-2"/>
          <c:y val="0.85885020060591177"/>
          <c:w val="0.90679454692971251"/>
          <c:h val="0.11792674682845121"/>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a:t>
            </a:r>
            <a:r>
              <a:rPr lang="en-US" b="1" baseline="0"/>
              <a:t> HH </a:t>
            </a:r>
            <a:r>
              <a:rPr lang="en-US" b="1"/>
              <a:t>WTP Unit Values and Range</a:t>
            </a:r>
            <a:r>
              <a:rPr lang="en-US" b="1" baseline="0"/>
              <a:t> - Drought Restrictions (£/1% Risk/yr)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Main'!$D$155</c:f>
              <c:strCache>
                <c:ptCount val="1"/>
                <c:pt idx="0">
                  <c:v>COMBINED</c:v>
                </c:pt>
              </c:strCache>
            </c:strRef>
          </c:tx>
          <c:spPr>
            <a:solidFill>
              <a:schemeClr val="accent2"/>
            </a:solidFill>
            <a:ln>
              <a:noFill/>
            </a:ln>
            <a:effectLst/>
          </c:spPr>
          <c:invertIfNegative val="0"/>
          <c:errBars>
            <c:errBarType val="both"/>
            <c:errValType val="cust"/>
            <c:noEndCap val="0"/>
            <c:plus>
              <c:numRef>
                <c:f>'WTP Main'!$N$156:$N$157</c:f>
                <c:numCache>
                  <c:formatCode>General</c:formatCode>
                  <c:ptCount val="2"/>
                  <c:pt idx="0">
                    <c:v>495289.941585619</c:v>
                  </c:pt>
                  <c:pt idx="1">
                    <c:v>106435.03073848702</c:v>
                  </c:pt>
                </c:numCache>
              </c:numRef>
            </c:plus>
            <c:minus>
              <c:numRef>
                <c:f>'WTP Main'!$M$156:$M$157</c:f>
                <c:numCache>
                  <c:formatCode>General</c:formatCode>
                  <c:ptCount val="2"/>
                  <c:pt idx="0">
                    <c:v>238143.31251358194</c:v>
                  </c:pt>
                  <c:pt idx="1">
                    <c:v>175553.40034555824</c:v>
                  </c:pt>
                </c:numCache>
              </c:numRef>
            </c:minus>
            <c:spPr>
              <a:noFill/>
              <a:ln w="9525" cap="flat" cmpd="sng" algn="ctr">
                <a:solidFill>
                  <a:srgbClr val="000000"/>
                </a:solidFill>
                <a:round/>
              </a:ln>
              <a:effectLst/>
            </c:spPr>
          </c:errBars>
          <c:cat>
            <c:strRef>
              <c:f>'WTP Main'!$A$156:$A$157</c:f>
              <c:strCache>
                <c:ptCount val="2"/>
                <c:pt idx="0">
                  <c:v>Drought restrictions</c:v>
                </c:pt>
                <c:pt idx="1">
                  <c:v>Temporary use ban</c:v>
                </c:pt>
              </c:strCache>
            </c:strRef>
          </c:cat>
          <c:val>
            <c:numRef>
              <c:f>'WTP Main'!$D$156:$D$157</c:f>
              <c:numCache>
                <c:formatCode>"£"#,##0</c:formatCode>
                <c:ptCount val="2"/>
                <c:pt idx="0">
                  <c:v>377167.14064197743</c:v>
                </c:pt>
                <c:pt idx="1">
                  <c:v>295830.84049178869</c:v>
                </c:pt>
              </c:numCache>
            </c:numRef>
          </c:val>
          <c:extLst xmlns:c16r2="http://schemas.microsoft.com/office/drawing/2015/06/chart">
            <c:ext xmlns:c16="http://schemas.microsoft.com/office/drawing/2014/chart" uri="{C3380CC4-5D6E-409C-BE32-E72D297353CC}">
              <c16:uniqueId val="{00000000-CAE8-4385-82E0-2A2C1A47C7D5}"/>
            </c:ext>
          </c:extLst>
        </c:ser>
        <c:ser>
          <c:idx val="1"/>
          <c:order val="1"/>
          <c:tx>
            <c:strRef>
              <c:f>'WTP Main'!$E$155</c:f>
              <c:strCache>
                <c:ptCount val="1"/>
                <c:pt idx="0">
                  <c:v>WTPCore_DCE</c:v>
                </c:pt>
              </c:strCache>
            </c:strRef>
          </c:tx>
          <c:spPr>
            <a:solidFill>
              <a:schemeClr val="accent4"/>
            </a:solidFill>
            <a:ln>
              <a:noFill/>
            </a:ln>
            <a:effectLst/>
          </c:spPr>
          <c:invertIfNegative val="0"/>
          <c:cat>
            <c:strRef>
              <c:f>'WTP Main'!$A$156:$A$157</c:f>
              <c:strCache>
                <c:ptCount val="2"/>
                <c:pt idx="0">
                  <c:v>Drought restrictions</c:v>
                </c:pt>
                <c:pt idx="1">
                  <c:v>Temporary use ban</c:v>
                </c:pt>
              </c:strCache>
            </c:strRef>
          </c:cat>
          <c:val>
            <c:numRef>
              <c:f>'WTP Main'!$E$156:$E$157</c:f>
              <c:numCache>
                <c:formatCode>"£"#,##0</c:formatCode>
                <c:ptCount val="2"/>
                <c:pt idx="0">
                  <c:v>92736</c:v>
                </c:pt>
                <c:pt idx="1">
                  <c:v>251711.99999999994</c:v>
                </c:pt>
              </c:numCache>
            </c:numRef>
          </c:val>
          <c:extLst xmlns:c16r2="http://schemas.microsoft.com/office/drawing/2015/06/chart">
            <c:ext xmlns:c16="http://schemas.microsoft.com/office/drawing/2014/chart" uri="{C3380CC4-5D6E-409C-BE32-E72D297353CC}">
              <c16:uniqueId val="{00000000-C191-4C4D-9452-8A7A0A4C88DD}"/>
            </c:ext>
          </c:extLst>
        </c:ser>
        <c:ser>
          <c:idx val="2"/>
          <c:order val="2"/>
          <c:tx>
            <c:strRef>
              <c:f>'WTP Main'!$F$155</c:f>
              <c:strCache>
                <c:ptCount val="1"/>
                <c:pt idx="0">
                  <c:v>WTPCore_DCE2</c:v>
                </c:pt>
              </c:strCache>
            </c:strRef>
          </c:tx>
          <c:spPr>
            <a:solidFill>
              <a:schemeClr val="accent6"/>
            </a:solidFill>
            <a:ln>
              <a:noFill/>
            </a:ln>
            <a:effectLst/>
          </c:spPr>
          <c:invertIfNegative val="0"/>
          <c:cat>
            <c:strRef>
              <c:f>'WTP Main'!$A$156:$A$157</c:f>
              <c:strCache>
                <c:ptCount val="2"/>
                <c:pt idx="0">
                  <c:v>Drought restrictions</c:v>
                </c:pt>
                <c:pt idx="1">
                  <c:v>Temporary use ban</c:v>
                </c:pt>
              </c:strCache>
            </c:strRef>
          </c:cat>
          <c:val>
            <c:numRef>
              <c:f>'WTP Main'!$F$156:$F$157</c:f>
              <c:numCache>
                <c:formatCode>"£"#,##0</c:formatCode>
                <c:ptCount val="2"/>
                <c:pt idx="1">
                  <c:v>396644.86239644804</c:v>
                </c:pt>
              </c:numCache>
            </c:numRef>
          </c:val>
          <c:extLst xmlns:c16r2="http://schemas.microsoft.com/office/drawing/2015/06/chart">
            <c:ext xmlns:c16="http://schemas.microsoft.com/office/drawing/2014/chart" uri="{C3380CC4-5D6E-409C-BE32-E72D297353CC}">
              <c16:uniqueId val="{00000001-C191-4C4D-9452-8A7A0A4C88DD}"/>
            </c:ext>
          </c:extLst>
        </c:ser>
        <c:ser>
          <c:idx val="3"/>
          <c:order val="3"/>
          <c:tx>
            <c:strRef>
              <c:f>'WTP Main'!$G$155</c:f>
              <c:strCache>
                <c:ptCount val="1"/>
                <c:pt idx="0">
                  <c:v>WTP core_DCE_Private</c:v>
                </c:pt>
              </c:strCache>
            </c:strRef>
          </c:tx>
          <c:spPr>
            <a:solidFill>
              <a:schemeClr val="accent2">
                <a:lumMod val="60000"/>
              </a:schemeClr>
            </a:solidFill>
            <a:ln>
              <a:noFill/>
            </a:ln>
            <a:effectLst/>
          </c:spPr>
          <c:invertIfNegative val="0"/>
          <c:cat>
            <c:strRef>
              <c:f>'WTP Main'!$A$156:$A$157</c:f>
              <c:strCache>
                <c:ptCount val="2"/>
                <c:pt idx="0">
                  <c:v>Drought restrictions</c:v>
                </c:pt>
                <c:pt idx="1">
                  <c:v>Temporary use ban</c:v>
                </c:pt>
              </c:strCache>
            </c:strRef>
          </c:cat>
          <c:val>
            <c:numRef>
              <c:f>'WTP Main'!$G$156:$G$157</c:f>
              <c:numCache>
                <c:formatCode>"£"#,##0</c:formatCode>
                <c:ptCount val="2"/>
                <c:pt idx="0">
                  <c:v>145727.99999999997</c:v>
                </c:pt>
                <c:pt idx="1">
                  <c:v>331199.99999999994</c:v>
                </c:pt>
              </c:numCache>
            </c:numRef>
          </c:val>
          <c:extLst xmlns:c16r2="http://schemas.microsoft.com/office/drawing/2015/06/chart">
            <c:ext xmlns:c16="http://schemas.microsoft.com/office/drawing/2014/chart" uri="{C3380CC4-5D6E-409C-BE32-E72D297353CC}">
              <c16:uniqueId val="{00000002-C191-4C4D-9452-8A7A0A4C88DD}"/>
            </c:ext>
          </c:extLst>
        </c:ser>
        <c:ser>
          <c:idx val="4"/>
          <c:order val="4"/>
          <c:tx>
            <c:strRef>
              <c:f>'WTP Main'!$H$155</c:f>
              <c:strCache>
                <c:ptCount val="1"/>
                <c:pt idx="0">
                  <c:v>WTPCore_DCE2_LowBill</c:v>
                </c:pt>
              </c:strCache>
            </c:strRef>
          </c:tx>
          <c:spPr>
            <a:solidFill>
              <a:schemeClr val="accent4">
                <a:lumMod val="60000"/>
              </a:schemeClr>
            </a:solidFill>
            <a:ln>
              <a:noFill/>
            </a:ln>
            <a:effectLst/>
          </c:spPr>
          <c:invertIfNegative val="0"/>
          <c:cat>
            <c:strRef>
              <c:f>'WTP Main'!$A$156:$A$157</c:f>
              <c:strCache>
                <c:ptCount val="2"/>
                <c:pt idx="0">
                  <c:v>Drought restrictions</c:v>
                </c:pt>
                <c:pt idx="1">
                  <c:v>Temporary use ban</c:v>
                </c:pt>
              </c:strCache>
            </c:strRef>
          </c:cat>
          <c:val>
            <c:numRef>
              <c:f>'WTP Main'!$H$156:$H$157</c:f>
              <c:numCache>
                <c:formatCode>"£"#,##0</c:formatCode>
                <c:ptCount val="2"/>
                <c:pt idx="1">
                  <c:v>335316.60676594934</c:v>
                </c:pt>
              </c:numCache>
            </c:numRef>
          </c:val>
          <c:extLst xmlns:c16r2="http://schemas.microsoft.com/office/drawing/2015/06/chart">
            <c:ext xmlns:c16="http://schemas.microsoft.com/office/drawing/2014/chart" uri="{C3380CC4-5D6E-409C-BE32-E72D297353CC}">
              <c16:uniqueId val="{00000003-C191-4C4D-9452-8A7A0A4C88DD}"/>
            </c:ext>
          </c:extLst>
        </c:ser>
        <c:ser>
          <c:idx val="5"/>
          <c:order val="5"/>
          <c:tx>
            <c:strRef>
              <c:f>'WTP Main'!$I$155</c:f>
              <c:strCache>
                <c:ptCount val="1"/>
                <c:pt idx="0">
                  <c:v>WTPPR14</c:v>
                </c:pt>
              </c:strCache>
            </c:strRef>
          </c:tx>
          <c:spPr>
            <a:solidFill>
              <a:schemeClr val="accent6">
                <a:lumMod val="60000"/>
              </a:schemeClr>
            </a:solidFill>
            <a:ln>
              <a:noFill/>
            </a:ln>
            <a:effectLst/>
          </c:spPr>
          <c:invertIfNegative val="0"/>
          <c:cat>
            <c:strRef>
              <c:f>'WTP Main'!$A$156:$A$157</c:f>
              <c:strCache>
                <c:ptCount val="2"/>
                <c:pt idx="0">
                  <c:v>Drought restrictions</c:v>
                </c:pt>
                <c:pt idx="1">
                  <c:v>Temporary use ban</c:v>
                </c:pt>
              </c:strCache>
            </c:strRef>
          </c:cat>
          <c:val>
            <c:numRef>
              <c:f>'WTP Main'!$I$156:$I$157</c:f>
              <c:numCache>
                <c:formatCode>"£"#,##0</c:formatCode>
                <c:ptCount val="2"/>
                <c:pt idx="0">
                  <c:v>0</c:v>
                </c:pt>
                <c:pt idx="1">
                  <c:v>76389.090059840892</c:v>
                </c:pt>
              </c:numCache>
            </c:numRef>
          </c:val>
          <c:extLst xmlns:c16r2="http://schemas.microsoft.com/office/drawing/2015/06/chart">
            <c:ext xmlns:c16="http://schemas.microsoft.com/office/drawing/2014/chart" uri="{C3380CC4-5D6E-409C-BE32-E72D297353CC}">
              <c16:uniqueId val="{00000004-C191-4C4D-9452-8A7A0A4C88DD}"/>
            </c:ext>
          </c:extLst>
        </c:ser>
        <c:ser>
          <c:idx val="6"/>
          <c:order val="6"/>
          <c:tx>
            <c:strRef>
              <c:f>'WTP Main'!$J$155</c:f>
              <c:strCache>
                <c:ptCount val="1"/>
                <c:pt idx="0">
                  <c:v>ExternalWTP14</c:v>
                </c:pt>
              </c:strCache>
            </c:strRef>
          </c:tx>
          <c:spPr>
            <a:solidFill>
              <a:schemeClr val="accent2">
                <a:lumMod val="80000"/>
                <a:lumOff val="20000"/>
              </a:schemeClr>
            </a:solidFill>
            <a:ln>
              <a:noFill/>
            </a:ln>
            <a:effectLst/>
          </c:spPr>
          <c:invertIfNegative val="0"/>
          <c:cat>
            <c:strRef>
              <c:f>'WTP Main'!$A$156:$A$157</c:f>
              <c:strCache>
                <c:ptCount val="2"/>
                <c:pt idx="0">
                  <c:v>Drought restrictions</c:v>
                </c:pt>
                <c:pt idx="1">
                  <c:v>Temporary use ban</c:v>
                </c:pt>
              </c:strCache>
            </c:strRef>
          </c:cat>
          <c:val>
            <c:numRef>
              <c:f>'WTP Main'!$J$156:$J$157</c:f>
              <c:numCache>
                <c:formatCode>"£"#,##0</c:formatCode>
                <c:ptCount val="2"/>
                <c:pt idx="1">
                  <c:v>130957.99523872173</c:v>
                </c:pt>
              </c:numCache>
            </c:numRef>
          </c:val>
          <c:extLst xmlns:c16r2="http://schemas.microsoft.com/office/drawing/2015/06/chart">
            <c:ext xmlns:c16="http://schemas.microsoft.com/office/drawing/2014/chart" uri="{C3380CC4-5D6E-409C-BE32-E72D297353CC}">
              <c16:uniqueId val="{00000005-C191-4C4D-9452-8A7A0A4C88DD}"/>
            </c:ext>
          </c:extLst>
        </c:ser>
        <c:ser>
          <c:idx val="7"/>
          <c:order val="7"/>
          <c:tx>
            <c:strRef>
              <c:f>'WTP Main'!$K$155</c:f>
              <c:strCache>
                <c:ptCount val="1"/>
                <c:pt idx="0">
                  <c:v>ExternalWTP19</c:v>
                </c:pt>
              </c:strCache>
            </c:strRef>
          </c:tx>
          <c:spPr>
            <a:solidFill>
              <a:schemeClr val="accent4">
                <a:lumMod val="80000"/>
                <a:lumOff val="20000"/>
              </a:schemeClr>
            </a:solidFill>
            <a:ln>
              <a:noFill/>
            </a:ln>
            <a:effectLst/>
          </c:spPr>
          <c:invertIfNegative val="0"/>
          <c:cat>
            <c:strRef>
              <c:f>'WTP Main'!$A$156:$A$157</c:f>
              <c:strCache>
                <c:ptCount val="2"/>
                <c:pt idx="0">
                  <c:v>Drought restrictions</c:v>
                </c:pt>
                <c:pt idx="1">
                  <c:v>Temporary use ban</c:v>
                </c:pt>
              </c:strCache>
            </c:strRef>
          </c:cat>
          <c:val>
            <c:numRef>
              <c:f>'WTP Main'!$K$156:$K$157</c:f>
              <c:numCache>
                <c:formatCode>"£"#,##0</c:formatCode>
                <c:ptCount val="2"/>
                <c:pt idx="0">
                  <c:v>276666.84924583929</c:v>
                </c:pt>
                <c:pt idx="1">
                  <c:v>214205.46661078159</c:v>
                </c:pt>
              </c:numCache>
            </c:numRef>
          </c:val>
          <c:extLst xmlns:c16r2="http://schemas.microsoft.com/office/drawing/2015/06/chart">
            <c:ext xmlns:c16="http://schemas.microsoft.com/office/drawing/2014/chart" uri="{C3380CC4-5D6E-409C-BE32-E72D297353CC}">
              <c16:uniqueId val="{00000006-C191-4C4D-9452-8A7A0A4C88DD}"/>
            </c:ext>
          </c:extLst>
        </c:ser>
        <c:ser>
          <c:idx val="8"/>
          <c:order val="8"/>
          <c:tx>
            <c:strRef>
              <c:f>'WTP Main'!$L$155</c:f>
              <c:strCache>
                <c:ptCount val="1"/>
                <c:pt idx="0">
                  <c:v>WTPCore_MaxDiff</c:v>
                </c:pt>
              </c:strCache>
            </c:strRef>
          </c:tx>
          <c:spPr>
            <a:solidFill>
              <a:schemeClr val="accent6">
                <a:lumMod val="80000"/>
                <a:lumOff val="20000"/>
              </a:schemeClr>
            </a:solidFill>
            <a:ln>
              <a:noFill/>
            </a:ln>
            <a:effectLst/>
          </c:spPr>
          <c:invertIfNegative val="0"/>
          <c:cat>
            <c:strRef>
              <c:f>'WTP Main'!$A$156:$A$157</c:f>
              <c:strCache>
                <c:ptCount val="2"/>
                <c:pt idx="0">
                  <c:v>Drought restrictions</c:v>
                </c:pt>
                <c:pt idx="1">
                  <c:v>Temporary use ban</c:v>
                </c:pt>
              </c:strCache>
            </c:strRef>
          </c:cat>
          <c:val>
            <c:numRef>
              <c:f>'WTP Main'!$L$156:$L$157</c:f>
              <c:numCache>
                <c:formatCode>"£"#,##0</c:formatCode>
                <c:ptCount val="2"/>
                <c:pt idx="0">
                  <c:v>996279.56762400118</c:v>
                </c:pt>
                <c:pt idx="1">
                  <c:v>365948.6088731385</c:v>
                </c:pt>
              </c:numCache>
            </c:numRef>
          </c:val>
          <c:extLst xmlns:c16r2="http://schemas.microsoft.com/office/drawing/2015/06/chart">
            <c:ext xmlns:c16="http://schemas.microsoft.com/office/drawing/2014/chart" uri="{C3380CC4-5D6E-409C-BE32-E72D297353CC}">
              <c16:uniqueId val="{00000007-C191-4C4D-9452-8A7A0A4C88DD}"/>
            </c:ext>
          </c:extLst>
        </c:ser>
        <c:dLbls>
          <c:showLegendKey val="0"/>
          <c:showVal val="0"/>
          <c:showCatName val="0"/>
          <c:showSerName val="0"/>
          <c:showPercent val="0"/>
          <c:showBubbleSize val="0"/>
        </c:dLbls>
        <c:gapWidth val="219"/>
        <c:overlap val="-27"/>
        <c:axId val="1334968480"/>
        <c:axId val="1334972832"/>
        <c:extLst xmlns:c16r2="http://schemas.microsoft.com/office/drawing/2015/06/chart"/>
      </c:barChart>
      <c:catAx>
        <c:axId val="1334968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4972832"/>
        <c:crosses val="autoZero"/>
        <c:auto val="1"/>
        <c:lblAlgn val="ctr"/>
        <c:lblOffset val="100"/>
        <c:noMultiLvlLbl val="0"/>
      </c:catAx>
      <c:valAx>
        <c:axId val="1334972832"/>
        <c:scaling>
          <c:orientation val="minMax"/>
          <c:max val="25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4968480"/>
        <c:crosses val="autoZero"/>
        <c:crossBetween val="between"/>
      </c:valAx>
      <c:spPr>
        <a:noFill/>
        <a:ln>
          <a:noFill/>
        </a:ln>
        <a:effectLst/>
      </c:spPr>
    </c:plotArea>
    <c:legend>
      <c:legendPos val="b"/>
      <c:layout>
        <c:manualLayout>
          <c:xMode val="edge"/>
          <c:yMode val="edge"/>
          <c:x val="9.5215878695872211E-2"/>
          <c:y val="0.88168995252398019"/>
          <c:w val="0.84750889244334893"/>
          <c:h val="0.10872601804969979"/>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HH WTP Unit Values and Range</a:t>
            </a:r>
            <a:r>
              <a:rPr lang="en-US" b="1" baseline="0"/>
              <a:t> - Leakage (£/MLD/yr)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Main'!$D$186</c:f>
              <c:strCache>
                <c:ptCount val="1"/>
                <c:pt idx="0">
                  <c:v>COMBINED</c:v>
                </c:pt>
              </c:strCache>
            </c:strRef>
          </c:tx>
          <c:spPr>
            <a:solidFill>
              <a:schemeClr val="accent2"/>
            </a:solidFill>
            <a:ln>
              <a:noFill/>
            </a:ln>
            <a:effectLst/>
          </c:spPr>
          <c:invertIfNegative val="0"/>
          <c:errBars>
            <c:errBarType val="both"/>
            <c:errValType val="cust"/>
            <c:noEndCap val="0"/>
            <c:plus>
              <c:numRef>
                <c:f>'WTP Main'!$R$187</c:f>
                <c:numCache>
                  <c:formatCode>General</c:formatCode>
                  <c:ptCount val="1"/>
                  <c:pt idx="0">
                    <c:v>40174.933950270824</c:v>
                  </c:pt>
                </c:numCache>
              </c:numRef>
            </c:plus>
            <c:minus>
              <c:numRef>
                <c:f>'WTP Main'!$Q$187</c:f>
                <c:numCache>
                  <c:formatCode>General</c:formatCode>
                  <c:ptCount val="1"/>
                  <c:pt idx="0">
                    <c:v>17074.525379493141</c:v>
                  </c:pt>
                </c:numCache>
              </c:numRef>
            </c:minus>
            <c:spPr>
              <a:noFill/>
              <a:ln w="9525" cap="flat" cmpd="sng" algn="ctr">
                <a:solidFill>
                  <a:sysClr val="windowText" lastClr="000000"/>
                </a:solidFill>
                <a:round/>
              </a:ln>
              <a:effectLst/>
            </c:spPr>
          </c:errBars>
          <c:cat>
            <c:strRef>
              <c:f>'WTP Main'!$A$187</c:f>
              <c:strCache>
                <c:ptCount val="1"/>
                <c:pt idx="0">
                  <c:v>Leakage</c:v>
                </c:pt>
              </c:strCache>
            </c:strRef>
          </c:cat>
          <c:val>
            <c:numRef>
              <c:f>'WTP Main'!$D$187</c:f>
              <c:numCache>
                <c:formatCode>"£"#,##0</c:formatCode>
                <c:ptCount val="1"/>
                <c:pt idx="0">
                  <c:v>31918.781568528757</c:v>
                </c:pt>
              </c:numCache>
            </c:numRef>
          </c:val>
          <c:extLst xmlns:c16r2="http://schemas.microsoft.com/office/drawing/2015/06/chart">
            <c:ext xmlns:c16="http://schemas.microsoft.com/office/drawing/2014/chart" uri="{C3380CC4-5D6E-409C-BE32-E72D297353CC}">
              <c16:uniqueId val="{00000000-3E51-414A-A979-EAF6AF3B2281}"/>
            </c:ext>
          </c:extLst>
        </c:ser>
        <c:ser>
          <c:idx val="1"/>
          <c:order val="1"/>
          <c:tx>
            <c:strRef>
              <c:f>'WTP Main'!$E$186</c:f>
              <c:strCache>
                <c:ptCount val="1"/>
                <c:pt idx="0">
                  <c:v>WTPCore_DCE</c:v>
                </c:pt>
              </c:strCache>
            </c:strRef>
          </c:tx>
          <c:spPr>
            <a:solidFill>
              <a:schemeClr val="accent4"/>
            </a:solidFill>
            <a:ln>
              <a:noFill/>
            </a:ln>
            <a:effectLst/>
          </c:spPr>
          <c:invertIfNegative val="0"/>
          <c:cat>
            <c:strRef>
              <c:f>'WTP Main'!$A$187</c:f>
              <c:strCache>
                <c:ptCount val="1"/>
                <c:pt idx="0">
                  <c:v>Leakage</c:v>
                </c:pt>
              </c:strCache>
            </c:strRef>
          </c:cat>
          <c:val>
            <c:numRef>
              <c:f>'WTP Main'!$E$187</c:f>
              <c:numCache>
                <c:formatCode>"£"#,##0</c:formatCode>
                <c:ptCount val="1"/>
                <c:pt idx="0">
                  <c:v>31319.148936170212</c:v>
                </c:pt>
              </c:numCache>
            </c:numRef>
          </c:val>
          <c:extLst xmlns:c16r2="http://schemas.microsoft.com/office/drawing/2015/06/chart">
            <c:ext xmlns:c16="http://schemas.microsoft.com/office/drawing/2014/chart" uri="{C3380CC4-5D6E-409C-BE32-E72D297353CC}">
              <c16:uniqueId val="{00000006-59C8-4B74-A38F-ADE5D22989BB}"/>
            </c:ext>
          </c:extLst>
        </c:ser>
        <c:ser>
          <c:idx val="2"/>
          <c:order val="2"/>
          <c:tx>
            <c:strRef>
              <c:f>'WTP Main'!$F$186</c:f>
              <c:strCache>
                <c:ptCount val="1"/>
                <c:pt idx="0">
                  <c:v>WTPCore_DCE2</c:v>
                </c:pt>
              </c:strCache>
            </c:strRef>
          </c:tx>
          <c:spPr>
            <a:solidFill>
              <a:schemeClr val="accent6"/>
            </a:solidFill>
            <a:ln>
              <a:noFill/>
            </a:ln>
            <a:effectLst/>
          </c:spPr>
          <c:invertIfNegative val="0"/>
          <c:cat>
            <c:strRef>
              <c:f>'WTP Main'!$A$187</c:f>
              <c:strCache>
                <c:ptCount val="1"/>
                <c:pt idx="0">
                  <c:v>Leakage</c:v>
                </c:pt>
              </c:strCache>
            </c:strRef>
          </c:cat>
          <c:val>
            <c:numRef>
              <c:f>'WTP Main'!$F$187</c:f>
              <c:numCache>
                <c:formatCode>"£"#,##0</c:formatCode>
                <c:ptCount val="1"/>
                <c:pt idx="0">
                  <c:v>26174.460418634368</c:v>
                </c:pt>
              </c:numCache>
            </c:numRef>
          </c:val>
          <c:extLst xmlns:c16r2="http://schemas.microsoft.com/office/drawing/2015/06/chart">
            <c:ext xmlns:c16="http://schemas.microsoft.com/office/drawing/2014/chart" uri="{C3380CC4-5D6E-409C-BE32-E72D297353CC}">
              <c16:uniqueId val="{00000007-59C8-4B74-A38F-ADE5D22989BB}"/>
            </c:ext>
          </c:extLst>
        </c:ser>
        <c:ser>
          <c:idx val="3"/>
          <c:order val="3"/>
          <c:tx>
            <c:strRef>
              <c:f>'WTP Main'!$G$186</c:f>
              <c:strCache>
                <c:ptCount val="1"/>
                <c:pt idx="0">
                  <c:v>WTP core_DCE_Private</c:v>
                </c:pt>
              </c:strCache>
            </c:strRef>
          </c:tx>
          <c:spPr>
            <a:solidFill>
              <a:schemeClr val="accent2">
                <a:lumMod val="60000"/>
              </a:schemeClr>
            </a:solidFill>
            <a:ln>
              <a:noFill/>
            </a:ln>
            <a:effectLst/>
          </c:spPr>
          <c:invertIfNegative val="0"/>
          <c:cat>
            <c:strRef>
              <c:f>'WTP Main'!$A$187</c:f>
              <c:strCache>
                <c:ptCount val="1"/>
                <c:pt idx="0">
                  <c:v>Leakage</c:v>
                </c:pt>
              </c:strCache>
            </c:strRef>
          </c:cat>
          <c:val>
            <c:numRef>
              <c:f>'WTP Main'!$G$187</c:f>
              <c:numCache>
                <c:formatCode>"£"#,##0</c:formatCode>
                <c:ptCount val="1"/>
                <c:pt idx="0">
                  <c:v>38209.361702127659</c:v>
                </c:pt>
              </c:numCache>
            </c:numRef>
          </c:val>
          <c:extLst xmlns:c16r2="http://schemas.microsoft.com/office/drawing/2015/06/chart">
            <c:ext xmlns:c16="http://schemas.microsoft.com/office/drawing/2014/chart" uri="{C3380CC4-5D6E-409C-BE32-E72D297353CC}">
              <c16:uniqueId val="{00000008-59C8-4B74-A38F-ADE5D22989BB}"/>
            </c:ext>
          </c:extLst>
        </c:ser>
        <c:ser>
          <c:idx val="4"/>
          <c:order val="4"/>
          <c:tx>
            <c:strRef>
              <c:f>'WTP Main'!$H$186</c:f>
              <c:strCache>
                <c:ptCount val="1"/>
                <c:pt idx="0">
                  <c:v>WTPCore_DCE2_LowBill</c:v>
                </c:pt>
              </c:strCache>
            </c:strRef>
          </c:tx>
          <c:spPr>
            <a:solidFill>
              <a:schemeClr val="accent4">
                <a:lumMod val="60000"/>
              </a:schemeClr>
            </a:solidFill>
            <a:ln>
              <a:noFill/>
            </a:ln>
            <a:effectLst/>
          </c:spPr>
          <c:invertIfNegative val="0"/>
          <c:cat>
            <c:strRef>
              <c:f>'WTP Main'!$A$187</c:f>
              <c:strCache>
                <c:ptCount val="1"/>
                <c:pt idx="0">
                  <c:v>Leakage</c:v>
                </c:pt>
              </c:strCache>
            </c:strRef>
          </c:cat>
          <c:val>
            <c:numRef>
              <c:f>'WTP Main'!$H$187</c:f>
              <c:numCache>
                <c:formatCode>"£"#,##0</c:formatCode>
                <c:ptCount val="1"/>
                <c:pt idx="0">
                  <c:v>10575.624844162328</c:v>
                </c:pt>
              </c:numCache>
            </c:numRef>
          </c:val>
          <c:extLst xmlns:c16r2="http://schemas.microsoft.com/office/drawing/2015/06/chart">
            <c:ext xmlns:c16="http://schemas.microsoft.com/office/drawing/2014/chart" uri="{C3380CC4-5D6E-409C-BE32-E72D297353CC}">
              <c16:uniqueId val="{00000009-59C8-4B74-A38F-ADE5D22989BB}"/>
            </c:ext>
          </c:extLst>
        </c:ser>
        <c:ser>
          <c:idx val="5"/>
          <c:order val="5"/>
          <c:tx>
            <c:strRef>
              <c:f>'WTP Main'!$J$186</c:f>
              <c:strCache>
                <c:ptCount val="1"/>
                <c:pt idx="0">
                  <c:v>ExternalWTP14</c:v>
                </c:pt>
              </c:strCache>
            </c:strRef>
          </c:tx>
          <c:spPr>
            <a:solidFill>
              <a:schemeClr val="accent6">
                <a:lumMod val="60000"/>
              </a:schemeClr>
            </a:solidFill>
            <a:ln>
              <a:noFill/>
            </a:ln>
            <a:effectLst/>
          </c:spPr>
          <c:invertIfNegative val="0"/>
          <c:cat>
            <c:strRef>
              <c:f>'WTP Main'!$A$187</c:f>
              <c:strCache>
                <c:ptCount val="1"/>
                <c:pt idx="0">
                  <c:v>Leakage</c:v>
                </c:pt>
              </c:strCache>
            </c:strRef>
          </c:cat>
          <c:val>
            <c:numRef>
              <c:f>'WTP Main'!$J$187</c:f>
              <c:numCache>
                <c:formatCode>"£"#,##0</c:formatCode>
                <c:ptCount val="1"/>
                <c:pt idx="0">
                  <c:v>45867.8631546092</c:v>
                </c:pt>
              </c:numCache>
            </c:numRef>
          </c:val>
          <c:extLst xmlns:c16r2="http://schemas.microsoft.com/office/drawing/2015/06/chart">
            <c:ext xmlns:c16="http://schemas.microsoft.com/office/drawing/2014/chart" uri="{C3380CC4-5D6E-409C-BE32-E72D297353CC}">
              <c16:uniqueId val="{00000000-3637-4870-BFAF-8B8BE67C12D8}"/>
            </c:ext>
          </c:extLst>
        </c:ser>
        <c:ser>
          <c:idx val="6"/>
          <c:order val="6"/>
          <c:tx>
            <c:strRef>
              <c:f>'WTP Main'!$K$186</c:f>
              <c:strCache>
                <c:ptCount val="1"/>
                <c:pt idx="0">
                  <c:v>ExternalWTP19</c:v>
                </c:pt>
              </c:strCache>
            </c:strRef>
          </c:tx>
          <c:spPr>
            <a:solidFill>
              <a:schemeClr val="accent2">
                <a:lumMod val="80000"/>
                <a:lumOff val="20000"/>
              </a:schemeClr>
            </a:solidFill>
            <a:ln>
              <a:noFill/>
            </a:ln>
            <a:effectLst/>
          </c:spPr>
          <c:invertIfNegative val="0"/>
          <c:cat>
            <c:strRef>
              <c:f>'WTP Main'!$A$187</c:f>
              <c:strCache>
                <c:ptCount val="1"/>
                <c:pt idx="0">
                  <c:v>Leakage</c:v>
                </c:pt>
              </c:strCache>
            </c:strRef>
          </c:cat>
          <c:val>
            <c:numRef>
              <c:f>'WTP Main'!$K$187</c:f>
              <c:numCache>
                <c:formatCode>"£"#,##0</c:formatCode>
                <c:ptCount val="1"/>
                <c:pt idx="0">
                  <c:v>82137.4490063673</c:v>
                </c:pt>
              </c:numCache>
            </c:numRef>
          </c:val>
          <c:extLst xmlns:c16r2="http://schemas.microsoft.com/office/drawing/2015/06/chart">
            <c:ext xmlns:c16="http://schemas.microsoft.com/office/drawing/2014/chart" uri="{C3380CC4-5D6E-409C-BE32-E72D297353CC}">
              <c16:uniqueId val="{00000001-3637-4870-BFAF-8B8BE67C12D8}"/>
            </c:ext>
          </c:extLst>
        </c:ser>
        <c:ser>
          <c:idx val="7"/>
          <c:order val="7"/>
          <c:tx>
            <c:strRef>
              <c:f>'WTP Main'!$L$186</c:f>
              <c:strCache>
                <c:ptCount val="1"/>
                <c:pt idx="0">
                  <c:v>WTPCore_MaxDiff</c:v>
                </c:pt>
              </c:strCache>
            </c:strRef>
          </c:tx>
          <c:spPr>
            <a:solidFill>
              <a:srgbClr val="FFFF00"/>
            </a:solidFill>
            <a:ln>
              <a:noFill/>
            </a:ln>
            <a:effectLst/>
          </c:spPr>
          <c:invertIfNegative val="0"/>
          <c:cat>
            <c:strRef>
              <c:f>'WTP Main'!$A$187</c:f>
              <c:strCache>
                <c:ptCount val="1"/>
                <c:pt idx="0">
                  <c:v>Leakage</c:v>
                </c:pt>
              </c:strCache>
            </c:strRef>
          </c:cat>
          <c:val>
            <c:numRef>
              <c:f>'WTP Main'!$L$187</c:f>
              <c:numCache>
                <c:formatCode>"£"#,##0</c:formatCode>
                <c:ptCount val="1"/>
                <c:pt idx="0">
                  <c:v>30485.03921540505</c:v>
                </c:pt>
              </c:numCache>
            </c:numRef>
          </c:val>
          <c:extLst xmlns:c16r2="http://schemas.microsoft.com/office/drawing/2015/06/chart">
            <c:ext xmlns:c16="http://schemas.microsoft.com/office/drawing/2014/chart" uri="{C3380CC4-5D6E-409C-BE32-E72D297353CC}">
              <c16:uniqueId val="{00000002-3637-4870-BFAF-8B8BE67C12D8}"/>
            </c:ext>
          </c:extLst>
        </c:ser>
        <c:ser>
          <c:idx val="8"/>
          <c:order val="8"/>
          <c:tx>
            <c:strRef>
              <c:f>'WTP Main'!$M$186</c:f>
              <c:strCache>
                <c:ptCount val="1"/>
                <c:pt idx="0">
                  <c:v>PC Slider</c:v>
                </c:pt>
              </c:strCache>
            </c:strRef>
          </c:tx>
          <c:spPr>
            <a:solidFill>
              <a:srgbClr val="FFC000"/>
            </a:solidFill>
            <a:ln>
              <a:noFill/>
            </a:ln>
            <a:effectLst/>
          </c:spPr>
          <c:invertIfNegative val="0"/>
          <c:cat>
            <c:strRef>
              <c:f>'WTP Main'!$A$187</c:f>
              <c:strCache>
                <c:ptCount val="1"/>
                <c:pt idx="0">
                  <c:v>Leakage</c:v>
                </c:pt>
              </c:strCache>
            </c:strRef>
          </c:cat>
          <c:val>
            <c:numRef>
              <c:f>'WTP Main'!$M$187</c:f>
              <c:numCache>
                <c:formatCode>"£"#,##0</c:formatCode>
                <c:ptCount val="1"/>
                <c:pt idx="0">
                  <c:v>15828.995612035655</c:v>
                </c:pt>
              </c:numCache>
            </c:numRef>
          </c:val>
          <c:extLst xmlns:c16r2="http://schemas.microsoft.com/office/drawing/2015/06/chart">
            <c:ext xmlns:c16="http://schemas.microsoft.com/office/drawing/2014/chart" uri="{C3380CC4-5D6E-409C-BE32-E72D297353CC}">
              <c16:uniqueId val="{00000003-3637-4870-BFAF-8B8BE67C12D8}"/>
            </c:ext>
          </c:extLst>
        </c:ser>
        <c:ser>
          <c:idx val="9"/>
          <c:order val="9"/>
          <c:tx>
            <c:strRef>
              <c:f>'WTP Main'!$N$186</c:f>
              <c:strCache>
                <c:ptCount val="1"/>
                <c:pt idx="0">
                  <c:v>Priorities</c:v>
                </c:pt>
              </c:strCache>
            </c:strRef>
          </c:tx>
          <c:spPr>
            <a:solidFill>
              <a:srgbClr val="92D050"/>
            </a:solidFill>
            <a:ln>
              <a:noFill/>
            </a:ln>
            <a:effectLst/>
          </c:spPr>
          <c:invertIfNegative val="0"/>
          <c:cat>
            <c:strRef>
              <c:f>'WTP Main'!$A$187</c:f>
              <c:strCache>
                <c:ptCount val="1"/>
                <c:pt idx="0">
                  <c:v>Leakage</c:v>
                </c:pt>
              </c:strCache>
            </c:strRef>
          </c:cat>
          <c:val>
            <c:numRef>
              <c:f>'WTP Main'!$N$187</c:f>
              <c:numCache>
                <c:formatCode>"£"#,##0</c:formatCode>
                <c:ptCount val="1"/>
                <c:pt idx="0">
                  <c:v>26705.369044429881</c:v>
                </c:pt>
              </c:numCache>
            </c:numRef>
          </c:val>
          <c:extLst xmlns:c16r2="http://schemas.microsoft.com/office/drawing/2015/06/chart">
            <c:ext xmlns:c16="http://schemas.microsoft.com/office/drawing/2014/chart" uri="{C3380CC4-5D6E-409C-BE32-E72D297353CC}">
              <c16:uniqueId val="{00000004-3637-4870-BFAF-8B8BE67C12D8}"/>
            </c:ext>
          </c:extLst>
        </c:ser>
        <c:ser>
          <c:idx val="10"/>
          <c:order val="10"/>
          <c:tx>
            <c:strRef>
              <c:f>'WTP Main'!$O$186</c:f>
              <c:strCache>
                <c:ptCount val="1"/>
                <c:pt idx="0">
                  <c:v>WRMP_online</c:v>
                </c:pt>
              </c:strCache>
            </c:strRef>
          </c:tx>
          <c:spPr>
            <a:solidFill>
              <a:schemeClr val="accent4">
                <a:lumMod val="80000"/>
              </a:schemeClr>
            </a:solidFill>
            <a:ln>
              <a:noFill/>
            </a:ln>
            <a:effectLst/>
          </c:spPr>
          <c:invertIfNegative val="0"/>
          <c:cat>
            <c:strRef>
              <c:f>'WTP Main'!$A$187</c:f>
              <c:strCache>
                <c:ptCount val="1"/>
                <c:pt idx="0">
                  <c:v>Leakage</c:v>
                </c:pt>
              </c:strCache>
            </c:strRef>
          </c:cat>
          <c:val>
            <c:numRef>
              <c:f>'WTP Main'!$O$187</c:f>
              <c:numCache>
                <c:formatCode>"£"#,##0</c:formatCode>
                <c:ptCount val="1"/>
                <c:pt idx="0">
                  <c:v>29046.089044386084</c:v>
                </c:pt>
              </c:numCache>
            </c:numRef>
          </c:val>
          <c:extLst xmlns:c16r2="http://schemas.microsoft.com/office/drawing/2015/06/chart">
            <c:ext xmlns:c16="http://schemas.microsoft.com/office/drawing/2014/chart" uri="{C3380CC4-5D6E-409C-BE32-E72D297353CC}">
              <c16:uniqueId val="{00000005-3637-4870-BFAF-8B8BE67C12D8}"/>
            </c:ext>
          </c:extLst>
        </c:ser>
        <c:ser>
          <c:idx val="11"/>
          <c:order val="11"/>
          <c:tx>
            <c:strRef>
              <c:f>'WTP Main'!$P$186</c:f>
              <c:strCache>
                <c:ptCount val="1"/>
                <c:pt idx="0">
                  <c:v>WRMP_workshop</c:v>
                </c:pt>
              </c:strCache>
            </c:strRef>
          </c:tx>
          <c:spPr>
            <a:solidFill>
              <a:srgbClr val="FF66CC"/>
            </a:solidFill>
            <a:ln>
              <a:noFill/>
            </a:ln>
            <a:effectLst/>
          </c:spPr>
          <c:invertIfNegative val="0"/>
          <c:cat>
            <c:strRef>
              <c:f>'WTP Main'!$A$187</c:f>
              <c:strCache>
                <c:ptCount val="1"/>
                <c:pt idx="0">
                  <c:v>Leakage</c:v>
                </c:pt>
              </c:strCache>
            </c:strRef>
          </c:cat>
          <c:val>
            <c:numRef>
              <c:f>'WTP Main'!$P$187</c:f>
              <c:numCache>
                <c:formatCode>"£"#,##0</c:formatCode>
                <c:ptCount val="1"/>
                <c:pt idx="0">
                  <c:v>44629.458292744872</c:v>
                </c:pt>
              </c:numCache>
            </c:numRef>
          </c:val>
          <c:extLst xmlns:c16r2="http://schemas.microsoft.com/office/drawing/2015/06/chart">
            <c:ext xmlns:c16="http://schemas.microsoft.com/office/drawing/2014/chart" uri="{C3380CC4-5D6E-409C-BE32-E72D297353CC}">
              <c16:uniqueId val="{00000006-3637-4870-BFAF-8B8BE67C12D8}"/>
            </c:ext>
          </c:extLst>
        </c:ser>
        <c:dLbls>
          <c:showLegendKey val="0"/>
          <c:showVal val="0"/>
          <c:showCatName val="0"/>
          <c:showSerName val="0"/>
          <c:showPercent val="0"/>
          <c:showBubbleSize val="0"/>
        </c:dLbls>
        <c:gapWidth val="219"/>
        <c:overlap val="-27"/>
        <c:axId val="1334964672"/>
        <c:axId val="1334976640"/>
        <c:extLst xmlns:c16r2="http://schemas.microsoft.com/office/drawing/2015/06/chart"/>
      </c:barChart>
      <c:catAx>
        <c:axId val="1334964672"/>
        <c:scaling>
          <c:orientation val="minMax"/>
        </c:scaling>
        <c:delete val="1"/>
        <c:axPos val="b"/>
        <c:numFmt formatCode="General" sourceLinked="1"/>
        <c:majorTickMark val="none"/>
        <c:minorTickMark val="none"/>
        <c:tickLblPos val="nextTo"/>
        <c:crossAx val="1334976640"/>
        <c:crosses val="autoZero"/>
        <c:auto val="1"/>
        <c:lblAlgn val="ctr"/>
        <c:lblOffset val="100"/>
        <c:noMultiLvlLbl val="0"/>
      </c:catAx>
      <c:valAx>
        <c:axId val="1334976640"/>
        <c:scaling>
          <c:orientation val="minMax"/>
          <c:max val="2500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4964672"/>
        <c:crosses val="autoZero"/>
        <c:crossBetween val="between"/>
      </c:valAx>
      <c:spPr>
        <a:noFill/>
        <a:ln>
          <a:noFill/>
        </a:ln>
        <a:effectLst/>
      </c:spPr>
    </c:plotArea>
    <c:legend>
      <c:legendPos val="b"/>
      <c:layout>
        <c:manualLayout>
          <c:xMode val="edge"/>
          <c:yMode val="edge"/>
          <c:x val="6.3250142450142446E-2"/>
          <c:y val="0.86648485008585385"/>
          <c:w val="0.89934236658490696"/>
          <c:h val="0.12757223787608019"/>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HH WTP Unit Values and Range</a:t>
            </a:r>
            <a:r>
              <a:rPr lang="en-US" b="1" baseline="0"/>
              <a:t> - Metering (£/HH metered/yr)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5.5727638407207028E-2"/>
          <c:y val="9.9871974491521326E-2"/>
          <c:w val="0.93147568737239395"/>
          <c:h val="0.70293291823644966"/>
        </c:manualLayout>
      </c:layout>
      <c:barChart>
        <c:barDir val="col"/>
        <c:grouping val="clustered"/>
        <c:varyColors val="0"/>
        <c:ser>
          <c:idx val="0"/>
          <c:order val="0"/>
          <c:tx>
            <c:strRef>
              <c:f>'WTP Main'!$D$218</c:f>
              <c:strCache>
                <c:ptCount val="1"/>
                <c:pt idx="0">
                  <c:v>COMBINED</c:v>
                </c:pt>
              </c:strCache>
            </c:strRef>
          </c:tx>
          <c:spPr>
            <a:solidFill>
              <a:schemeClr val="accent2"/>
            </a:solidFill>
            <a:ln>
              <a:noFill/>
            </a:ln>
            <a:effectLst/>
          </c:spPr>
          <c:invertIfNegative val="0"/>
          <c:errBars>
            <c:errBarType val="both"/>
            <c:errValType val="cust"/>
            <c:noEndCap val="0"/>
            <c:plus>
              <c:numRef>
                <c:f>'WTP Main'!$O$219:$O$220</c:f>
                <c:numCache>
                  <c:formatCode>General</c:formatCode>
                  <c:ptCount val="2"/>
                  <c:pt idx="0">
                    <c:v>14.656232692323579</c:v>
                  </c:pt>
                  <c:pt idx="1">
                    <c:v>0.35198850894798578</c:v>
                  </c:pt>
                </c:numCache>
              </c:numRef>
            </c:plus>
            <c:minus>
              <c:numRef>
                <c:f>'WTP Main'!$N$219:$N$220</c:f>
                <c:numCache>
                  <c:formatCode>General</c:formatCode>
                  <c:ptCount val="2"/>
                  <c:pt idx="0">
                    <c:v>7.3029644118503594</c:v>
                  </c:pt>
                  <c:pt idx="1">
                    <c:v>0.16243269052751447</c:v>
                  </c:pt>
                </c:numCache>
              </c:numRef>
            </c:minus>
            <c:spPr>
              <a:noFill/>
              <a:ln w="9525" cap="flat" cmpd="sng" algn="ctr">
                <a:solidFill>
                  <a:sysClr val="windowText" lastClr="000000"/>
                </a:solidFill>
                <a:round/>
              </a:ln>
              <a:effectLst/>
            </c:spPr>
          </c:errBars>
          <c:cat>
            <c:strRef>
              <c:f>'WTP Main'!$A$219:$A$220</c:f>
              <c:strCache>
                <c:ptCount val="2"/>
                <c:pt idx="0">
                  <c:v>Water metering</c:v>
                </c:pt>
                <c:pt idx="1">
                  <c:v>Giving customers control of their water usage</c:v>
                </c:pt>
              </c:strCache>
            </c:strRef>
          </c:cat>
          <c:val>
            <c:numRef>
              <c:f>'WTP Main'!$D$219:$D$220</c:f>
              <c:numCache>
                <c:formatCode>"£"#,##0.00</c:formatCode>
                <c:ptCount val="2"/>
                <c:pt idx="0" formatCode="&quot;£&quot;#,##0">
                  <c:v>10.690109023584879</c:v>
                </c:pt>
                <c:pt idx="1">
                  <c:v>0.44495840011230475</c:v>
                </c:pt>
              </c:numCache>
            </c:numRef>
          </c:val>
          <c:extLst xmlns:c16r2="http://schemas.microsoft.com/office/drawing/2015/06/chart">
            <c:ext xmlns:c16="http://schemas.microsoft.com/office/drawing/2014/chart" uri="{C3380CC4-5D6E-409C-BE32-E72D297353CC}">
              <c16:uniqueId val="{00000000-98B2-4694-A075-D97435938856}"/>
            </c:ext>
          </c:extLst>
        </c:ser>
        <c:ser>
          <c:idx val="1"/>
          <c:order val="1"/>
          <c:tx>
            <c:strRef>
              <c:f>'WTP Main'!$E$218</c:f>
              <c:strCache>
                <c:ptCount val="1"/>
                <c:pt idx="0">
                  <c:v>WTPCore_DCE</c:v>
                </c:pt>
              </c:strCache>
            </c:strRef>
          </c:tx>
          <c:spPr>
            <a:solidFill>
              <a:schemeClr val="accent4"/>
            </a:solidFill>
            <a:ln>
              <a:noFill/>
            </a:ln>
            <a:effectLst/>
          </c:spPr>
          <c:invertIfNegative val="0"/>
          <c:cat>
            <c:strRef>
              <c:f>'WTP Main'!$A$219:$A$220</c:f>
              <c:strCache>
                <c:ptCount val="2"/>
                <c:pt idx="0">
                  <c:v>Water metering</c:v>
                </c:pt>
                <c:pt idx="1">
                  <c:v>Giving customers control of their water usage</c:v>
                </c:pt>
              </c:strCache>
            </c:strRef>
          </c:cat>
          <c:val>
            <c:numRef>
              <c:f>'WTP Main'!$E$219:$E$220</c:f>
              <c:numCache>
                <c:formatCode>"£"#,##0.00</c:formatCode>
                <c:ptCount val="2"/>
                <c:pt idx="0" formatCode="&quot;£&quot;#,##0">
                  <c:v>1.7719298245614032</c:v>
                </c:pt>
                <c:pt idx="1">
                  <c:v>0.44199999999999995</c:v>
                </c:pt>
              </c:numCache>
            </c:numRef>
          </c:val>
          <c:extLst xmlns:c16r2="http://schemas.microsoft.com/office/drawing/2015/06/chart">
            <c:ext xmlns:c16="http://schemas.microsoft.com/office/drawing/2014/chart" uri="{C3380CC4-5D6E-409C-BE32-E72D297353CC}">
              <c16:uniqueId val="{0000000C-8C99-4B38-89C3-6D33843D17B7}"/>
            </c:ext>
          </c:extLst>
        </c:ser>
        <c:ser>
          <c:idx val="2"/>
          <c:order val="2"/>
          <c:tx>
            <c:strRef>
              <c:f>'WTP Main'!$F$218</c:f>
              <c:strCache>
                <c:ptCount val="1"/>
                <c:pt idx="0">
                  <c:v>WTPCore_DCE2</c:v>
                </c:pt>
              </c:strCache>
            </c:strRef>
          </c:tx>
          <c:spPr>
            <a:solidFill>
              <a:schemeClr val="accent6"/>
            </a:solidFill>
            <a:ln>
              <a:noFill/>
            </a:ln>
            <a:effectLst/>
          </c:spPr>
          <c:invertIfNegative val="0"/>
          <c:cat>
            <c:strRef>
              <c:f>'WTP Main'!$A$219:$A$220</c:f>
              <c:strCache>
                <c:ptCount val="2"/>
                <c:pt idx="0">
                  <c:v>Water metering</c:v>
                </c:pt>
                <c:pt idx="1">
                  <c:v>Giving customers control of their water usage</c:v>
                </c:pt>
              </c:strCache>
            </c:strRef>
          </c:cat>
          <c:val>
            <c:numRef>
              <c:f>'WTP Main'!$F$219:$F$220</c:f>
              <c:numCache>
                <c:formatCode>"£"#,##0.00</c:formatCode>
                <c:ptCount val="2"/>
                <c:pt idx="0" formatCode="&quot;£&quot;#,##0">
                  <c:v>26.493731890352418</c:v>
                </c:pt>
              </c:numCache>
            </c:numRef>
          </c:val>
          <c:extLst xmlns:c16r2="http://schemas.microsoft.com/office/drawing/2015/06/chart">
            <c:ext xmlns:c16="http://schemas.microsoft.com/office/drawing/2014/chart" uri="{C3380CC4-5D6E-409C-BE32-E72D297353CC}">
              <c16:uniqueId val="{0000000D-8C99-4B38-89C3-6D33843D17B7}"/>
            </c:ext>
          </c:extLst>
        </c:ser>
        <c:ser>
          <c:idx val="3"/>
          <c:order val="3"/>
          <c:tx>
            <c:strRef>
              <c:f>'WTP Main'!$G$218</c:f>
              <c:strCache>
                <c:ptCount val="1"/>
                <c:pt idx="0">
                  <c:v>WTP core_DCE_Private</c:v>
                </c:pt>
              </c:strCache>
            </c:strRef>
          </c:tx>
          <c:spPr>
            <a:solidFill>
              <a:schemeClr val="accent2">
                <a:lumMod val="60000"/>
              </a:schemeClr>
            </a:solidFill>
            <a:ln>
              <a:noFill/>
            </a:ln>
            <a:effectLst/>
          </c:spPr>
          <c:invertIfNegative val="0"/>
          <c:cat>
            <c:strRef>
              <c:f>'WTP Main'!$A$219:$A$220</c:f>
              <c:strCache>
                <c:ptCount val="2"/>
                <c:pt idx="0">
                  <c:v>Water metering</c:v>
                </c:pt>
                <c:pt idx="1">
                  <c:v>Giving customers control of their water usage</c:v>
                </c:pt>
              </c:strCache>
            </c:strRef>
          </c:cat>
          <c:val>
            <c:numRef>
              <c:f>'WTP Main'!$G$219:$G$220</c:f>
              <c:numCache>
                <c:formatCode>"£"#,##0.00</c:formatCode>
                <c:ptCount val="2"/>
                <c:pt idx="0" formatCode="&quot;£&quot;#,##0">
                  <c:v>1.6140350877192977</c:v>
                </c:pt>
                <c:pt idx="1">
                  <c:v>0.40200000000000002</c:v>
                </c:pt>
              </c:numCache>
            </c:numRef>
          </c:val>
          <c:extLst xmlns:c16r2="http://schemas.microsoft.com/office/drawing/2015/06/chart">
            <c:ext xmlns:c16="http://schemas.microsoft.com/office/drawing/2014/chart" uri="{C3380CC4-5D6E-409C-BE32-E72D297353CC}">
              <c16:uniqueId val="{0000000E-8C99-4B38-89C3-6D33843D17B7}"/>
            </c:ext>
          </c:extLst>
        </c:ser>
        <c:ser>
          <c:idx val="4"/>
          <c:order val="4"/>
          <c:tx>
            <c:strRef>
              <c:f>'WTP Main'!$H$218</c:f>
              <c:strCache>
                <c:ptCount val="1"/>
                <c:pt idx="0">
                  <c:v>WTPCore_DCE2_LowBill</c:v>
                </c:pt>
              </c:strCache>
            </c:strRef>
          </c:tx>
          <c:spPr>
            <a:solidFill>
              <a:schemeClr val="accent4">
                <a:lumMod val="60000"/>
              </a:schemeClr>
            </a:solidFill>
            <a:ln>
              <a:noFill/>
            </a:ln>
            <a:effectLst/>
          </c:spPr>
          <c:invertIfNegative val="0"/>
          <c:cat>
            <c:strRef>
              <c:f>'WTP Main'!$A$219:$A$220</c:f>
              <c:strCache>
                <c:ptCount val="2"/>
                <c:pt idx="0">
                  <c:v>Water metering</c:v>
                </c:pt>
                <c:pt idx="1">
                  <c:v>Giving customers control of their water usage</c:v>
                </c:pt>
              </c:strCache>
            </c:strRef>
          </c:cat>
          <c:val>
            <c:numRef>
              <c:f>'WTP Main'!$H$219:$H$220</c:f>
              <c:numCache>
                <c:formatCode>"£"#,##0.00</c:formatCode>
                <c:ptCount val="2"/>
                <c:pt idx="0" formatCode="&quot;£&quot;#,##0">
                  <c:v>23.049146180227552</c:v>
                </c:pt>
              </c:numCache>
            </c:numRef>
          </c:val>
          <c:extLst xmlns:c16r2="http://schemas.microsoft.com/office/drawing/2015/06/chart">
            <c:ext xmlns:c16="http://schemas.microsoft.com/office/drawing/2014/chart" uri="{C3380CC4-5D6E-409C-BE32-E72D297353CC}">
              <c16:uniqueId val="{0000000F-8C99-4B38-89C3-6D33843D17B7}"/>
            </c:ext>
          </c:extLst>
        </c:ser>
        <c:ser>
          <c:idx val="5"/>
          <c:order val="5"/>
          <c:tx>
            <c:strRef>
              <c:f>'WTP Main'!$J$218</c:f>
              <c:strCache>
                <c:ptCount val="1"/>
                <c:pt idx="0">
                  <c:v>ExternalWTP19</c:v>
                </c:pt>
              </c:strCache>
            </c:strRef>
          </c:tx>
          <c:spPr>
            <a:solidFill>
              <a:schemeClr val="accent6">
                <a:lumMod val="60000"/>
              </a:schemeClr>
            </a:solidFill>
            <a:ln>
              <a:noFill/>
            </a:ln>
            <a:effectLst/>
          </c:spPr>
          <c:invertIfNegative val="0"/>
          <c:cat>
            <c:strRef>
              <c:f>'WTP Main'!$A$219:$A$220</c:f>
              <c:strCache>
                <c:ptCount val="2"/>
                <c:pt idx="0">
                  <c:v>Water metering</c:v>
                </c:pt>
                <c:pt idx="1">
                  <c:v>Giving customers control of their water usage</c:v>
                </c:pt>
              </c:strCache>
            </c:strRef>
          </c:cat>
          <c:val>
            <c:numRef>
              <c:f>'WTP Main'!$J$219:$J$220</c:f>
              <c:numCache>
                <c:formatCode>"£"#,##0.00</c:formatCode>
                <c:ptCount val="2"/>
                <c:pt idx="0">
                  <c:v>3.5280159685623818</c:v>
                </c:pt>
              </c:numCache>
            </c:numRef>
          </c:val>
          <c:extLst xmlns:c16r2="http://schemas.microsoft.com/office/drawing/2015/06/chart">
            <c:ext xmlns:c16="http://schemas.microsoft.com/office/drawing/2014/chart" uri="{C3380CC4-5D6E-409C-BE32-E72D297353CC}">
              <c16:uniqueId val="{00000000-FF12-4FE5-8AC8-870FD8F0097E}"/>
            </c:ext>
          </c:extLst>
        </c:ser>
        <c:ser>
          <c:idx val="6"/>
          <c:order val="6"/>
          <c:tx>
            <c:strRef>
              <c:f>'WTP Main'!$K$218</c:f>
              <c:strCache>
                <c:ptCount val="1"/>
                <c:pt idx="0">
                  <c:v>WTPCore_MaxDiff</c:v>
                </c:pt>
              </c:strCache>
            </c:strRef>
          </c:tx>
          <c:spPr>
            <a:solidFill>
              <a:schemeClr val="accent2">
                <a:lumMod val="80000"/>
                <a:lumOff val="20000"/>
              </a:schemeClr>
            </a:solidFill>
            <a:ln>
              <a:noFill/>
            </a:ln>
            <a:effectLst/>
          </c:spPr>
          <c:invertIfNegative val="0"/>
          <c:cat>
            <c:strRef>
              <c:f>'WTP Main'!$A$219:$A$220</c:f>
              <c:strCache>
                <c:ptCount val="2"/>
                <c:pt idx="0">
                  <c:v>Water metering</c:v>
                </c:pt>
                <c:pt idx="1">
                  <c:v>Giving customers control of their water usage</c:v>
                </c:pt>
              </c:strCache>
            </c:strRef>
          </c:cat>
          <c:val>
            <c:numRef>
              <c:f>'WTP Main'!$K$219:$K$220</c:f>
              <c:numCache>
                <c:formatCode>"£"#,##0.00</c:formatCode>
                <c:ptCount val="2"/>
                <c:pt idx="0">
                  <c:v>3.0647590035788905</c:v>
                </c:pt>
                <c:pt idx="1">
                  <c:v>0.24191753695291163</c:v>
                </c:pt>
              </c:numCache>
            </c:numRef>
          </c:val>
          <c:extLst xmlns:c16r2="http://schemas.microsoft.com/office/drawing/2015/06/chart">
            <c:ext xmlns:c16="http://schemas.microsoft.com/office/drawing/2014/chart" uri="{C3380CC4-5D6E-409C-BE32-E72D297353CC}">
              <c16:uniqueId val="{00000001-FF12-4FE5-8AC8-870FD8F0097E}"/>
            </c:ext>
          </c:extLst>
        </c:ser>
        <c:ser>
          <c:idx val="7"/>
          <c:order val="7"/>
          <c:tx>
            <c:strRef>
              <c:f>'WTP Main'!$L$218</c:f>
              <c:strCache>
                <c:ptCount val="1"/>
                <c:pt idx="0">
                  <c:v>WRMP_online</c:v>
                </c:pt>
              </c:strCache>
            </c:strRef>
          </c:tx>
          <c:spPr>
            <a:solidFill>
              <a:srgbClr val="92D050"/>
            </a:solidFill>
            <a:ln>
              <a:noFill/>
            </a:ln>
            <a:effectLst/>
          </c:spPr>
          <c:invertIfNegative val="0"/>
          <c:cat>
            <c:strRef>
              <c:f>'WTP Main'!$A$219:$A$220</c:f>
              <c:strCache>
                <c:ptCount val="2"/>
                <c:pt idx="0">
                  <c:v>Water metering</c:v>
                </c:pt>
                <c:pt idx="1">
                  <c:v>Giving customers control of their water usage</c:v>
                </c:pt>
              </c:strCache>
            </c:strRef>
          </c:cat>
          <c:val>
            <c:numRef>
              <c:f>'WTP Main'!$L$219:$L$220</c:f>
              <c:numCache>
                <c:formatCode>"£"#,##0.00</c:formatCode>
                <c:ptCount val="2"/>
                <c:pt idx="0" formatCode="&quot;£&quot;#,##0">
                  <c:v>0</c:v>
                </c:pt>
                <c:pt idx="1">
                  <c:v>0.42288809069532801</c:v>
                </c:pt>
              </c:numCache>
            </c:numRef>
          </c:val>
          <c:extLst xmlns:c16r2="http://schemas.microsoft.com/office/drawing/2015/06/chart">
            <c:ext xmlns:c16="http://schemas.microsoft.com/office/drawing/2014/chart" uri="{C3380CC4-5D6E-409C-BE32-E72D297353CC}">
              <c16:uniqueId val="{00000002-FF12-4FE5-8AC8-870FD8F0097E}"/>
            </c:ext>
          </c:extLst>
        </c:ser>
        <c:ser>
          <c:idx val="8"/>
          <c:order val="8"/>
          <c:tx>
            <c:strRef>
              <c:f>'WTP Main'!$M$218</c:f>
              <c:strCache>
                <c:ptCount val="1"/>
                <c:pt idx="0">
                  <c:v>WRMP_workshop</c:v>
                </c:pt>
              </c:strCache>
            </c:strRef>
          </c:tx>
          <c:spPr>
            <a:solidFill>
              <a:srgbClr val="FF66CC"/>
            </a:solidFill>
            <a:ln>
              <a:noFill/>
            </a:ln>
            <a:effectLst/>
          </c:spPr>
          <c:invertIfNegative val="0"/>
          <c:cat>
            <c:strRef>
              <c:f>'WTP Main'!$A$219:$A$220</c:f>
              <c:strCache>
                <c:ptCount val="2"/>
                <c:pt idx="0">
                  <c:v>Water metering</c:v>
                </c:pt>
                <c:pt idx="1">
                  <c:v>Giving customers control of their water usage</c:v>
                </c:pt>
              </c:strCache>
            </c:strRef>
          </c:cat>
          <c:val>
            <c:numRef>
              <c:f>'WTP Main'!$M$219:$M$220</c:f>
              <c:numCache>
                <c:formatCode>"£"#,##0</c:formatCode>
                <c:ptCount val="2"/>
                <c:pt idx="0">
                  <c:v>5.561127447643095</c:v>
                </c:pt>
                <c:pt idx="1">
                  <c:v>0.88494403629728691</c:v>
                </c:pt>
              </c:numCache>
            </c:numRef>
          </c:val>
          <c:extLst xmlns:c16r2="http://schemas.microsoft.com/office/drawing/2015/06/chart">
            <c:ext xmlns:c16="http://schemas.microsoft.com/office/drawing/2014/chart" uri="{C3380CC4-5D6E-409C-BE32-E72D297353CC}">
              <c16:uniqueId val="{00000003-FF12-4FE5-8AC8-870FD8F0097E}"/>
            </c:ext>
          </c:extLst>
        </c:ser>
        <c:dLbls>
          <c:showLegendKey val="0"/>
          <c:showVal val="0"/>
          <c:showCatName val="0"/>
          <c:showSerName val="0"/>
          <c:showPercent val="0"/>
          <c:showBubbleSize val="0"/>
        </c:dLbls>
        <c:gapWidth val="219"/>
        <c:overlap val="-27"/>
        <c:axId val="1334969568"/>
        <c:axId val="1334969024"/>
        <c:extLst xmlns:c16r2="http://schemas.microsoft.com/office/drawing/2015/06/chart"/>
      </c:barChart>
      <c:catAx>
        <c:axId val="13349695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4969024"/>
        <c:crosses val="autoZero"/>
        <c:auto val="1"/>
        <c:lblAlgn val="ctr"/>
        <c:lblOffset val="100"/>
        <c:noMultiLvlLbl val="0"/>
      </c:catAx>
      <c:valAx>
        <c:axId val="1334969024"/>
        <c:scaling>
          <c:orientation val="minMax"/>
          <c:max val="3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4969568"/>
        <c:crosses val="autoZero"/>
        <c:crossBetween val="between"/>
      </c:valAx>
      <c:spPr>
        <a:noFill/>
        <a:ln>
          <a:noFill/>
        </a:ln>
        <a:effectLst/>
      </c:spPr>
    </c:plotArea>
    <c:legend>
      <c:legendPos val="b"/>
      <c:layout>
        <c:manualLayout>
          <c:xMode val="edge"/>
          <c:yMode val="edge"/>
          <c:x val="4.894704989026645E-2"/>
          <c:y val="0.8699414080042267"/>
          <c:w val="0.90360836458688487"/>
          <c:h val="0.1236831065909391"/>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WRMP Triangulated Values and Range</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6">
                <a:lumMod val="20000"/>
                <a:lumOff val="80000"/>
              </a:schemeClr>
            </a:solidFill>
            <a:ln>
              <a:noFill/>
            </a:ln>
            <a:effectLst/>
          </c:spPr>
          <c:invertIfNegative val="0"/>
          <c:errBars>
            <c:errBarType val="both"/>
            <c:errValType val="cust"/>
            <c:noEndCap val="0"/>
            <c:plus>
              <c:numRef>
                <c:f>'WRMP Main'!$AJ$30:$AJ$37</c:f>
                <c:numCache>
                  <c:formatCode>General</c:formatCode>
                  <c:ptCount val="8"/>
                  <c:pt idx="0">
                    <c:v>3.0847072321848579</c:v>
                  </c:pt>
                  <c:pt idx="1">
                    <c:v>15.353518637006218</c:v>
                  </c:pt>
                  <c:pt idx="2">
                    <c:v>8.9023071330170396</c:v>
                  </c:pt>
                  <c:pt idx="3">
                    <c:v>6.1036926131812326</c:v>
                  </c:pt>
                  <c:pt idx="4">
                    <c:v>2.103325650531362</c:v>
                  </c:pt>
                  <c:pt idx="5">
                    <c:v>0.9623321280560706</c:v>
                  </c:pt>
                  <c:pt idx="6">
                    <c:v>2.3801838127287791</c:v>
                  </c:pt>
                </c:numCache>
              </c:numRef>
            </c:plus>
            <c:minus>
              <c:numRef>
                <c:f>'WRMP Main'!$AI$30:$AI$37</c:f>
                <c:numCache>
                  <c:formatCode>General</c:formatCode>
                  <c:ptCount val="8"/>
                  <c:pt idx="0">
                    <c:v>3.0847072321848579</c:v>
                  </c:pt>
                  <c:pt idx="1">
                    <c:v>16.830339311595566</c:v>
                  </c:pt>
                  <c:pt idx="2">
                    <c:v>11.201169588267909</c:v>
                  </c:pt>
                  <c:pt idx="3">
                    <c:v>5.976688614135595</c:v>
                  </c:pt>
                  <c:pt idx="4">
                    <c:v>5.8273232406528814</c:v>
                  </c:pt>
                  <c:pt idx="5">
                    <c:v>0.96233212805607415</c:v>
                  </c:pt>
                  <c:pt idx="6">
                    <c:v>2.38018381272878</c:v>
                  </c:pt>
                </c:numCache>
              </c:numRef>
            </c:minus>
            <c:spPr>
              <a:noFill/>
              <a:ln w="9525" cap="flat" cmpd="sng" algn="ctr">
                <a:solidFill>
                  <a:sysClr val="windowText" lastClr="000000"/>
                </a:solidFill>
                <a:round/>
              </a:ln>
              <a:effectLst/>
            </c:spPr>
          </c:errBars>
          <c:cat>
            <c:strRef>
              <c:f>'WRMP Main'!$AG$30:$AG$36</c:f>
              <c:strCache>
                <c:ptCount val="7"/>
                <c:pt idx="0">
                  <c:v>Building a new water reservoir</c:v>
                </c:pt>
                <c:pt idx="1">
                  <c:v>Reducing leakage</c:v>
                </c:pt>
                <c:pt idx="2">
                  <c:v>Installing smart meters</c:v>
                </c:pt>
                <c:pt idx="3">
                  <c:v>Increased metering (not smart meters)</c:v>
                </c:pt>
                <c:pt idx="4">
                  <c:v>Reducing customer water usage/More education campaigns</c:v>
                </c:pt>
                <c:pt idx="5">
                  <c:v>Trading with another water company</c:v>
                </c:pt>
                <c:pt idx="6">
                  <c:v>Taking more groundwater </c:v>
                </c:pt>
              </c:strCache>
            </c:strRef>
          </c:cat>
          <c:val>
            <c:numRef>
              <c:f>'WRMP Main'!$AH$30:$AH$36</c:f>
              <c:numCache>
                <c:formatCode>0.0</c:formatCode>
                <c:ptCount val="7"/>
                <c:pt idx="0">
                  <c:v>18.507867301480708</c:v>
                </c:pt>
                <c:pt idx="1">
                  <c:v>18.15997734669606</c:v>
                </c:pt>
                <c:pt idx="2">
                  <c:v>16.481352502169464</c:v>
                </c:pt>
                <c:pt idx="3">
                  <c:v>14.516468860023183</c:v>
                </c:pt>
                <c:pt idx="4">
                  <c:v>13.227174109817229</c:v>
                </c:pt>
                <c:pt idx="5">
                  <c:v>12.051480776693191</c:v>
                </c:pt>
                <c:pt idx="6">
                  <c:v>7.0556791031201538</c:v>
                </c:pt>
              </c:numCache>
            </c:numRef>
          </c:val>
          <c:extLst xmlns:c16r2="http://schemas.microsoft.com/office/drawing/2015/06/chart">
            <c:ext xmlns:c16="http://schemas.microsoft.com/office/drawing/2014/chart" uri="{C3380CC4-5D6E-409C-BE32-E72D297353CC}">
              <c16:uniqueId val="{00000000-D1DE-4822-988A-97F311168C8F}"/>
            </c:ext>
          </c:extLst>
        </c:ser>
        <c:dLbls>
          <c:showLegendKey val="0"/>
          <c:showVal val="0"/>
          <c:showCatName val="0"/>
          <c:showSerName val="0"/>
          <c:showPercent val="0"/>
          <c:showBubbleSize val="0"/>
        </c:dLbls>
        <c:gapWidth val="219"/>
        <c:overlap val="-27"/>
        <c:axId val="1186713264"/>
        <c:axId val="1186723056"/>
      </c:barChart>
      <c:catAx>
        <c:axId val="1186713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6723056"/>
        <c:crosses val="autoZero"/>
        <c:auto val="1"/>
        <c:lblAlgn val="ctr"/>
        <c:lblOffset val="100"/>
        <c:noMultiLvlLbl val="0"/>
      </c:catAx>
      <c:valAx>
        <c:axId val="1186723056"/>
        <c:scaling>
          <c:orientation val="minMax"/>
          <c:max val="4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6713264"/>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HH WTP Unit Values and Range</a:t>
            </a:r>
            <a:r>
              <a:rPr lang="en-US" b="1" baseline="0"/>
              <a:t> - Environmental Protection (£/Hectare/yr)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Main'!$D$250</c:f>
              <c:strCache>
                <c:ptCount val="1"/>
                <c:pt idx="0">
                  <c:v>COMBINED</c:v>
                </c:pt>
              </c:strCache>
            </c:strRef>
          </c:tx>
          <c:spPr>
            <a:solidFill>
              <a:schemeClr val="accent2"/>
            </a:solidFill>
            <a:ln>
              <a:noFill/>
            </a:ln>
            <a:effectLst/>
          </c:spPr>
          <c:invertIfNegative val="0"/>
          <c:errBars>
            <c:errBarType val="both"/>
            <c:errValType val="cust"/>
            <c:noEndCap val="0"/>
            <c:plus>
              <c:numRef>
                <c:f>'WTP Main'!$R$251:$R$252</c:f>
                <c:numCache>
                  <c:formatCode>General</c:formatCode>
                  <c:ptCount val="2"/>
                  <c:pt idx="0">
                    <c:v>11383.728195180354</c:v>
                  </c:pt>
                  <c:pt idx="1">
                    <c:v>2587.662458585246</c:v>
                  </c:pt>
                </c:numCache>
              </c:numRef>
            </c:plus>
            <c:minus>
              <c:numRef>
                <c:f>'WTP Main'!$Q$251:$Q$252</c:f>
                <c:numCache>
                  <c:formatCode>General</c:formatCode>
                  <c:ptCount val="2"/>
                  <c:pt idx="0">
                    <c:v>6551.2942682849989</c:v>
                  </c:pt>
                  <c:pt idx="1">
                    <c:v>2746.2618276504131</c:v>
                  </c:pt>
                </c:numCache>
              </c:numRef>
            </c:minus>
            <c:spPr>
              <a:noFill/>
              <a:ln w="9525" cap="flat" cmpd="sng" algn="ctr">
                <a:solidFill>
                  <a:sysClr val="windowText" lastClr="000000"/>
                </a:solidFill>
                <a:round/>
              </a:ln>
              <a:effectLst/>
            </c:spPr>
          </c:errBars>
          <c:cat>
            <c:strRef>
              <c:f>'WTP Main'!$A$251:$A$252</c:f>
              <c:strCache>
                <c:ptCount val="2"/>
                <c:pt idx="0">
                  <c:v>Protecting wildlife habitats</c:v>
                </c:pt>
                <c:pt idx="1">
                  <c:v>Managing impacts on rivers &amp; streams</c:v>
                </c:pt>
              </c:strCache>
            </c:strRef>
          </c:cat>
          <c:val>
            <c:numRef>
              <c:f>'WTP Main'!$D$251:$D$252</c:f>
              <c:numCache>
                <c:formatCode>"£"#,##0</c:formatCode>
                <c:ptCount val="2"/>
                <c:pt idx="0">
                  <c:v>9584.5287297691484</c:v>
                </c:pt>
                <c:pt idx="1">
                  <c:v>4674.8272845630163</c:v>
                </c:pt>
              </c:numCache>
            </c:numRef>
          </c:val>
          <c:extLst xmlns:c16r2="http://schemas.microsoft.com/office/drawing/2015/06/chart">
            <c:ext xmlns:c16="http://schemas.microsoft.com/office/drawing/2014/chart" uri="{C3380CC4-5D6E-409C-BE32-E72D297353CC}">
              <c16:uniqueId val="{00000000-0CEB-456D-8138-42A00BF466CF}"/>
            </c:ext>
          </c:extLst>
        </c:ser>
        <c:ser>
          <c:idx val="1"/>
          <c:order val="1"/>
          <c:tx>
            <c:strRef>
              <c:f>'WTP Main'!$E$250</c:f>
              <c:strCache>
                <c:ptCount val="1"/>
                <c:pt idx="0">
                  <c:v>WTPCore_DCE</c:v>
                </c:pt>
              </c:strCache>
            </c:strRef>
          </c:tx>
          <c:spPr>
            <a:solidFill>
              <a:schemeClr val="accent4"/>
            </a:solidFill>
            <a:ln>
              <a:noFill/>
            </a:ln>
            <a:effectLst/>
          </c:spPr>
          <c:invertIfNegative val="0"/>
          <c:cat>
            <c:strRef>
              <c:f>'WTP Main'!$A$251:$A$252</c:f>
              <c:strCache>
                <c:ptCount val="2"/>
                <c:pt idx="0">
                  <c:v>Protecting wildlife habitats</c:v>
                </c:pt>
                <c:pt idx="1">
                  <c:v>Managing impacts on rivers &amp; streams</c:v>
                </c:pt>
              </c:strCache>
            </c:strRef>
          </c:cat>
          <c:val>
            <c:numRef>
              <c:f>'WTP Main'!$E$251:$E$252</c:f>
              <c:numCache>
                <c:formatCode>"£"#,##0</c:formatCode>
                <c:ptCount val="2"/>
                <c:pt idx="0">
                  <c:v>10488</c:v>
                </c:pt>
                <c:pt idx="1">
                  <c:v>1435.2</c:v>
                </c:pt>
              </c:numCache>
            </c:numRef>
          </c:val>
          <c:extLst xmlns:c16r2="http://schemas.microsoft.com/office/drawing/2015/06/chart">
            <c:ext xmlns:c16="http://schemas.microsoft.com/office/drawing/2014/chart" uri="{C3380CC4-5D6E-409C-BE32-E72D297353CC}">
              <c16:uniqueId val="{00000009-EDF6-4394-A30A-A91AB214BA05}"/>
            </c:ext>
          </c:extLst>
        </c:ser>
        <c:ser>
          <c:idx val="2"/>
          <c:order val="2"/>
          <c:tx>
            <c:strRef>
              <c:f>'WTP Main'!$F$250</c:f>
              <c:strCache>
                <c:ptCount val="1"/>
                <c:pt idx="0">
                  <c:v>WTPCore_DCE2</c:v>
                </c:pt>
              </c:strCache>
            </c:strRef>
          </c:tx>
          <c:spPr>
            <a:solidFill>
              <a:schemeClr val="accent6"/>
            </a:solidFill>
            <a:ln>
              <a:noFill/>
            </a:ln>
            <a:effectLst/>
          </c:spPr>
          <c:invertIfNegative val="0"/>
          <c:cat>
            <c:strRef>
              <c:f>'WTP Main'!$A$251:$A$252</c:f>
              <c:strCache>
                <c:ptCount val="2"/>
                <c:pt idx="0">
                  <c:v>Protecting wildlife habitats</c:v>
                </c:pt>
                <c:pt idx="1">
                  <c:v>Managing impacts on rivers &amp; streams</c:v>
                </c:pt>
              </c:strCache>
            </c:strRef>
          </c:cat>
          <c:val>
            <c:numRef>
              <c:f>'WTP Main'!$F$251:$F$252</c:f>
              <c:numCache>
                <c:formatCode>"£"#,##0</c:formatCode>
                <c:ptCount val="2"/>
                <c:pt idx="0">
                  <c:v>4903.6066795211782</c:v>
                </c:pt>
                <c:pt idx="1">
                  <c:v>7224.0770803574251</c:v>
                </c:pt>
              </c:numCache>
            </c:numRef>
          </c:val>
          <c:extLst xmlns:c16r2="http://schemas.microsoft.com/office/drawing/2015/06/chart">
            <c:ext xmlns:c16="http://schemas.microsoft.com/office/drawing/2014/chart" uri="{C3380CC4-5D6E-409C-BE32-E72D297353CC}">
              <c16:uniqueId val="{0000000A-EDF6-4394-A30A-A91AB214BA05}"/>
            </c:ext>
          </c:extLst>
        </c:ser>
        <c:ser>
          <c:idx val="3"/>
          <c:order val="3"/>
          <c:tx>
            <c:strRef>
              <c:f>'WTP Main'!$G$250</c:f>
              <c:strCache>
                <c:ptCount val="1"/>
                <c:pt idx="0">
                  <c:v>WTP core_DCE_Private</c:v>
                </c:pt>
              </c:strCache>
            </c:strRef>
          </c:tx>
          <c:spPr>
            <a:solidFill>
              <a:schemeClr val="accent2">
                <a:lumMod val="60000"/>
              </a:schemeClr>
            </a:solidFill>
            <a:ln>
              <a:noFill/>
            </a:ln>
            <a:effectLst/>
          </c:spPr>
          <c:invertIfNegative val="0"/>
          <c:cat>
            <c:strRef>
              <c:f>'WTP Main'!$A$251:$A$252</c:f>
              <c:strCache>
                <c:ptCount val="2"/>
                <c:pt idx="0">
                  <c:v>Protecting wildlife habitats</c:v>
                </c:pt>
                <c:pt idx="1">
                  <c:v>Managing impacts on rivers &amp; streams</c:v>
                </c:pt>
              </c:strCache>
            </c:strRef>
          </c:cat>
          <c:val>
            <c:numRef>
              <c:f>'WTP Main'!$G$251:$G$252</c:f>
              <c:numCache>
                <c:formatCode>"£"#,##0</c:formatCode>
                <c:ptCount val="2"/>
                <c:pt idx="0">
                  <c:v>11224</c:v>
                </c:pt>
                <c:pt idx="1">
                  <c:v>1435.2</c:v>
                </c:pt>
              </c:numCache>
            </c:numRef>
          </c:val>
          <c:extLst xmlns:c16r2="http://schemas.microsoft.com/office/drawing/2015/06/chart">
            <c:ext xmlns:c16="http://schemas.microsoft.com/office/drawing/2014/chart" uri="{C3380CC4-5D6E-409C-BE32-E72D297353CC}">
              <c16:uniqueId val="{0000000B-EDF6-4394-A30A-A91AB214BA05}"/>
            </c:ext>
          </c:extLst>
        </c:ser>
        <c:ser>
          <c:idx val="4"/>
          <c:order val="4"/>
          <c:tx>
            <c:strRef>
              <c:f>'WTP Main'!$H$250</c:f>
              <c:strCache>
                <c:ptCount val="1"/>
                <c:pt idx="0">
                  <c:v>WTPCore_DCE2_LowBill</c:v>
                </c:pt>
              </c:strCache>
            </c:strRef>
          </c:tx>
          <c:spPr>
            <a:solidFill>
              <a:schemeClr val="accent4">
                <a:lumMod val="60000"/>
              </a:schemeClr>
            </a:solidFill>
            <a:ln>
              <a:noFill/>
            </a:ln>
            <a:effectLst/>
          </c:spPr>
          <c:invertIfNegative val="0"/>
          <c:cat>
            <c:strRef>
              <c:f>'WTP Main'!$A$251:$A$252</c:f>
              <c:strCache>
                <c:ptCount val="2"/>
                <c:pt idx="0">
                  <c:v>Protecting wildlife habitats</c:v>
                </c:pt>
                <c:pt idx="1">
                  <c:v>Managing impacts on rivers &amp; streams</c:v>
                </c:pt>
              </c:strCache>
            </c:strRef>
          </c:cat>
          <c:val>
            <c:numRef>
              <c:f>'WTP Main'!$H$251:$H$252</c:f>
              <c:numCache>
                <c:formatCode>"£"#,##0</c:formatCode>
                <c:ptCount val="2"/>
                <c:pt idx="0">
                  <c:v>3790.594513526878</c:v>
                </c:pt>
                <c:pt idx="1">
                  <c:v>4308.0266952067414</c:v>
                </c:pt>
              </c:numCache>
            </c:numRef>
          </c:val>
          <c:extLst xmlns:c16r2="http://schemas.microsoft.com/office/drawing/2015/06/chart">
            <c:ext xmlns:c16="http://schemas.microsoft.com/office/drawing/2014/chart" uri="{C3380CC4-5D6E-409C-BE32-E72D297353CC}">
              <c16:uniqueId val="{0000000C-EDF6-4394-A30A-A91AB214BA05}"/>
            </c:ext>
          </c:extLst>
        </c:ser>
        <c:ser>
          <c:idx val="5"/>
          <c:order val="5"/>
          <c:tx>
            <c:strRef>
              <c:f>'WTP Main'!$K$250</c:f>
              <c:strCache>
                <c:ptCount val="1"/>
                <c:pt idx="0">
                  <c:v>ExternalWTP19</c:v>
                </c:pt>
              </c:strCache>
            </c:strRef>
          </c:tx>
          <c:spPr>
            <a:solidFill>
              <a:schemeClr val="accent6">
                <a:lumMod val="60000"/>
              </a:schemeClr>
            </a:solidFill>
            <a:ln>
              <a:noFill/>
            </a:ln>
            <a:effectLst/>
          </c:spPr>
          <c:invertIfNegative val="0"/>
          <c:cat>
            <c:strRef>
              <c:f>'WTP Main'!$A$251:$A$252</c:f>
              <c:strCache>
                <c:ptCount val="2"/>
                <c:pt idx="0">
                  <c:v>Protecting wildlife habitats</c:v>
                </c:pt>
                <c:pt idx="1">
                  <c:v>Managing impacts on rivers &amp; streams</c:v>
                </c:pt>
              </c:strCache>
            </c:strRef>
          </c:cat>
          <c:val>
            <c:numRef>
              <c:f>'WTP Main'!$K$251:$K$252</c:f>
              <c:numCache>
                <c:formatCode>"£"#,##0</c:formatCode>
                <c:ptCount val="2"/>
                <c:pt idx="0">
                  <c:v>13235.3210147993</c:v>
                </c:pt>
              </c:numCache>
            </c:numRef>
          </c:val>
          <c:extLst xmlns:c16r2="http://schemas.microsoft.com/office/drawing/2015/06/chart">
            <c:ext xmlns:c16="http://schemas.microsoft.com/office/drawing/2014/chart" uri="{C3380CC4-5D6E-409C-BE32-E72D297353CC}">
              <c16:uniqueId val="{00000000-D8BE-4A42-AE7E-5E34A823F89C}"/>
            </c:ext>
          </c:extLst>
        </c:ser>
        <c:ser>
          <c:idx val="6"/>
          <c:order val="6"/>
          <c:tx>
            <c:strRef>
              <c:f>'WTP Main'!$L$250</c:f>
              <c:strCache>
                <c:ptCount val="1"/>
                <c:pt idx="0">
                  <c:v>WTPCore_MaxDiff</c:v>
                </c:pt>
              </c:strCache>
            </c:strRef>
          </c:tx>
          <c:spPr>
            <a:solidFill>
              <a:schemeClr val="accent2">
                <a:lumMod val="80000"/>
                <a:lumOff val="20000"/>
              </a:schemeClr>
            </a:solidFill>
            <a:ln>
              <a:noFill/>
            </a:ln>
            <a:effectLst/>
          </c:spPr>
          <c:invertIfNegative val="0"/>
          <c:cat>
            <c:strRef>
              <c:f>'WTP Main'!$A$251:$A$252</c:f>
              <c:strCache>
                <c:ptCount val="2"/>
                <c:pt idx="0">
                  <c:v>Protecting wildlife habitats</c:v>
                </c:pt>
                <c:pt idx="1">
                  <c:v>Managing impacts on rivers &amp; streams</c:v>
                </c:pt>
              </c:strCache>
            </c:strRef>
          </c:cat>
          <c:val>
            <c:numRef>
              <c:f>'WTP Main'!$L$251:$L$252</c:f>
              <c:numCache>
                <c:formatCode>"£"#,##0</c:formatCode>
                <c:ptCount val="2"/>
                <c:pt idx="0">
                  <c:v>23814.188973744589</c:v>
                </c:pt>
                <c:pt idx="1">
                  <c:v>6055.5822621002308</c:v>
                </c:pt>
              </c:numCache>
            </c:numRef>
          </c:val>
          <c:extLst xmlns:c16r2="http://schemas.microsoft.com/office/drawing/2015/06/chart">
            <c:ext xmlns:c16="http://schemas.microsoft.com/office/drawing/2014/chart" uri="{C3380CC4-5D6E-409C-BE32-E72D297353CC}">
              <c16:uniqueId val="{00000001-D8BE-4A42-AE7E-5E34A823F89C}"/>
            </c:ext>
          </c:extLst>
        </c:ser>
        <c:ser>
          <c:idx val="7"/>
          <c:order val="7"/>
          <c:tx>
            <c:strRef>
              <c:f>'WTP Main'!$M$250</c:f>
              <c:strCache>
                <c:ptCount val="1"/>
                <c:pt idx="0">
                  <c:v>PC Slider</c:v>
                </c:pt>
              </c:strCache>
            </c:strRef>
          </c:tx>
          <c:spPr>
            <a:solidFill>
              <a:srgbClr val="92D050"/>
            </a:solidFill>
            <a:ln>
              <a:noFill/>
            </a:ln>
            <a:effectLst/>
          </c:spPr>
          <c:invertIfNegative val="0"/>
          <c:cat>
            <c:strRef>
              <c:f>'WTP Main'!$A$251:$A$252</c:f>
              <c:strCache>
                <c:ptCount val="2"/>
                <c:pt idx="0">
                  <c:v>Protecting wildlife habitats</c:v>
                </c:pt>
                <c:pt idx="1">
                  <c:v>Managing impacts on rivers &amp; streams</c:v>
                </c:pt>
              </c:strCache>
            </c:strRef>
          </c:cat>
          <c:val>
            <c:numRef>
              <c:f>'WTP Main'!$M$251:$M$252</c:f>
              <c:numCache>
                <c:formatCode>"£"#,##0</c:formatCode>
                <c:ptCount val="2"/>
                <c:pt idx="0">
                  <c:v>1395.4108944129</c:v>
                </c:pt>
              </c:numCache>
            </c:numRef>
          </c:val>
          <c:extLst xmlns:c16r2="http://schemas.microsoft.com/office/drawing/2015/06/chart">
            <c:ext xmlns:c16="http://schemas.microsoft.com/office/drawing/2014/chart" uri="{C3380CC4-5D6E-409C-BE32-E72D297353CC}">
              <c16:uniqueId val="{00000002-D8BE-4A42-AE7E-5E34A823F89C}"/>
            </c:ext>
          </c:extLst>
        </c:ser>
        <c:ser>
          <c:idx val="8"/>
          <c:order val="8"/>
          <c:tx>
            <c:strRef>
              <c:f>'WTP Main'!$N$250</c:f>
              <c:strCache>
                <c:ptCount val="1"/>
                <c:pt idx="0">
                  <c:v>Priorities</c:v>
                </c:pt>
              </c:strCache>
            </c:strRef>
          </c:tx>
          <c:spPr>
            <a:solidFill>
              <a:schemeClr val="accent6">
                <a:lumMod val="80000"/>
                <a:lumOff val="20000"/>
              </a:schemeClr>
            </a:solidFill>
            <a:ln>
              <a:noFill/>
            </a:ln>
            <a:effectLst/>
          </c:spPr>
          <c:invertIfNegative val="0"/>
          <c:cat>
            <c:strRef>
              <c:f>'WTP Main'!$A$251:$A$252</c:f>
              <c:strCache>
                <c:ptCount val="2"/>
                <c:pt idx="0">
                  <c:v>Protecting wildlife habitats</c:v>
                </c:pt>
                <c:pt idx="1">
                  <c:v>Managing impacts on rivers &amp; streams</c:v>
                </c:pt>
              </c:strCache>
            </c:strRef>
          </c:cat>
          <c:val>
            <c:numRef>
              <c:f>'WTP Main'!$N$251:$N$252</c:f>
              <c:numCache>
                <c:formatCode>"£"#,##0</c:formatCode>
                <c:ptCount val="2"/>
                <c:pt idx="0">
                  <c:v>8962.4547475690797</c:v>
                </c:pt>
                <c:pt idx="1">
                  <c:v>0</c:v>
                </c:pt>
              </c:numCache>
            </c:numRef>
          </c:val>
          <c:extLst xmlns:c16r2="http://schemas.microsoft.com/office/drawing/2015/06/chart">
            <c:ext xmlns:c16="http://schemas.microsoft.com/office/drawing/2014/chart" uri="{C3380CC4-5D6E-409C-BE32-E72D297353CC}">
              <c16:uniqueId val="{00000003-D8BE-4A42-AE7E-5E34A823F89C}"/>
            </c:ext>
          </c:extLst>
        </c:ser>
        <c:dLbls>
          <c:showLegendKey val="0"/>
          <c:showVal val="0"/>
          <c:showCatName val="0"/>
          <c:showSerName val="0"/>
          <c:showPercent val="0"/>
          <c:showBubbleSize val="0"/>
        </c:dLbls>
        <c:gapWidth val="219"/>
        <c:overlap val="-27"/>
        <c:axId val="1334975008"/>
        <c:axId val="1334975552"/>
        <c:extLst xmlns:c16r2="http://schemas.microsoft.com/office/drawing/2015/06/chart"/>
      </c:barChart>
      <c:catAx>
        <c:axId val="13349750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4975552"/>
        <c:crosses val="autoZero"/>
        <c:auto val="1"/>
        <c:lblAlgn val="ctr"/>
        <c:lblOffset val="100"/>
        <c:noMultiLvlLbl val="0"/>
      </c:catAx>
      <c:valAx>
        <c:axId val="1334975552"/>
        <c:scaling>
          <c:orientation val="minMax"/>
          <c:max val="400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4975008"/>
        <c:crosses val="autoZero"/>
        <c:crossBetween val="between"/>
      </c:valAx>
      <c:spPr>
        <a:noFill/>
        <a:ln>
          <a:noFill/>
        </a:ln>
        <a:effectLst/>
      </c:spPr>
    </c:plotArea>
    <c:legend>
      <c:legendPos val="b"/>
      <c:layout>
        <c:manualLayout>
          <c:xMode val="edge"/>
          <c:yMode val="edge"/>
          <c:x val="3.374270473216609E-2"/>
          <c:y val="0.88358460559796437"/>
          <c:w val="0.91832831493253042"/>
          <c:h val="0.10603407740060758"/>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HH WTP Unit Values and Range</a:t>
            </a:r>
            <a:r>
              <a:rPr lang="en-US" b="1" baseline="0"/>
              <a:t> - Traffic Disruption (£/Roadworks/yr)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Main'!$D$279</c:f>
              <c:strCache>
                <c:ptCount val="1"/>
                <c:pt idx="0">
                  <c:v>COMBINED</c:v>
                </c:pt>
              </c:strCache>
            </c:strRef>
          </c:tx>
          <c:spPr>
            <a:solidFill>
              <a:schemeClr val="accent2"/>
            </a:solidFill>
            <a:ln>
              <a:noFill/>
            </a:ln>
            <a:effectLst/>
          </c:spPr>
          <c:invertIfNegative val="0"/>
          <c:errBars>
            <c:errBarType val="both"/>
            <c:errValType val="cust"/>
            <c:noEndCap val="0"/>
            <c:plus>
              <c:numRef>
                <c:f>'WTP Main'!$Q$280</c:f>
                <c:numCache>
                  <c:formatCode>General</c:formatCode>
                  <c:ptCount val="1"/>
                  <c:pt idx="0">
                    <c:v>186.85010545413661</c:v>
                  </c:pt>
                </c:numCache>
              </c:numRef>
            </c:plus>
            <c:minus>
              <c:numRef>
                <c:f>'WTP Main'!$P$280</c:f>
                <c:numCache>
                  <c:formatCode>General</c:formatCode>
                  <c:ptCount val="1"/>
                  <c:pt idx="0">
                    <c:v>243.11608483502368</c:v>
                  </c:pt>
                </c:numCache>
              </c:numRef>
            </c:minus>
            <c:spPr>
              <a:noFill/>
              <a:ln w="9525" cap="flat" cmpd="sng" algn="ctr">
                <a:solidFill>
                  <a:sysClr val="windowText" lastClr="000000"/>
                </a:solidFill>
                <a:round/>
              </a:ln>
              <a:effectLst/>
            </c:spPr>
          </c:errBars>
          <c:cat>
            <c:strRef>
              <c:f>'WTP Main'!$A$280</c:f>
              <c:strCache>
                <c:ptCount val="1"/>
                <c:pt idx="0">
                  <c:v>Traffic disruption</c:v>
                </c:pt>
              </c:strCache>
            </c:strRef>
          </c:cat>
          <c:val>
            <c:numRef>
              <c:f>'WTP Main'!$D$280</c:f>
              <c:numCache>
                <c:formatCode>"£"#,##0</c:formatCode>
                <c:ptCount val="1"/>
                <c:pt idx="0">
                  <c:v>643.58805311383639</c:v>
                </c:pt>
              </c:numCache>
            </c:numRef>
          </c:val>
          <c:extLst xmlns:c16r2="http://schemas.microsoft.com/office/drawing/2015/06/chart">
            <c:ext xmlns:c16="http://schemas.microsoft.com/office/drawing/2014/chart" uri="{C3380CC4-5D6E-409C-BE32-E72D297353CC}">
              <c16:uniqueId val="{00000000-1E3B-4F5E-B2FB-375B6DA0FE49}"/>
            </c:ext>
          </c:extLst>
        </c:ser>
        <c:ser>
          <c:idx val="1"/>
          <c:order val="1"/>
          <c:tx>
            <c:strRef>
              <c:f>'WTP Main'!$E$279</c:f>
              <c:strCache>
                <c:ptCount val="1"/>
                <c:pt idx="0">
                  <c:v>WTPCore_DCE</c:v>
                </c:pt>
              </c:strCache>
            </c:strRef>
          </c:tx>
          <c:spPr>
            <a:solidFill>
              <a:schemeClr val="accent4"/>
            </a:solidFill>
            <a:ln>
              <a:noFill/>
            </a:ln>
            <a:effectLst/>
          </c:spPr>
          <c:invertIfNegative val="0"/>
          <c:cat>
            <c:strRef>
              <c:f>'WTP Main'!$A$280</c:f>
              <c:strCache>
                <c:ptCount val="1"/>
                <c:pt idx="0">
                  <c:v>Traffic disruption</c:v>
                </c:pt>
              </c:strCache>
            </c:strRef>
          </c:cat>
          <c:val>
            <c:numRef>
              <c:f>'WTP Main'!$E$280</c:f>
              <c:numCache>
                <c:formatCode>"£"#,##0</c:formatCode>
                <c:ptCount val="1"/>
                <c:pt idx="0">
                  <c:v>786.41095890410963</c:v>
                </c:pt>
              </c:numCache>
            </c:numRef>
          </c:val>
          <c:extLst xmlns:c16r2="http://schemas.microsoft.com/office/drawing/2015/06/chart">
            <c:ext xmlns:c16="http://schemas.microsoft.com/office/drawing/2014/chart" uri="{C3380CC4-5D6E-409C-BE32-E72D297353CC}">
              <c16:uniqueId val="{00000000-D237-4ED6-8239-4D546B370F50}"/>
            </c:ext>
          </c:extLst>
        </c:ser>
        <c:ser>
          <c:idx val="2"/>
          <c:order val="2"/>
          <c:tx>
            <c:strRef>
              <c:f>'WTP Main'!$K$279</c:f>
              <c:strCache>
                <c:ptCount val="1"/>
                <c:pt idx="0">
                  <c:v>ExternalWTP19</c:v>
                </c:pt>
              </c:strCache>
            </c:strRef>
          </c:tx>
          <c:spPr>
            <a:solidFill>
              <a:schemeClr val="accent6"/>
            </a:solidFill>
            <a:ln>
              <a:noFill/>
            </a:ln>
            <a:effectLst/>
          </c:spPr>
          <c:invertIfNegative val="0"/>
          <c:cat>
            <c:strRef>
              <c:f>'WTP Main'!$A$280</c:f>
              <c:strCache>
                <c:ptCount val="1"/>
                <c:pt idx="0">
                  <c:v>Traffic disruption</c:v>
                </c:pt>
              </c:strCache>
            </c:strRef>
          </c:cat>
          <c:val>
            <c:numRef>
              <c:f>'WTP Main'!$K$280</c:f>
              <c:numCache>
                <c:formatCode>"£"#,##0</c:formatCode>
                <c:ptCount val="1"/>
                <c:pt idx="0">
                  <c:v>339.69294707005673</c:v>
                </c:pt>
              </c:numCache>
            </c:numRef>
          </c:val>
          <c:extLst xmlns:c16r2="http://schemas.microsoft.com/office/drawing/2015/06/chart">
            <c:ext xmlns:c16="http://schemas.microsoft.com/office/drawing/2014/chart" uri="{C3380CC4-5D6E-409C-BE32-E72D297353CC}">
              <c16:uniqueId val="{00000000-92F3-4E29-A8A8-6042EA86DB8D}"/>
            </c:ext>
          </c:extLst>
        </c:ser>
        <c:ser>
          <c:idx val="3"/>
          <c:order val="3"/>
          <c:tx>
            <c:strRef>
              <c:f>'WTP Main'!$L$279</c:f>
              <c:strCache>
                <c:ptCount val="1"/>
                <c:pt idx="0">
                  <c:v>WTPCore_MaxDiff</c:v>
                </c:pt>
              </c:strCache>
            </c:strRef>
          </c:tx>
          <c:spPr>
            <a:solidFill>
              <a:schemeClr val="accent2">
                <a:lumMod val="60000"/>
              </a:schemeClr>
            </a:solidFill>
            <a:ln>
              <a:noFill/>
            </a:ln>
            <a:effectLst/>
          </c:spPr>
          <c:invertIfNegative val="0"/>
          <c:cat>
            <c:strRef>
              <c:f>'WTP Main'!$A$280</c:f>
              <c:strCache>
                <c:ptCount val="1"/>
                <c:pt idx="0">
                  <c:v>Traffic disruption</c:v>
                </c:pt>
              </c:strCache>
            </c:strRef>
          </c:cat>
          <c:val>
            <c:numRef>
              <c:f>'WTP Main'!$L$280</c:f>
              <c:numCache>
                <c:formatCode>"£"#,##0</c:formatCode>
                <c:ptCount val="1"/>
                <c:pt idx="0">
                  <c:v>638.18896918362577</c:v>
                </c:pt>
              </c:numCache>
            </c:numRef>
          </c:val>
          <c:extLst xmlns:c16r2="http://schemas.microsoft.com/office/drawing/2015/06/chart">
            <c:ext xmlns:c16="http://schemas.microsoft.com/office/drawing/2014/chart" uri="{C3380CC4-5D6E-409C-BE32-E72D297353CC}">
              <c16:uniqueId val="{00000001-92F3-4E29-A8A8-6042EA86DB8D}"/>
            </c:ext>
          </c:extLst>
        </c:ser>
        <c:ser>
          <c:idx val="4"/>
          <c:order val="4"/>
          <c:tx>
            <c:strRef>
              <c:f>'WTP Main'!$M$279</c:f>
              <c:strCache>
                <c:ptCount val="1"/>
                <c:pt idx="0">
                  <c:v>Priorities</c:v>
                </c:pt>
              </c:strCache>
            </c:strRef>
          </c:tx>
          <c:spPr>
            <a:solidFill>
              <a:schemeClr val="accent4">
                <a:lumMod val="60000"/>
              </a:schemeClr>
            </a:solidFill>
            <a:ln>
              <a:noFill/>
            </a:ln>
            <a:effectLst/>
          </c:spPr>
          <c:invertIfNegative val="0"/>
          <c:cat>
            <c:strRef>
              <c:f>'WTP Main'!$A$280</c:f>
              <c:strCache>
                <c:ptCount val="1"/>
                <c:pt idx="0">
                  <c:v>Traffic disruption</c:v>
                </c:pt>
              </c:strCache>
            </c:strRef>
          </c:cat>
          <c:val>
            <c:numRef>
              <c:f>'WTP Main'!$M$280</c:f>
              <c:numCache>
                <c:formatCode>"£"#,##0</c:formatCode>
                <c:ptCount val="1"/>
                <c:pt idx="0">
                  <c:v>386.9897038569444</c:v>
                </c:pt>
              </c:numCache>
            </c:numRef>
          </c:val>
          <c:extLst xmlns:c16r2="http://schemas.microsoft.com/office/drawing/2015/06/chart">
            <c:ext xmlns:c16="http://schemas.microsoft.com/office/drawing/2014/chart" uri="{C3380CC4-5D6E-409C-BE32-E72D297353CC}">
              <c16:uniqueId val="{00000002-92F3-4E29-A8A8-6042EA86DB8D}"/>
            </c:ext>
          </c:extLst>
        </c:ser>
        <c:dLbls>
          <c:showLegendKey val="0"/>
          <c:showVal val="0"/>
          <c:showCatName val="0"/>
          <c:showSerName val="0"/>
          <c:showPercent val="0"/>
          <c:showBubbleSize val="0"/>
        </c:dLbls>
        <c:gapWidth val="219"/>
        <c:overlap val="-27"/>
        <c:axId val="1334965760"/>
        <c:axId val="1187260704"/>
        <c:extLst xmlns:c16r2="http://schemas.microsoft.com/office/drawing/2015/06/chart"/>
      </c:barChart>
      <c:catAx>
        <c:axId val="1334965760"/>
        <c:scaling>
          <c:orientation val="minMax"/>
        </c:scaling>
        <c:delete val="1"/>
        <c:axPos val="b"/>
        <c:numFmt formatCode="General" sourceLinked="1"/>
        <c:majorTickMark val="out"/>
        <c:minorTickMark val="none"/>
        <c:tickLblPos val="nextTo"/>
        <c:crossAx val="1187260704"/>
        <c:crosses val="autoZero"/>
        <c:auto val="1"/>
        <c:lblAlgn val="ctr"/>
        <c:lblOffset val="100"/>
        <c:noMultiLvlLbl val="0"/>
      </c:catAx>
      <c:valAx>
        <c:axId val="1187260704"/>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4965760"/>
        <c:crosses val="autoZero"/>
        <c:crossBetween val="between"/>
      </c:valAx>
      <c:spPr>
        <a:noFill/>
        <a:ln>
          <a:noFill/>
        </a:ln>
        <a:effectLst/>
      </c:spPr>
    </c:plotArea>
    <c:legend>
      <c:legendPos val="b"/>
      <c:layout>
        <c:manualLayout>
          <c:xMode val="edge"/>
          <c:yMode val="edge"/>
          <c:x val="0.1732956587751143"/>
          <c:y val="0.93109570510652684"/>
          <c:w val="0.56890355436185425"/>
          <c:h val="5.5215224766751482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WTP Unit Values and Range</a:t>
            </a:r>
            <a:r>
              <a:rPr lang="en-US" b="1" baseline="0"/>
              <a:t> - Services at Property (HH and NHH)</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Main'!$BS$99</c:f>
              <c:strCache>
                <c:ptCount val="1"/>
                <c:pt idx="0">
                  <c:v>COMBINED</c:v>
                </c:pt>
              </c:strCache>
            </c:strRef>
          </c:tx>
          <c:spPr>
            <a:solidFill>
              <a:schemeClr val="accent2"/>
            </a:solidFill>
            <a:ln>
              <a:noFill/>
            </a:ln>
            <a:effectLst/>
          </c:spPr>
          <c:invertIfNegative val="0"/>
          <c:errBars>
            <c:errBarType val="both"/>
            <c:errValType val="cust"/>
            <c:noEndCap val="0"/>
            <c:plus>
              <c:numRef>
                <c:f>'WTP Main'!$BU$100:$BU$107</c:f>
                <c:numCache>
                  <c:formatCode>General</c:formatCode>
                  <c:ptCount val="8"/>
                  <c:pt idx="0">
                    <c:v>8327.4357453115153</c:v>
                  </c:pt>
                  <c:pt idx="1">
                    <c:v>1023.3369742768887</c:v>
                  </c:pt>
                  <c:pt idx="2">
                    <c:v>782.5359317629302</c:v>
                  </c:pt>
                  <c:pt idx="3">
                    <c:v>1780.5117242474944</c:v>
                  </c:pt>
                  <c:pt idx="4">
                    <c:v>99143.011559440769</c:v>
                  </c:pt>
                  <c:pt idx="5">
                    <c:v>2155.3701856732087</c:v>
                  </c:pt>
                  <c:pt idx="6">
                    <c:v>132.64400703114794</c:v>
                  </c:pt>
                  <c:pt idx="7">
                    <c:v>143.09426380028538</c:v>
                  </c:pt>
                </c:numCache>
              </c:numRef>
            </c:plus>
            <c:minus>
              <c:numRef>
                <c:f>'WTP Main'!$BT$100:$BT$107</c:f>
                <c:numCache>
                  <c:formatCode>General</c:formatCode>
                  <c:ptCount val="8"/>
                  <c:pt idx="0">
                    <c:v>2023.0841452197747</c:v>
                  </c:pt>
                  <c:pt idx="1">
                    <c:v>1764.6159165952695</c:v>
                  </c:pt>
                  <c:pt idx="2">
                    <c:v>476.10618121218306</c:v>
                  </c:pt>
                  <c:pt idx="3">
                    <c:v>340.76138376448273</c:v>
                  </c:pt>
                  <c:pt idx="4">
                    <c:v>1001.7497108156123</c:v>
                  </c:pt>
                  <c:pt idx="5">
                    <c:v>580.46616107103091</c:v>
                  </c:pt>
                  <c:pt idx="6">
                    <c:v>89.679832625912994</c:v>
                  </c:pt>
                  <c:pt idx="7">
                    <c:v>22.996255960764508</c:v>
                  </c:pt>
                </c:numCache>
              </c:numRef>
            </c:minus>
            <c:spPr>
              <a:noFill/>
              <a:ln w="9525" cap="flat" cmpd="sng" algn="ctr">
                <a:solidFill>
                  <a:sysClr val="windowText" lastClr="000000"/>
                </a:solidFill>
                <a:round/>
              </a:ln>
              <a:effectLst/>
            </c:spPr>
          </c:errBars>
          <c:cat>
            <c:strRef>
              <c:f>'WTP Main'!$A$100:$A$107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Main'!$BS$100:$BS$107</c:f>
              <c:numCache>
                <c:formatCode>"£"#,##0</c:formatCode>
                <c:ptCount val="8"/>
                <c:pt idx="0">
                  <c:v>2544.7197920068247</c:v>
                </c:pt>
                <c:pt idx="1">
                  <c:v>2598.2926119411236</c:v>
                </c:pt>
                <c:pt idx="2">
                  <c:v>626.362133653407</c:v>
                </c:pt>
                <c:pt idx="3">
                  <c:v>430.67277089801928</c:v>
                </c:pt>
                <c:pt idx="4">
                  <c:v>1429.2305829276133</c:v>
                </c:pt>
                <c:pt idx="5">
                  <c:v>1037.5601068753365</c:v>
                </c:pt>
                <c:pt idx="6">
                  <c:v>144.66899718413438</c:v>
                </c:pt>
                <c:pt idx="7">
                  <c:v>52.23876599432414</c:v>
                </c:pt>
              </c:numCache>
            </c:numRef>
          </c:val>
          <c:extLst xmlns:c16r2="http://schemas.microsoft.com/office/drawing/2015/06/chart">
            <c:ext xmlns:c16="http://schemas.microsoft.com/office/drawing/2014/chart" uri="{C3380CC4-5D6E-409C-BE32-E72D297353CC}">
              <c16:uniqueId val="{00000000-E1DC-4A85-89E6-D69E8484ECF4}"/>
            </c:ext>
          </c:extLst>
        </c:ser>
        <c:dLbls>
          <c:showLegendKey val="0"/>
          <c:showVal val="0"/>
          <c:showCatName val="0"/>
          <c:showSerName val="0"/>
          <c:showPercent val="0"/>
          <c:showBubbleSize val="0"/>
        </c:dLbls>
        <c:gapWidth val="219"/>
        <c:overlap val="-27"/>
        <c:axId val="1187270496"/>
        <c:axId val="1187259616"/>
      </c:barChart>
      <c:catAx>
        <c:axId val="118727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7259616"/>
        <c:crosses val="autoZero"/>
        <c:auto val="1"/>
        <c:lblAlgn val="ctr"/>
        <c:lblOffset val="100"/>
        <c:noMultiLvlLbl val="0"/>
      </c:catAx>
      <c:valAx>
        <c:axId val="1187259616"/>
        <c:scaling>
          <c:orientation val="minMax"/>
          <c:max val="45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727049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HH WTP Unit Values and Range</a:t>
            </a:r>
            <a:r>
              <a:rPr lang="en-US" b="1" baseline="0"/>
              <a:t> - Services at Property</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Main'!$BS$123</c:f>
              <c:strCache>
                <c:ptCount val="1"/>
                <c:pt idx="0">
                  <c:v>COMBINED</c:v>
                </c:pt>
              </c:strCache>
            </c:strRef>
          </c:tx>
          <c:spPr>
            <a:solidFill>
              <a:schemeClr val="accent2"/>
            </a:solidFill>
            <a:ln>
              <a:noFill/>
            </a:ln>
            <a:effectLst/>
          </c:spPr>
          <c:invertIfNegative val="0"/>
          <c:errBars>
            <c:errBarType val="both"/>
            <c:errValType val="cust"/>
            <c:noEndCap val="0"/>
            <c:plus>
              <c:numRef>
                <c:f>'WTP Main'!$CG$124:$CG$131</c:f>
                <c:numCache>
                  <c:formatCode>General</c:formatCode>
                  <c:ptCount val="8"/>
                  <c:pt idx="0">
                    <c:v>1941.0231220525454</c:v>
                  </c:pt>
                  <c:pt idx="1">
                    <c:v>268.76145322935486</c:v>
                  </c:pt>
                  <c:pt idx="2">
                    <c:v>351.82644787383367</c:v>
                  </c:pt>
                  <c:pt idx="3">
                    <c:v>174.70166015202778</c:v>
                  </c:pt>
                  <c:pt idx="4">
                    <c:v>426.57584661003716</c:v>
                  </c:pt>
                  <c:pt idx="5">
                    <c:v>277.2355320074044</c:v>
                  </c:pt>
                  <c:pt idx="6">
                    <c:v>53.929318309728579</c:v>
                  </c:pt>
                  <c:pt idx="7">
                    <c:v>20.100588880786152</c:v>
                  </c:pt>
                </c:numCache>
              </c:numRef>
            </c:plus>
            <c:minus>
              <c:numRef>
                <c:f>'WTP Main'!$CF$124:$CF$131</c:f>
                <c:numCache>
                  <c:formatCode>General</c:formatCode>
                  <c:ptCount val="8"/>
                  <c:pt idx="0">
                    <c:v>810.10953443619155</c:v>
                  </c:pt>
                  <c:pt idx="1">
                    <c:v>104.01810227009742</c:v>
                  </c:pt>
                  <c:pt idx="2">
                    <c:v>126.76368540736229</c:v>
                  </c:pt>
                  <c:pt idx="3">
                    <c:v>108.6472624464156</c:v>
                  </c:pt>
                  <c:pt idx="4">
                    <c:v>172.0338740642265</c:v>
                  </c:pt>
                  <c:pt idx="5">
                    <c:v>195.89639687712975</c:v>
                  </c:pt>
                  <c:pt idx="6">
                    <c:v>40.545493579193902</c:v>
                  </c:pt>
                  <c:pt idx="7">
                    <c:v>10.037590454731815</c:v>
                  </c:pt>
                </c:numCache>
              </c:numRef>
            </c:minus>
            <c:spPr>
              <a:noFill/>
              <a:ln w="9525" cap="flat" cmpd="sng" algn="ctr">
                <a:solidFill>
                  <a:srgbClr val="000000"/>
                </a:solidFill>
                <a:round/>
              </a:ln>
              <a:effectLst/>
            </c:spPr>
          </c:errBars>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Main'!$BS$124:$BS$131</c:f>
              <c:numCache>
                <c:formatCode>"£"#,##0</c:formatCode>
                <c:ptCount val="8"/>
                <c:pt idx="0">
                  <c:v>1028.501528527346</c:v>
                </c:pt>
                <c:pt idx="1">
                  <c:v>491.29924729309357</c:v>
                </c:pt>
                <c:pt idx="2">
                  <c:v>182.79645073083407</c:v>
                </c:pt>
                <c:pt idx="3">
                  <c:v>140.52879437007624</c:v>
                </c:pt>
                <c:pt idx="4">
                  <c:v>246.83756003802645</c:v>
                </c:pt>
                <c:pt idx="5">
                  <c:v>338.97556120742803</c:v>
                </c:pt>
                <c:pt idx="6">
                  <c:v>60.073164819827873</c:v>
                </c:pt>
                <c:pt idx="7">
                  <c:v>16.431923473485394</c:v>
                </c:pt>
              </c:numCache>
            </c:numRef>
          </c:val>
          <c:extLst xmlns:c16r2="http://schemas.microsoft.com/office/drawing/2015/06/chart">
            <c:ext xmlns:c16="http://schemas.microsoft.com/office/drawing/2014/chart" uri="{C3380CC4-5D6E-409C-BE32-E72D297353CC}">
              <c16:uniqueId val="{00000000-8F73-462E-AA6C-4AEF16AFB5FE}"/>
            </c:ext>
          </c:extLst>
        </c:ser>
        <c:ser>
          <c:idx val="1"/>
          <c:order val="1"/>
          <c:tx>
            <c:strRef>
              <c:f>'WTP Main'!$BT$123</c:f>
              <c:strCache>
                <c:ptCount val="1"/>
                <c:pt idx="0">
                  <c:v>WTPCore_DCE</c:v>
                </c:pt>
              </c:strCache>
            </c:strRef>
          </c:tx>
          <c:spPr>
            <a:solidFill>
              <a:schemeClr val="accent4"/>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Main'!$BT$124:$BT$131</c:f>
              <c:numCache>
                <c:formatCode>"£"#,##0</c:formatCode>
                <c:ptCount val="8"/>
                <c:pt idx="0">
                  <c:v>495.01276595744673</c:v>
                </c:pt>
                <c:pt idx="1">
                  <c:v>613.191489361702</c:v>
                </c:pt>
                <c:pt idx="2">
                  <c:v>27.921526908635794</c:v>
                </c:pt>
                <c:pt idx="3">
                  <c:v>5.6209219858156025</c:v>
                </c:pt>
                <c:pt idx="4">
                  <c:v>205.16697061803447</c:v>
                </c:pt>
                <c:pt idx="5">
                  <c:v>305.14240121580548</c:v>
                </c:pt>
                <c:pt idx="6">
                  <c:v>18.356144634344844</c:v>
                </c:pt>
                <c:pt idx="7">
                  <c:v>24.945744680851064</c:v>
                </c:pt>
              </c:numCache>
            </c:numRef>
          </c:val>
          <c:extLst xmlns:c16r2="http://schemas.microsoft.com/office/drawing/2015/06/chart">
            <c:ext xmlns:c16="http://schemas.microsoft.com/office/drawing/2014/chart" uri="{C3380CC4-5D6E-409C-BE32-E72D297353CC}">
              <c16:uniqueId val="{00000001-8F73-462E-AA6C-4AEF16AFB5FE}"/>
            </c:ext>
          </c:extLst>
        </c:ser>
        <c:ser>
          <c:idx val="2"/>
          <c:order val="2"/>
          <c:tx>
            <c:strRef>
              <c:f>'WTP Main'!$BU$123</c:f>
              <c:strCache>
                <c:ptCount val="1"/>
                <c:pt idx="0">
                  <c:v>WTPCore_DCE2</c:v>
                </c:pt>
              </c:strCache>
            </c:strRef>
          </c:tx>
          <c:spPr>
            <a:solidFill>
              <a:schemeClr val="accent6"/>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Main'!$BU$124:$BU$131</c:f>
              <c:numCache>
                <c:formatCode>"£"#,##0</c:formatCode>
                <c:ptCount val="8"/>
                <c:pt idx="0">
                  <c:v>548.30127891979646</c:v>
                </c:pt>
                <c:pt idx="1">
                  <c:v>408.44904779899474</c:v>
                </c:pt>
                <c:pt idx="2">
                  <c:v>43.265396481954809</c:v>
                </c:pt>
                <c:pt idx="3">
                  <c:v>305.50561458748172</c:v>
                </c:pt>
                <c:pt idx="4">
                  <c:v>36.618057097205678</c:v>
                </c:pt>
                <c:pt idx="5">
                  <c:v>605.67878671262065</c:v>
                </c:pt>
                <c:pt idx="6">
                  <c:v>114.29686888849665</c:v>
                </c:pt>
                <c:pt idx="7">
                  <c:v>4.4753405424098069</c:v>
                </c:pt>
              </c:numCache>
            </c:numRef>
          </c:val>
          <c:extLst xmlns:c16r2="http://schemas.microsoft.com/office/drawing/2015/06/chart">
            <c:ext xmlns:c16="http://schemas.microsoft.com/office/drawing/2014/chart" uri="{C3380CC4-5D6E-409C-BE32-E72D297353CC}">
              <c16:uniqueId val="{00000002-8F73-462E-AA6C-4AEF16AFB5FE}"/>
            </c:ext>
          </c:extLst>
        </c:ser>
        <c:ser>
          <c:idx val="3"/>
          <c:order val="3"/>
          <c:tx>
            <c:strRef>
              <c:f>'WTP Main'!$BV$123</c:f>
              <c:strCache>
                <c:ptCount val="1"/>
                <c:pt idx="0">
                  <c:v>WTP core_DCE_Private</c:v>
                </c:pt>
              </c:strCache>
            </c:strRef>
          </c:tx>
          <c:spPr>
            <a:solidFill>
              <a:schemeClr val="accent2">
                <a:lumMod val="60000"/>
              </a:schemeClr>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Main'!$BV$124:$BV$131</c:f>
              <c:numCache>
                <c:formatCode>"£"#,##0</c:formatCode>
                <c:ptCount val="8"/>
                <c:pt idx="0">
                  <c:v>1589.83829787234</c:v>
                </c:pt>
                <c:pt idx="1">
                  <c:v>827.25106382978709</c:v>
                </c:pt>
                <c:pt idx="2">
                  <c:v>27.87234042553191</c:v>
                </c:pt>
                <c:pt idx="3">
                  <c:v>8.6311347517730503</c:v>
                </c:pt>
                <c:pt idx="4">
                  <c:v>437.90543735224588</c:v>
                </c:pt>
                <c:pt idx="5">
                  <c:v>453.83138297872341</c:v>
                </c:pt>
                <c:pt idx="6">
                  <c:v>23.761170212765954</c:v>
                </c:pt>
                <c:pt idx="7">
                  <c:v>41.557659574468083</c:v>
                </c:pt>
              </c:numCache>
            </c:numRef>
          </c:val>
          <c:extLst xmlns:c16r2="http://schemas.microsoft.com/office/drawing/2015/06/chart">
            <c:ext xmlns:c16="http://schemas.microsoft.com/office/drawing/2014/chart" uri="{C3380CC4-5D6E-409C-BE32-E72D297353CC}">
              <c16:uniqueId val="{00000003-8F73-462E-AA6C-4AEF16AFB5FE}"/>
            </c:ext>
          </c:extLst>
        </c:ser>
        <c:ser>
          <c:idx val="4"/>
          <c:order val="4"/>
          <c:tx>
            <c:strRef>
              <c:f>'WTP Main'!$BW$123</c:f>
              <c:strCache>
                <c:ptCount val="1"/>
                <c:pt idx="0">
                  <c:v>WTPCore_DCE2_LowBill</c:v>
                </c:pt>
              </c:strCache>
            </c:strRef>
          </c:tx>
          <c:spPr>
            <a:solidFill>
              <a:schemeClr val="accent4">
                <a:lumMod val="60000"/>
              </a:schemeClr>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Main'!$BW$124:$BW$131</c:f>
              <c:numCache>
                <c:formatCode>"£"#,##0</c:formatCode>
                <c:ptCount val="8"/>
                <c:pt idx="0">
                  <c:v>391.11701344910756</c:v>
                </c:pt>
                <c:pt idx="1">
                  <c:v>455.00807116238292</c:v>
                </c:pt>
                <c:pt idx="2">
                  <c:v>76.492375000979905</c:v>
                </c:pt>
                <c:pt idx="3">
                  <c:v>358.90586956011094</c:v>
                </c:pt>
                <c:pt idx="4">
                  <c:v>68.789840101072386</c:v>
                </c:pt>
                <c:pt idx="5">
                  <c:v>643.33813461165994</c:v>
                </c:pt>
                <c:pt idx="6">
                  <c:v>107.27044733418506</c:v>
                </c:pt>
                <c:pt idx="7">
                  <c:v>5.2928078375244221</c:v>
                </c:pt>
              </c:numCache>
            </c:numRef>
          </c:val>
          <c:extLst xmlns:c16r2="http://schemas.microsoft.com/office/drawing/2015/06/chart">
            <c:ext xmlns:c16="http://schemas.microsoft.com/office/drawing/2014/chart" uri="{C3380CC4-5D6E-409C-BE32-E72D297353CC}">
              <c16:uniqueId val="{00000004-8F73-462E-AA6C-4AEF16AFB5FE}"/>
            </c:ext>
          </c:extLst>
        </c:ser>
        <c:ser>
          <c:idx val="5"/>
          <c:order val="5"/>
          <c:tx>
            <c:strRef>
              <c:f>'WTP Main'!$BY$123</c:f>
              <c:strCache>
                <c:ptCount val="1"/>
                <c:pt idx="0">
                  <c:v>ExternalWTP14</c:v>
                </c:pt>
              </c:strCache>
            </c:strRef>
          </c:tx>
          <c:spPr>
            <a:solidFill>
              <a:schemeClr val="accent6">
                <a:lumMod val="60000"/>
              </a:schemeClr>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Main'!$BY$124:$BY$131</c:f>
              <c:numCache>
                <c:formatCode>"£"#,##0</c:formatCode>
                <c:ptCount val="8"/>
                <c:pt idx="2">
                  <c:v>252.38277582402952</c:v>
                </c:pt>
                <c:pt idx="3">
                  <c:v>6.2544218425006193</c:v>
                </c:pt>
                <c:pt idx="4">
                  <c:v>431.84258467187567</c:v>
                </c:pt>
                <c:pt idx="5">
                  <c:v>357.51319544028559</c:v>
                </c:pt>
                <c:pt idx="6">
                  <c:v>70.294117424823455</c:v>
                </c:pt>
              </c:numCache>
            </c:numRef>
          </c:val>
          <c:extLst xmlns:c16r2="http://schemas.microsoft.com/office/drawing/2015/06/chart">
            <c:ext xmlns:c16="http://schemas.microsoft.com/office/drawing/2014/chart" uri="{C3380CC4-5D6E-409C-BE32-E72D297353CC}">
              <c16:uniqueId val="{00000000-C44E-4334-ACED-369C2A9B760B}"/>
            </c:ext>
          </c:extLst>
        </c:ser>
        <c:ser>
          <c:idx val="6"/>
          <c:order val="6"/>
          <c:tx>
            <c:strRef>
              <c:f>'WTP Main'!$BZ$123</c:f>
              <c:strCache>
                <c:ptCount val="1"/>
                <c:pt idx="0">
                  <c:v>ExternalWTP19</c:v>
                </c:pt>
              </c:strCache>
            </c:strRef>
          </c:tx>
          <c:spPr>
            <a:solidFill>
              <a:schemeClr val="accent2">
                <a:lumMod val="80000"/>
                <a:lumOff val="20000"/>
              </a:schemeClr>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Main'!$BZ$124:$BZ$131</c:f>
              <c:numCache>
                <c:formatCode>"£"#,##0</c:formatCode>
                <c:ptCount val="8"/>
                <c:pt idx="0">
                  <c:v>424.94657940467681</c:v>
                </c:pt>
                <c:pt idx="2">
                  <c:v>208.89586300568604</c:v>
                </c:pt>
                <c:pt idx="4">
                  <c:v>482.63016994759045</c:v>
                </c:pt>
                <c:pt idx="5">
                  <c:v>134.42710434682323</c:v>
                </c:pt>
                <c:pt idx="6">
                  <c:v>67.431856853960255</c:v>
                </c:pt>
              </c:numCache>
            </c:numRef>
          </c:val>
          <c:extLst xmlns:c16r2="http://schemas.microsoft.com/office/drawing/2015/06/chart">
            <c:ext xmlns:c16="http://schemas.microsoft.com/office/drawing/2014/chart" uri="{C3380CC4-5D6E-409C-BE32-E72D297353CC}">
              <c16:uniqueId val="{00000001-C44E-4334-ACED-369C2A9B760B}"/>
            </c:ext>
          </c:extLst>
        </c:ser>
        <c:ser>
          <c:idx val="7"/>
          <c:order val="7"/>
          <c:tx>
            <c:strRef>
              <c:f>'WTP Main'!$CA$123</c:f>
              <c:strCache>
                <c:ptCount val="1"/>
                <c:pt idx="0">
                  <c:v>WTPCore_MaxDiff</c:v>
                </c:pt>
              </c:strCache>
            </c:strRef>
          </c:tx>
          <c:spPr>
            <a:solidFill>
              <a:srgbClr val="FF0000"/>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Main'!$CA$124:$CA$131</c:f>
              <c:numCache>
                <c:formatCode>"£"#,##0</c:formatCode>
                <c:ptCount val="8"/>
                <c:pt idx="0">
                  <c:v>3454.7804310930278</c:v>
                </c:pt>
                <c:pt idx="1">
                  <c:v>413.2151621440745</c:v>
                </c:pt>
                <c:pt idx="2">
                  <c:v>334.03345797166821</c:v>
                </c:pt>
                <c:pt idx="3" formatCode="&quot;£&quot;#,##0.000">
                  <c:v>147.13250935671761</c:v>
                </c:pt>
                <c:pt idx="4">
                  <c:v>780.05736830057288</c:v>
                </c:pt>
                <c:pt idx="5">
                  <c:v>276.87488374011008</c:v>
                </c:pt>
                <c:pt idx="6">
                  <c:v>26.610064745616853</c:v>
                </c:pt>
                <c:pt idx="7">
                  <c:v>28.791220425295734</c:v>
                </c:pt>
              </c:numCache>
            </c:numRef>
          </c:val>
          <c:extLst xmlns:c16r2="http://schemas.microsoft.com/office/drawing/2015/06/chart">
            <c:ext xmlns:c16="http://schemas.microsoft.com/office/drawing/2014/chart" uri="{C3380CC4-5D6E-409C-BE32-E72D297353CC}">
              <c16:uniqueId val="{00000002-C44E-4334-ACED-369C2A9B760B}"/>
            </c:ext>
          </c:extLst>
        </c:ser>
        <c:ser>
          <c:idx val="8"/>
          <c:order val="8"/>
          <c:tx>
            <c:strRef>
              <c:f>'WTP Main'!$CB$123</c:f>
              <c:strCache>
                <c:ptCount val="1"/>
                <c:pt idx="0">
                  <c:v>Priorities</c:v>
                </c:pt>
              </c:strCache>
            </c:strRef>
          </c:tx>
          <c:spPr>
            <a:solidFill>
              <a:srgbClr val="92D050"/>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Main'!$CB$124:$CB$131</c:f>
              <c:numCache>
                <c:formatCode>"£"#,##0</c:formatCode>
                <c:ptCount val="8"/>
                <c:pt idx="0">
                  <c:v>1846.8916392736846</c:v>
                </c:pt>
                <c:pt idx="1">
                  <c:v>0</c:v>
                </c:pt>
                <c:pt idx="2">
                  <c:v>310.0511021114724</c:v>
                </c:pt>
                <c:pt idx="3">
                  <c:v>60.7553220752445</c:v>
                </c:pt>
                <c:pt idx="4">
                  <c:v>287.14847974505705</c:v>
                </c:pt>
                <c:pt idx="5">
                  <c:v>111.95420152872165</c:v>
                </c:pt>
                <c:pt idx="6">
                  <c:v>9.3912978458354957</c:v>
                </c:pt>
                <c:pt idx="7">
                  <c:v>5.4843764647043622</c:v>
                </c:pt>
              </c:numCache>
            </c:numRef>
          </c:val>
          <c:extLst xmlns:c16r2="http://schemas.microsoft.com/office/drawing/2015/06/chart">
            <c:ext xmlns:c16="http://schemas.microsoft.com/office/drawing/2014/chart" uri="{C3380CC4-5D6E-409C-BE32-E72D297353CC}">
              <c16:uniqueId val="{00000003-C44E-4334-ACED-369C2A9B760B}"/>
            </c:ext>
          </c:extLst>
        </c:ser>
        <c:ser>
          <c:idx val="9"/>
          <c:order val="9"/>
          <c:tx>
            <c:strRef>
              <c:f>'WTP Main'!$CC$123</c:f>
              <c:strCache>
                <c:ptCount val="1"/>
                <c:pt idx="0">
                  <c:v>Contacts</c:v>
                </c:pt>
              </c:strCache>
            </c:strRef>
          </c:tx>
          <c:spPr>
            <a:solidFill>
              <a:schemeClr val="accent2">
                <a:lumMod val="80000"/>
              </a:schemeClr>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Main'!$CC$124:$CC$131</c:f>
              <c:numCache>
                <c:formatCode>"£"#,##0</c:formatCode>
                <c:ptCount val="8"/>
                <c:pt idx="0">
                  <c:v>15.864610482106528</c:v>
                </c:pt>
                <c:pt idx="1">
                  <c:v>0</c:v>
                </c:pt>
                <c:pt idx="2">
                  <c:v>622.57951057312607</c:v>
                </c:pt>
                <c:pt idx="3">
                  <c:v>0</c:v>
                </c:pt>
                <c:pt idx="4">
                  <c:v>47.71524428164183</c:v>
                </c:pt>
                <c:pt idx="5">
                  <c:v>94.105065111015833</c:v>
                </c:pt>
                <c:pt idx="6">
                  <c:v>0</c:v>
                </c:pt>
                <c:pt idx="7">
                  <c:v>0</c:v>
                </c:pt>
              </c:numCache>
            </c:numRef>
          </c:val>
          <c:extLst xmlns:c16r2="http://schemas.microsoft.com/office/drawing/2015/06/chart">
            <c:ext xmlns:c16="http://schemas.microsoft.com/office/drawing/2014/chart" uri="{C3380CC4-5D6E-409C-BE32-E72D297353CC}">
              <c16:uniqueId val="{00000004-C44E-4334-ACED-369C2A9B760B}"/>
            </c:ext>
          </c:extLst>
        </c:ser>
        <c:ser>
          <c:idx val="10"/>
          <c:order val="10"/>
          <c:tx>
            <c:strRef>
              <c:f>'WTP Main'!$CD$123</c:f>
              <c:strCache>
                <c:ptCount val="1"/>
                <c:pt idx="0">
                  <c:v>Satisfaction</c:v>
                </c:pt>
              </c:strCache>
            </c:strRef>
          </c:tx>
          <c:spPr>
            <a:solidFill>
              <a:srgbClr val="FFFF00"/>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Main'!$CD$124:$CD$131</c:f>
              <c:numCache>
                <c:formatCode>"£"#,##0</c:formatCode>
                <c:ptCount val="8"/>
                <c:pt idx="0">
                  <c:v>0</c:v>
                </c:pt>
                <c:pt idx="1">
                  <c:v>0</c:v>
                </c:pt>
                <c:pt idx="2">
                  <c:v>142.61820136367965</c:v>
                </c:pt>
                <c:pt idx="3">
                  <c:v>0</c:v>
                </c:pt>
                <c:pt idx="4">
                  <c:v>36.975089242435473</c:v>
                </c:pt>
                <c:pt idx="5">
                  <c:v>200.72191303036399</c:v>
                </c:pt>
                <c:pt idx="6">
                  <c:v>116.20742333336864</c:v>
                </c:pt>
                <c:pt idx="7">
                  <c:v>0</c:v>
                </c:pt>
              </c:numCache>
            </c:numRef>
          </c:val>
          <c:extLst xmlns:c16r2="http://schemas.microsoft.com/office/drawing/2015/06/chart">
            <c:ext xmlns:c16="http://schemas.microsoft.com/office/drawing/2014/chart" uri="{C3380CC4-5D6E-409C-BE32-E72D297353CC}">
              <c16:uniqueId val="{00000005-C44E-4334-ACED-369C2A9B760B}"/>
            </c:ext>
          </c:extLst>
        </c:ser>
        <c:ser>
          <c:idx val="11"/>
          <c:order val="11"/>
          <c:tx>
            <c:strRef>
              <c:f>'WTP Main'!$CE$123</c:f>
              <c:strCache>
                <c:ptCount val="1"/>
                <c:pt idx="0">
                  <c:v>PC Slider</c:v>
                </c:pt>
              </c:strCache>
            </c:strRef>
          </c:tx>
          <c:spPr>
            <a:solidFill>
              <a:srgbClr val="FFC000"/>
            </a:solidFill>
            <a:ln>
              <a:noFill/>
            </a:ln>
            <a:effectLst/>
          </c:spPr>
          <c:invertIfNegative val="0"/>
          <c:cat>
            <c:strRef>
              <c:f>'WTP Main'!$A$124:$A$131</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Main'!$CE$124:$CE$131</c:f>
              <c:numCache>
                <c:formatCode>"£"#,##0</c:formatCode>
                <c:ptCount val="8"/>
                <c:pt idx="2">
                  <c:v>329.9746975482019</c:v>
                </c:pt>
              </c:numCache>
            </c:numRef>
          </c:val>
          <c:extLst xmlns:c16r2="http://schemas.microsoft.com/office/drawing/2015/06/chart">
            <c:ext xmlns:c16="http://schemas.microsoft.com/office/drawing/2014/chart" uri="{C3380CC4-5D6E-409C-BE32-E72D297353CC}">
              <c16:uniqueId val="{00000006-C44E-4334-ACED-369C2A9B760B}"/>
            </c:ext>
          </c:extLst>
        </c:ser>
        <c:dLbls>
          <c:showLegendKey val="0"/>
          <c:showVal val="0"/>
          <c:showCatName val="0"/>
          <c:showSerName val="0"/>
          <c:showPercent val="0"/>
          <c:showBubbleSize val="0"/>
        </c:dLbls>
        <c:gapWidth val="219"/>
        <c:overlap val="-27"/>
        <c:axId val="1187263424"/>
        <c:axId val="1187256896"/>
      </c:barChart>
      <c:catAx>
        <c:axId val="1187263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7256896"/>
        <c:crosses val="autoZero"/>
        <c:auto val="1"/>
        <c:lblAlgn val="ctr"/>
        <c:lblOffset val="100"/>
        <c:noMultiLvlLbl val="0"/>
      </c:catAx>
      <c:valAx>
        <c:axId val="1187256896"/>
        <c:scaling>
          <c:orientation val="minMax"/>
          <c:max val="45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7263424"/>
        <c:crosses val="autoZero"/>
        <c:crossBetween val="between"/>
      </c:valAx>
      <c:spPr>
        <a:noFill/>
        <a:ln>
          <a:noFill/>
        </a:ln>
        <a:effectLst/>
      </c:spPr>
    </c:plotArea>
    <c:legend>
      <c:legendPos val="b"/>
      <c:layout>
        <c:manualLayout>
          <c:xMode val="edge"/>
          <c:yMode val="edge"/>
          <c:x val="8.5513019423595779E-2"/>
          <c:y val="0.88385412433506949"/>
          <c:w val="0.82317879558485452"/>
          <c:h val="0.1037293456620668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WTP Unit Values and Range</a:t>
            </a:r>
            <a:r>
              <a:rPr lang="en-US" b="1" baseline="0"/>
              <a:t> - Drought Restrictions </a:t>
            </a:r>
            <a:r>
              <a:rPr lang="en-US" sz="1400" b="1" i="0" u="none" strike="noStrike" baseline="0">
                <a:effectLst/>
              </a:rPr>
              <a:t>(£/1% Risk/yr) (HH and NHH)</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Main'!$BS$150</c:f>
              <c:strCache>
                <c:ptCount val="1"/>
                <c:pt idx="0">
                  <c:v>COMBINED</c:v>
                </c:pt>
              </c:strCache>
            </c:strRef>
          </c:tx>
          <c:spPr>
            <a:solidFill>
              <a:schemeClr val="accent2"/>
            </a:solidFill>
            <a:ln>
              <a:noFill/>
            </a:ln>
            <a:effectLst/>
          </c:spPr>
          <c:invertIfNegative val="0"/>
          <c:errBars>
            <c:errBarType val="both"/>
            <c:errValType val="cust"/>
            <c:noEndCap val="0"/>
            <c:plus>
              <c:numRef>
                <c:f>'WTP Main'!$BU$151:$BU$152</c:f>
                <c:numCache>
                  <c:formatCode>General</c:formatCode>
                  <c:ptCount val="2"/>
                  <c:pt idx="0">
                    <c:v>407678.20827958663</c:v>
                  </c:pt>
                  <c:pt idx="1">
                    <c:v>521284.61117662536</c:v>
                  </c:pt>
                </c:numCache>
              </c:numRef>
            </c:plus>
            <c:minus>
              <c:numRef>
                <c:f>'WTP Main'!$BT$151:$BT$152</c:f>
                <c:numCache>
                  <c:formatCode>General</c:formatCode>
                  <c:ptCount val="2"/>
                  <c:pt idx="0">
                    <c:v>585150.02130986797</c:v>
                  </c:pt>
                  <c:pt idx="1">
                    <c:v>769053.09664997493</c:v>
                  </c:pt>
                </c:numCache>
              </c:numRef>
            </c:minus>
            <c:spPr>
              <a:noFill/>
              <a:ln w="9525" cap="flat" cmpd="sng" algn="ctr">
                <a:solidFill>
                  <a:sysClr val="windowText" lastClr="000000"/>
                </a:solidFill>
                <a:round/>
              </a:ln>
              <a:effectLst/>
            </c:spPr>
          </c:errBars>
          <c:cat>
            <c:strRef>
              <c:f>'WTP Main'!$A$151:$A$152</c:f>
              <c:strCache>
                <c:ptCount val="2"/>
                <c:pt idx="0">
                  <c:v>Drought restrictions</c:v>
                </c:pt>
                <c:pt idx="1">
                  <c:v>Temporary use ban</c:v>
                </c:pt>
              </c:strCache>
            </c:strRef>
          </c:cat>
          <c:val>
            <c:numRef>
              <c:f>'WTP Main'!$BS$151:$BS$152</c:f>
              <c:numCache>
                <c:formatCode>"£"#,##0</c:formatCode>
                <c:ptCount val="2"/>
                <c:pt idx="0">
                  <c:v>1511602.8643979887</c:v>
                </c:pt>
                <c:pt idx="1">
                  <c:v>1083378.236029218</c:v>
                </c:pt>
              </c:numCache>
            </c:numRef>
          </c:val>
          <c:extLst xmlns:c16r2="http://schemas.microsoft.com/office/drawing/2015/06/chart">
            <c:ext xmlns:c16="http://schemas.microsoft.com/office/drawing/2014/chart" uri="{C3380CC4-5D6E-409C-BE32-E72D297353CC}">
              <c16:uniqueId val="{00000000-0B32-45D3-88D8-1941DA83B50A}"/>
            </c:ext>
          </c:extLst>
        </c:ser>
        <c:dLbls>
          <c:showLegendKey val="0"/>
          <c:showVal val="0"/>
          <c:showCatName val="0"/>
          <c:showSerName val="0"/>
          <c:showPercent val="0"/>
          <c:showBubbleSize val="0"/>
        </c:dLbls>
        <c:gapWidth val="219"/>
        <c:overlap val="-27"/>
        <c:axId val="1187257440"/>
        <c:axId val="1187261792"/>
        <c:extLst xmlns:c16r2="http://schemas.microsoft.com/office/drawing/2015/06/chart"/>
      </c:barChart>
      <c:catAx>
        <c:axId val="1187257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7261792"/>
        <c:crosses val="autoZero"/>
        <c:auto val="1"/>
        <c:lblAlgn val="ctr"/>
        <c:lblOffset val="100"/>
        <c:noMultiLvlLbl val="0"/>
      </c:catAx>
      <c:valAx>
        <c:axId val="1187261792"/>
        <c:scaling>
          <c:orientation val="minMax"/>
          <c:max val="25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725744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HH WTP Unit Values and Range</a:t>
            </a:r>
            <a:r>
              <a:rPr lang="en-US" b="1" baseline="0"/>
              <a:t> - Leakage (£/MLD/yr)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Main'!$BS$186</c:f>
              <c:strCache>
                <c:ptCount val="1"/>
                <c:pt idx="0">
                  <c:v>COMBINED</c:v>
                </c:pt>
              </c:strCache>
            </c:strRef>
          </c:tx>
          <c:spPr>
            <a:solidFill>
              <a:schemeClr val="accent2"/>
            </a:solidFill>
            <a:ln>
              <a:noFill/>
            </a:ln>
            <a:effectLst/>
          </c:spPr>
          <c:invertIfNegative val="0"/>
          <c:errBars>
            <c:errBarType val="both"/>
            <c:errValType val="cust"/>
            <c:noEndCap val="0"/>
            <c:plus>
              <c:numRef>
                <c:f>'WTP Main'!$CG$187</c:f>
                <c:numCache>
                  <c:formatCode>General</c:formatCode>
                  <c:ptCount val="1"/>
                  <c:pt idx="0">
                    <c:v>70493.140643119623</c:v>
                  </c:pt>
                </c:numCache>
              </c:numRef>
            </c:plus>
            <c:minus>
              <c:numRef>
                <c:f>'WTP Main'!$CF$187</c:f>
                <c:numCache>
                  <c:formatCode>General</c:formatCode>
                  <c:ptCount val="1"/>
                  <c:pt idx="0">
                    <c:v>40781.248611750343</c:v>
                  </c:pt>
                </c:numCache>
              </c:numRef>
            </c:minus>
            <c:spPr>
              <a:noFill/>
              <a:ln w="9525" cap="flat" cmpd="sng" algn="ctr">
                <a:solidFill>
                  <a:sysClr val="windowText" lastClr="000000"/>
                </a:solidFill>
                <a:round/>
              </a:ln>
              <a:effectLst/>
            </c:spPr>
          </c:errBars>
          <c:cat>
            <c:strRef>
              <c:f>'WTP Main'!$A$187</c:f>
              <c:strCache>
                <c:ptCount val="1"/>
                <c:pt idx="0">
                  <c:v>Leakage</c:v>
                </c:pt>
              </c:strCache>
            </c:strRef>
          </c:cat>
          <c:val>
            <c:numRef>
              <c:f>'WTP Main'!$BS$187</c:f>
              <c:numCache>
                <c:formatCode>"£"#,##0</c:formatCode>
                <c:ptCount val="1"/>
                <c:pt idx="0">
                  <c:v>91861.563109842726</c:v>
                </c:pt>
              </c:numCache>
            </c:numRef>
          </c:val>
          <c:extLst xmlns:c16r2="http://schemas.microsoft.com/office/drawing/2015/06/chart">
            <c:ext xmlns:c16="http://schemas.microsoft.com/office/drawing/2014/chart" uri="{C3380CC4-5D6E-409C-BE32-E72D297353CC}">
              <c16:uniqueId val="{00000000-0E82-4C4E-BD49-B4887B45E049}"/>
            </c:ext>
          </c:extLst>
        </c:ser>
        <c:ser>
          <c:idx val="1"/>
          <c:order val="1"/>
          <c:tx>
            <c:strRef>
              <c:f>'WTP Main'!$BT$186</c:f>
              <c:strCache>
                <c:ptCount val="1"/>
                <c:pt idx="0">
                  <c:v>WTPCore_DCE</c:v>
                </c:pt>
              </c:strCache>
            </c:strRef>
          </c:tx>
          <c:spPr>
            <a:solidFill>
              <a:schemeClr val="accent4"/>
            </a:solidFill>
            <a:ln>
              <a:noFill/>
            </a:ln>
            <a:effectLst/>
          </c:spPr>
          <c:invertIfNegative val="0"/>
          <c:cat>
            <c:strRef>
              <c:f>'WTP Main'!$A$187</c:f>
              <c:strCache>
                <c:ptCount val="1"/>
                <c:pt idx="0">
                  <c:v>Leakage</c:v>
                </c:pt>
              </c:strCache>
            </c:strRef>
          </c:cat>
          <c:val>
            <c:numRef>
              <c:f>'WTP Main'!$BT$187</c:f>
              <c:numCache>
                <c:formatCode>"£"#,##0</c:formatCode>
                <c:ptCount val="1"/>
                <c:pt idx="0">
                  <c:v>140121.48148148149</c:v>
                </c:pt>
              </c:numCache>
            </c:numRef>
          </c:val>
          <c:extLst xmlns:c16r2="http://schemas.microsoft.com/office/drawing/2015/06/chart">
            <c:ext xmlns:c16="http://schemas.microsoft.com/office/drawing/2014/chart" uri="{C3380CC4-5D6E-409C-BE32-E72D297353CC}">
              <c16:uniqueId val="{00000001-0E82-4C4E-BD49-B4887B45E049}"/>
            </c:ext>
          </c:extLst>
        </c:ser>
        <c:ser>
          <c:idx val="2"/>
          <c:order val="2"/>
          <c:tx>
            <c:strRef>
              <c:f>'WTP Main'!$BU$186</c:f>
              <c:strCache>
                <c:ptCount val="1"/>
                <c:pt idx="0">
                  <c:v>WTPCore_DCE2</c:v>
                </c:pt>
              </c:strCache>
            </c:strRef>
          </c:tx>
          <c:spPr>
            <a:solidFill>
              <a:schemeClr val="accent6"/>
            </a:solidFill>
            <a:ln>
              <a:noFill/>
            </a:ln>
            <a:effectLst/>
          </c:spPr>
          <c:invertIfNegative val="0"/>
          <c:cat>
            <c:strRef>
              <c:f>'WTP Main'!$A$187</c:f>
              <c:strCache>
                <c:ptCount val="1"/>
                <c:pt idx="0">
                  <c:v>Leakage</c:v>
                </c:pt>
              </c:strCache>
            </c:strRef>
          </c:cat>
          <c:val>
            <c:numRef>
              <c:f>'WTP Main'!$BU$187</c:f>
              <c:numCache>
                <c:formatCode>"£"#,##0</c:formatCode>
                <c:ptCount val="1"/>
                <c:pt idx="0">
                  <c:v>60941.450056590147</c:v>
                </c:pt>
              </c:numCache>
            </c:numRef>
          </c:val>
          <c:extLst xmlns:c16r2="http://schemas.microsoft.com/office/drawing/2015/06/chart">
            <c:ext xmlns:c16="http://schemas.microsoft.com/office/drawing/2014/chart" uri="{C3380CC4-5D6E-409C-BE32-E72D297353CC}">
              <c16:uniqueId val="{00000002-0E82-4C4E-BD49-B4887B45E049}"/>
            </c:ext>
          </c:extLst>
        </c:ser>
        <c:ser>
          <c:idx val="3"/>
          <c:order val="3"/>
          <c:tx>
            <c:strRef>
              <c:f>'WTP Main'!$BV$186</c:f>
              <c:strCache>
                <c:ptCount val="1"/>
                <c:pt idx="0">
                  <c:v>WTP core_DCE_Private</c:v>
                </c:pt>
              </c:strCache>
            </c:strRef>
          </c:tx>
          <c:spPr>
            <a:solidFill>
              <a:schemeClr val="accent2">
                <a:lumMod val="60000"/>
              </a:schemeClr>
            </a:solidFill>
            <a:ln>
              <a:noFill/>
            </a:ln>
            <a:effectLst/>
          </c:spPr>
          <c:invertIfNegative val="0"/>
          <c:cat>
            <c:strRef>
              <c:f>'WTP Main'!$A$187</c:f>
              <c:strCache>
                <c:ptCount val="1"/>
                <c:pt idx="0">
                  <c:v>Leakage</c:v>
                </c:pt>
              </c:strCache>
            </c:strRef>
          </c:cat>
          <c:val>
            <c:numRef>
              <c:f>'WTP Main'!$BV$187</c:f>
              <c:numCache>
                <c:formatCode>"£"#,##0</c:formatCode>
                <c:ptCount val="1"/>
                <c:pt idx="0">
                  <c:v>63462.222222222219</c:v>
                </c:pt>
              </c:numCache>
            </c:numRef>
          </c:val>
          <c:extLst xmlns:c16r2="http://schemas.microsoft.com/office/drawing/2015/06/chart">
            <c:ext xmlns:c16="http://schemas.microsoft.com/office/drawing/2014/chart" uri="{C3380CC4-5D6E-409C-BE32-E72D297353CC}">
              <c16:uniqueId val="{00000003-0E82-4C4E-BD49-B4887B45E049}"/>
            </c:ext>
          </c:extLst>
        </c:ser>
        <c:ser>
          <c:idx val="4"/>
          <c:order val="4"/>
          <c:tx>
            <c:strRef>
              <c:f>'WTP Main'!$BW$186</c:f>
              <c:strCache>
                <c:ptCount val="1"/>
                <c:pt idx="0">
                  <c:v>WTPCore_DCE2_LowBill</c:v>
                </c:pt>
              </c:strCache>
            </c:strRef>
          </c:tx>
          <c:spPr>
            <a:solidFill>
              <a:schemeClr val="accent4">
                <a:lumMod val="60000"/>
              </a:schemeClr>
            </a:solidFill>
            <a:ln>
              <a:noFill/>
            </a:ln>
            <a:effectLst/>
          </c:spPr>
          <c:invertIfNegative val="0"/>
          <c:cat>
            <c:strRef>
              <c:f>'WTP Main'!$A$187</c:f>
              <c:strCache>
                <c:ptCount val="1"/>
                <c:pt idx="0">
                  <c:v>Leakage</c:v>
                </c:pt>
              </c:strCache>
            </c:strRef>
          </c:cat>
          <c:val>
            <c:numRef>
              <c:f>'WTP Main'!$BW$187</c:f>
              <c:numCache>
                <c:formatCode>"£"#,##0</c:formatCode>
                <c:ptCount val="1"/>
                <c:pt idx="0">
                  <c:v>43191.828048584292</c:v>
                </c:pt>
              </c:numCache>
            </c:numRef>
          </c:val>
          <c:extLst xmlns:c15="http://schemas.microsoft.com/office/drawing/2012/chart" xmlns:c16r2="http://schemas.microsoft.com/office/drawing/2015/06/chart">
            <c:ext xmlns:c16="http://schemas.microsoft.com/office/drawing/2014/chart" uri="{C3380CC4-5D6E-409C-BE32-E72D297353CC}">
              <c16:uniqueId val="{00000004-0E82-4C4E-BD49-B4887B45E049}"/>
            </c:ext>
          </c:extLst>
        </c:ser>
        <c:ser>
          <c:idx val="5"/>
          <c:order val="5"/>
          <c:tx>
            <c:strRef>
              <c:f>'WTP Main'!$BY$186</c:f>
              <c:strCache>
                <c:ptCount val="1"/>
                <c:pt idx="0">
                  <c:v>ExternalWTP14</c:v>
                </c:pt>
              </c:strCache>
            </c:strRef>
          </c:tx>
          <c:spPr>
            <a:solidFill>
              <a:schemeClr val="accent6">
                <a:lumMod val="60000"/>
              </a:schemeClr>
            </a:solidFill>
            <a:ln>
              <a:noFill/>
            </a:ln>
            <a:effectLst/>
          </c:spPr>
          <c:invertIfNegative val="0"/>
          <c:cat>
            <c:strRef>
              <c:f>'WTP Main'!$A$187</c:f>
              <c:strCache>
                <c:ptCount val="1"/>
                <c:pt idx="0">
                  <c:v>Leakage</c:v>
                </c:pt>
              </c:strCache>
            </c:strRef>
          </c:cat>
          <c:val>
            <c:numRef>
              <c:f>'WTP Main'!$BY$187</c:f>
              <c:numCache>
                <c:formatCode>"£"#,##0</c:formatCode>
                <c:ptCount val="1"/>
                <c:pt idx="0">
                  <c:v>87376.335611595307</c:v>
                </c:pt>
              </c:numCache>
            </c:numRef>
          </c:val>
          <c:extLst xmlns:c16r2="http://schemas.microsoft.com/office/drawing/2015/06/chart">
            <c:ext xmlns:c16="http://schemas.microsoft.com/office/drawing/2014/chart" uri="{C3380CC4-5D6E-409C-BE32-E72D297353CC}">
              <c16:uniqueId val="{00000000-E54E-4251-9296-0B43A792A02F}"/>
            </c:ext>
          </c:extLst>
        </c:ser>
        <c:ser>
          <c:idx val="6"/>
          <c:order val="6"/>
          <c:tx>
            <c:strRef>
              <c:f>'WTP Main'!$BZ$186</c:f>
              <c:strCache>
                <c:ptCount val="1"/>
                <c:pt idx="0">
                  <c:v>ExternalWTP19</c:v>
                </c:pt>
              </c:strCache>
            </c:strRef>
          </c:tx>
          <c:spPr>
            <a:solidFill>
              <a:schemeClr val="accent2">
                <a:lumMod val="80000"/>
                <a:lumOff val="20000"/>
              </a:schemeClr>
            </a:solidFill>
            <a:ln>
              <a:noFill/>
            </a:ln>
            <a:effectLst/>
          </c:spPr>
          <c:invertIfNegative val="0"/>
          <c:cat>
            <c:strRef>
              <c:f>'WTP Main'!$A$187</c:f>
              <c:strCache>
                <c:ptCount val="1"/>
                <c:pt idx="0">
                  <c:v>Leakage</c:v>
                </c:pt>
              </c:strCache>
            </c:strRef>
          </c:cat>
          <c:val>
            <c:numRef>
              <c:f>'WTP Main'!$BZ$187</c:f>
              <c:numCache>
                <c:formatCode>"£"#,##0</c:formatCode>
                <c:ptCount val="1"/>
                <c:pt idx="0">
                  <c:v>86453.117807355564</c:v>
                </c:pt>
              </c:numCache>
            </c:numRef>
          </c:val>
          <c:extLst xmlns:c16r2="http://schemas.microsoft.com/office/drawing/2015/06/chart">
            <c:ext xmlns:c16="http://schemas.microsoft.com/office/drawing/2014/chart" uri="{C3380CC4-5D6E-409C-BE32-E72D297353CC}">
              <c16:uniqueId val="{00000001-E54E-4251-9296-0B43A792A02F}"/>
            </c:ext>
          </c:extLst>
        </c:ser>
        <c:ser>
          <c:idx val="7"/>
          <c:order val="7"/>
          <c:tx>
            <c:strRef>
              <c:f>'WTP Main'!$CA$186</c:f>
              <c:strCache>
                <c:ptCount val="1"/>
                <c:pt idx="0">
                  <c:v>WTPCore_MaxDiff</c:v>
                </c:pt>
              </c:strCache>
            </c:strRef>
          </c:tx>
          <c:spPr>
            <a:solidFill>
              <a:srgbClr val="FF0000"/>
            </a:solidFill>
            <a:ln>
              <a:noFill/>
            </a:ln>
            <a:effectLst/>
          </c:spPr>
          <c:invertIfNegative val="0"/>
          <c:cat>
            <c:strRef>
              <c:f>'WTP Main'!$A$187</c:f>
              <c:strCache>
                <c:ptCount val="1"/>
                <c:pt idx="0">
                  <c:v>Leakage</c:v>
                </c:pt>
              </c:strCache>
            </c:strRef>
          </c:cat>
          <c:val>
            <c:numRef>
              <c:f>'WTP Main'!$CA$187</c:f>
              <c:numCache>
                <c:formatCode>"£"#,##0</c:formatCode>
                <c:ptCount val="1"/>
                <c:pt idx="0">
                  <c:v>40885.00234515479</c:v>
                </c:pt>
              </c:numCache>
            </c:numRef>
          </c:val>
          <c:extLst xmlns:c16r2="http://schemas.microsoft.com/office/drawing/2015/06/chart">
            <c:ext xmlns:c16="http://schemas.microsoft.com/office/drawing/2014/chart" uri="{C3380CC4-5D6E-409C-BE32-E72D297353CC}">
              <c16:uniqueId val="{00000002-E54E-4251-9296-0B43A792A02F}"/>
            </c:ext>
          </c:extLst>
        </c:ser>
        <c:ser>
          <c:idx val="8"/>
          <c:order val="8"/>
          <c:tx>
            <c:strRef>
              <c:f>'WTP Main'!$CB$186</c:f>
              <c:strCache>
                <c:ptCount val="1"/>
                <c:pt idx="0">
                  <c:v>Priorities</c:v>
                </c:pt>
              </c:strCache>
            </c:strRef>
          </c:tx>
          <c:spPr>
            <a:solidFill>
              <a:srgbClr val="92D050"/>
            </a:solidFill>
            <a:ln>
              <a:noFill/>
            </a:ln>
            <a:effectLst/>
          </c:spPr>
          <c:invertIfNegative val="0"/>
          <c:cat>
            <c:strRef>
              <c:f>'WTP Main'!$A$187</c:f>
              <c:strCache>
                <c:ptCount val="1"/>
                <c:pt idx="0">
                  <c:v>Leakage</c:v>
                </c:pt>
              </c:strCache>
            </c:strRef>
          </c:cat>
          <c:val>
            <c:numRef>
              <c:f>'WTP Main'!$CB$187</c:f>
              <c:numCache>
                <c:formatCode>"£"#,##0</c:formatCode>
                <c:ptCount val="1"/>
                <c:pt idx="0">
                  <c:v>50383.602359329678</c:v>
                </c:pt>
              </c:numCache>
            </c:numRef>
          </c:val>
          <c:extLst xmlns:c16r2="http://schemas.microsoft.com/office/drawing/2015/06/chart">
            <c:ext xmlns:c16="http://schemas.microsoft.com/office/drawing/2014/chart" uri="{C3380CC4-5D6E-409C-BE32-E72D297353CC}">
              <c16:uniqueId val="{00000003-E54E-4251-9296-0B43A792A02F}"/>
            </c:ext>
          </c:extLst>
        </c:ser>
        <c:ser>
          <c:idx val="9"/>
          <c:order val="9"/>
          <c:tx>
            <c:strRef>
              <c:f>'WTP Main'!$CC$186</c:f>
              <c:strCache>
                <c:ptCount val="1"/>
                <c:pt idx="0">
                  <c:v>WRMP_online</c:v>
                </c:pt>
              </c:strCache>
            </c:strRef>
          </c:tx>
          <c:spPr>
            <a:solidFill>
              <a:schemeClr val="accent2">
                <a:lumMod val="80000"/>
              </a:schemeClr>
            </a:solidFill>
            <a:ln>
              <a:noFill/>
            </a:ln>
            <a:effectLst/>
          </c:spPr>
          <c:invertIfNegative val="0"/>
          <c:cat>
            <c:strRef>
              <c:f>'WTP Main'!$A$187</c:f>
              <c:strCache>
                <c:ptCount val="1"/>
                <c:pt idx="0">
                  <c:v>Leakage</c:v>
                </c:pt>
              </c:strCache>
            </c:strRef>
          </c:cat>
          <c:val>
            <c:numRef>
              <c:f>'WTP Main'!$CC$187</c:f>
              <c:numCache>
                <c:formatCode>"£"#,##0</c:formatCode>
                <c:ptCount val="1"/>
                <c:pt idx="0">
                  <c:v>150393.0418101199</c:v>
                </c:pt>
              </c:numCache>
            </c:numRef>
          </c:val>
          <c:extLst xmlns:c16r2="http://schemas.microsoft.com/office/drawing/2015/06/chart">
            <c:ext xmlns:c16="http://schemas.microsoft.com/office/drawing/2014/chart" uri="{C3380CC4-5D6E-409C-BE32-E72D297353CC}">
              <c16:uniqueId val="{00000004-E54E-4251-9296-0B43A792A02F}"/>
            </c:ext>
          </c:extLst>
        </c:ser>
        <c:ser>
          <c:idx val="10"/>
          <c:order val="10"/>
          <c:tx>
            <c:strRef>
              <c:f>'WTP Main'!$CD$186</c:f>
              <c:strCache>
                <c:ptCount val="1"/>
                <c:pt idx="0">
                  <c:v>WRMP_workshop</c:v>
                </c:pt>
              </c:strCache>
            </c:strRef>
          </c:tx>
          <c:spPr>
            <a:solidFill>
              <a:schemeClr val="accent4">
                <a:lumMod val="80000"/>
              </a:schemeClr>
            </a:solidFill>
            <a:ln>
              <a:noFill/>
            </a:ln>
            <a:effectLst/>
          </c:spPr>
          <c:invertIfNegative val="0"/>
          <c:cat>
            <c:strRef>
              <c:f>'WTP Main'!$A$187</c:f>
              <c:strCache>
                <c:ptCount val="1"/>
                <c:pt idx="0">
                  <c:v>Leakage</c:v>
                </c:pt>
              </c:strCache>
            </c:strRef>
          </c:cat>
          <c:val>
            <c:numRef>
              <c:f>'WTP Main'!$CD$187</c:f>
              <c:numCache>
                <c:formatCode>"£"#,##0</c:formatCode>
                <c:ptCount val="1"/>
                <c:pt idx="0">
                  <c:v>179977.98891374224</c:v>
                </c:pt>
              </c:numCache>
            </c:numRef>
          </c:val>
          <c:extLst xmlns:c16r2="http://schemas.microsoft.com/office/drawing/2015/06/chart">
            <c:ext xmlns:c16="http://schemas.microsoft.com/office/drawing/2014/chart" uri="{C3380CC4-5D6E-409C-BE32-E72D297353CC}">
              <c16:uniqueId val="{00000005-E54E-4251-9296-0B43A792A02F}"/>
            </c:ext>
          </c:extLst>
        </c:ser>
        <c:ser>
          <c:idx val="11"/>
          <c:order val="11"/>
          <c:tx>
            <c:strRef>
              <c:f>'WTP Main'!$CE$186</c:f>
              <c:strCache>
                <c:ptCount val="1"/>
                <c:pt idx="0">
                  <c:v>PC Slider</c:v>
                </c:pt>
              </c:strCache>
            </c:strRef>
          </c:tx>
          <c:spPr>
            <a:solidFill>
              <a:srgbClr val="FFC000"/>
            </a:solidFill>
            <a:ln>
              <a:noFill/>
            </a:ln>
            <a:effectLst/>
          </c:spPr>
          <c:invertIfNegative val="0"/>
          <c:cat>
            <c:strRef>
              <c:f>'WTP Main'!$A$187</c:f>
              <c:strCache>
                <c:ptCount val="1"/>
                <c:pt idx="0">
                  <c:v>Leakage</c:v>
                </c:pt>
              </c:strCache>
            </c:strRef>
          </c:cat>
          <c:val>
            <c:numRef>
              <c:f>'WTP Main'!$CE$187</c:f>
              <c:numCache>
                <c:formatCode>"£"#,##0</c:formatCode>
                <c:ptCount val="1"/>
                <c:pt idx="0">
                  <c:v>59174.80951181936</c:v>
                </c:pt>
              </c:numCache>
            </c:numRef>
          </c:val>
          <c:extLst xmlns:c16r2="http://schemas.microsoft.com/office/drawing/2015/06/chart">
            <c:ext xmlns:c16="http://schemas.microsoft.com/office/drawing/2014/chart" uri="{C3380CC4-5D6E-409C-BE32-E72D297353CC}">
              <c16:uniqueId val="{00000006-E54E-4251-9296-0B43A792A02F}"/>
            </c:ext>
          </c:extLst>
        </c:ser>
        <c:dLbls>
          <c:showLegendKey val="0"/>
          <c:showVal val="0"/>
          <c:showCatName val="0"/>
          <c:showSerName val="0"/>
          <c:showPercent val="0"/>
          <c:showBubbleSize val="0"/>
        </c:dLbls>
        <c:gapWidth val="219"/>
        <c:overlap val="-27"/>
        <c:axId val="1187259072"/>
        <c:axId val="1187260160"/>
        <c:extLst xmlns:c16r2="http://schemas.microsoft.com/office/drawing/2015/06/chart"/>
      </c:barChart>
      <c:catAx>
        <c:axId val="1187259072"/>
        <c:scaling>
          <c:orientation val="minMax"/>
        </c:scaling>
        <c:delete val="1"/>
        <c:axPos val="b"/>
        <c:numFmt formatCode="General" sourceLinked="1"/>
        <c:majorTickMark val="none"/>
        <c:minorTickMark val="none"/>
        <c:tickLblPos val="nextTo"/>
        <c:crossAx val="1187260160"/>
        <c:crosses val="autoZero"/>
        <c:auto val="1"/>
        <c:lblAlgn val="ctr"/>
        <c:lblOffset val="100"/>
        <c:noMultiLvlLbl val="0"/>
      </c:catAx>
      <c:valAx>
        <c:axId val="1187260160"/>
        <c:scaling>
          <c:orientation val="minMax"/>
          <c:max val="25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7259072"/>
        <c:crosses val="autoZero"/>
        <c:crossBetween val="between"/>
      </c:valAx>
      <c:spPr>
        <a:noFill/>
        <a:ln>
          <a:noFill/>
        </a:ln>
        <a:effectLst/>
      </c:spPr>
    </c:plotArea>
    <c:legend>
      <c:legendPos val="b"/>
      <c:layout>
        <c:manualLayout>
          <c:xMode val="edge"/>
          <c:yMode val="edge"/>
          <c:x val="6.6054304885550003E-2"/>
          <c:y val="0.83851308964067128"/>
          <c:w val="0.91907808585068429"/>
          <c:h val="0.1516047672517713"/>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HH WTP Unit Values and Range</a:t>
            </a:r>
            <a:r>
              <a:rPr lang="en-US" b="1" baseline="0"/>
              <a:t> - Environmental Protection (£/Hectare/yr)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Main'!$BS$250</c:f>
              <c:strCache>
                <c:ptCount val="1"/>
                <c:pt idx="0">
                  <c:v>COMBINED</c:v>
                </c:pt>
              </c:strCache>
            </c:strRef>
          </c:tx>
          <c:spPr>
            <a:solidFill>
              <a:schemeClr val="accent2"/>
            </a:solidFill>
            <a:ln>
              <a:noFill/>
            </a:ln>
            <a:effectLst/>
          </c:spPr>
          <c:invertIfNegative val="0"/>
          <c:errBars>
            <c:errBarType val="both"/>
            <c:errValType val="cust"/>
            <c:noEndCap val="0"/>
            <c:plus>
              <c:numRef>
                <c:f>'WTP Main'!$CE$251:$CE$252</c:f>
                <c:numCache>
                  <c:formatCode>General</c:formatCode>
                  <c:ptCount val="2"/>
                  <c:pt idx="0">
                    <c:v>18689.673328497418</c:v>
                  </c:pt>
                  <c:pt idx="1">
                    <c:v>961.32848910570829</c:v>
                  </c:pt>
                </c:numCache>
              </c:numRef>
            </c:plus>
            <c:minus>
              <c:numRef>
                <c:f>'WTP Main'!$CD$251:$CD$252</c:f>
                <c:numCache>
                  <c:formatCode>General</c:formatCode>
                  <c:ptCount val="2"/>
                  <c:pt idx="0">
                    <c:v>8415.9217545186184</c:v>
                  </c:pt>
                  <c:pt idx="1">
                    <c:v>1170.5448011350377</c:v>
                  </c:pt>
                </c:numCache>
              </c:numRef>
            </c:minus>
            <c:spPr>
              <a:noFill/>
              <a:ln w="9525" cap="flat" cmpd="sng" algn="ctr">
                <a:solidFill>
                  <a:sysClr val="windowText" lastClr="000000"/>
                </a:solidFill>
                <a:round/>
              </a:ln>
              <a:effectLst/>
            </c:spPr>
          </c:errBars>
          <c:cat>
            <c:strRef>
              <c:f>'WTP Main'!$A$251:$A$252</c:f>
              <c:strCache>
                <c:ptCount val="2"/>
                <c:pt idx="0">
                  <c:v>Protecting wildlife habitats</c:v>
                </c:pt>
                <c:pt idx="1">
                  <c:v>Managing impacts on rivers &amp; streams</c:v>
                </c:pt>
              </c:strCache>
            </c:strRef>
          </c:cat>
          <c:val>
            <c:numRef>
              <c:f>'WTP Main'!$BS$251:$BS$252</c:f>
              <c:numCache>
                <c:formatCode>"£"#,##0</c:formatCode>
                <c:ptCount val="2"/>
                <c:pt idx="0">
                  <c:v>11869.706961417576</c:v>
                </c:pt>
                <c:pt idx="1">
                  <c:v>2131.2810014187971</c:v>
                </c:pt>
              </c:numCache>
            </c:numRef>
          </c:val>
          <c:extLst xmlns:c16r2="http://schemas.microsoft.com/office/drawing/2015/06/chart">
            <c:ext xmlns:c16="http://schemas.microsoft.com/office/drawing/2014/chart" uri="{C3380CC4-5D6E-409C-BE32-E72D297353CC}">
              <c16:uniqueId val="{00000000-54BB-425D-889F-13A529ADBB66}"/>
            </c:ext>
          </c:extLst>
        </c:ser>
        <c:ser>
          <c:idx val="1"/>
          <c:order val="1"/>
          <c:tx>
            <c:strRef>
              <c:f>'WTP Main'!$BT$250</c:f>
              <c:strCache>
                <c:ptCount val="1"/>
                <c:pt idx="0">
                  <c:v>WTPCore_DCE</c:v>
                </c:pt>
              </c:strCache>
            </c:strRef>
          </c:tx>
          <c:spPr>
            <a:solidFill>
              <a:schemeClr val="accent4"/>
            </a:solidFill>
            <a:ln>
              <a:noFill/>
            </a:ln>
            <a:effectLst/>
          </c:spPr>
          <c:invertIfNegative val="0"/>
          <c:cat>
            <c:strRef>
              <c:f>'WTP Main'!$A$251:$A$252</c:f>
              <c:strCache>
                <c:ptCount val="2"/>
                <c:pt idx="0">
                  <c:v>Protecting wildlife habitats</c:v>
                </c:pt>
                <c:pt idx="1">
                  <c:v>Managing impacts on rivers &amp; streams</c:v>
                </c:pt>
              </c:strCache>
            </c:strRef>
          </c:cat>
          <c:val>
            <c:numRef>
              <c:f>'WTP Main'!$BT$251:$BT$252</c:f>
              <c:numCache>
                <c:formatCode>"£"#,##0</c:formatCode>
                <c:ptCount val="2"/>
                <c:pt idx="0">
                  <c:v>14803.000000000004</c:v>
                </c:pt>
                <c:pt idx="1">
                  <c:v>1912.6</c:v>
                </c:pt>
              </c:numCache>
            </c:numRef>
          </c:val>
          <c:extLst xmlns:c16r2="http://schemas.microsoft.com/office/drawing/2015/06/chart">
            <c:ext xmlns:c16="http://schemas.microsoft.com/office/drawing/2014/chart" uri="{C3380CC4-5D6E-409C-BE32-E72D297353CC}">
              <c16:uniqueId val="{00000001-54BB-425D-889F-13A529ADBB66}"/>
            </c:ext>
          </c:extLst>
        </c:ser>
        <c:ser>
          <c:idx val="2"/>
          <c:order val="2"/>
          <c:tx>
            <c:strRef>
              <c:f>'WTP Main'!$BU$250</c:f>
              <c:strCache>
                <c:ptCount val="1"/>
                <c:pt idx="0">
                  <c:v>WTPCore_DCE2</c:v>
                </c:pt>
              </c:strCache>
            </c:strRef>
          </c:tx>
          <c:spPr>
            <a:solidFill>
              <a:schemeClr val="accent6"/>
            </a:solidFill>
            <a:ln>
              <a:noFill/>
            </a:ln>
            <a:effectLst/>
          </c:spPr>
          <c:invertIfNegative val="0"/>
          <c:cat>
            <c:strRef>
              <c:f>'WTP Main'!$A$251:$A$252</c:f>
              <c:strCache>
                <c:ptCount val="2"/>
                <c:pt idx="0">
                  <c:v>Protecting wildlife habitats</c:v>
                </c:pt>
                <c:pt idx="1">
                  <c:v>Managing impacts on rivers &amp; streams</c:v>
                </c:pt>
              </c:strCache>
            </c:strRef>
          </c:cat>
          <c:val>
            <c:numRef>
              <c:f>'WTP Main'!$BU$251:$BU$252</c:f>
              <c:numCache>
                <c:formatCode>"£"#,##0</c:formatCode>
                <c:ptCount val="2"/>
                <c:pt idx="0">
                  <c:v>2727.836734528471</c:v>
                </c:pt>
                <c:pt idx="1">
                  <c:v>1749.1316971465267</c:v>
                </c:pt>
              </c:numCache>
            </c:numRef>
          </c:val>
          <c:extLst xmlns:c16r2="http://schemas.microsoft.com/office/drawing/2015/06/chart">
            <c:ext xmlns:c16="http://schemas.microsoft.com/office/drawing/2014/chart" uri="{C3380CC4-5D6E-409C-BE32-E72D297353CC}">
              <c16:uniqueId val="{00000002-54BB-425D-889F-13A529ADBB66}"/>
            </c:ext>
          </c:extLst>
        </c:ser>
        <c:ser>
          <c:idx val="3"/>
          <c:order val="3"/>
          <c:tx>
            <c:strRef>
              <c:f>'WTP Main'!$BV$250</c:f>
              <c:strCache>
                <c:ptCount val="1"/>
                <c:pt idx="0">
                  <c:v>WTP core_DCE_Private</c:v>
                </c:pt>
              </c:strCache>
            </c:strRef>
          </c:tx>
          <c:spPr>
            <a:solidFill>
              <a:schemeClr val="accent2">
                <a:lumMod val="60000"/>
              </a:schemeClr>
            </a:solidFill>
            <a:ln>
              <a:noFill/>
            </a:ln>
            <a:effectLst/>
          </c:spPr>
          <c:invertIfNegative val="0"/>
          <c:cat>
            <c:strRef>
              <c:f>'WTP Main'!$A$251:$A$252</c:f>
              <c:strCache>
                <c:ptCount val="2"/>
                <c:pt idx="0">
                  <c:v>Protecting wildlife habitats</c:v>
                </c:pt>
                <c:pt idx="1">
                  <c:v>Managing impacts on rivers &amp; streams</c:v>
                </c:pt>
              </c:strCache>
            </c:strRef>
          </c:cat>
          <c:val>
            <c:numRef>
              <c:f>'WTP Main'!$BV$251:$BV$252</c:f>
              <c:numCache>
                <c:formatCode>"£"#,##0</c:formatCode>
                <c:ptCount val="2"/>
                <c:pt idx="0">
                  <c:v>6943</c:v>
                </c:pt>
                <c:pt idx="1">
                  <c:v>668.1</c:v>
                </c:pt>
              </c:numCache>
            </c:numRef>
          </c:val>
          <c:extLst xmlns:c16r2="http://schemas.microsoft.com/office/drawing/2015/06/chart">
            <c:ext xmlns:c16="http://schemas.microsoft.com/office/drawing/2014/chart" uri="{C3380CC4-5D6E-409C-BE32-E72D297353CC}">
              <c16:uniqueId val="{00000003-54BB-425D-889F-13A529ADBB66}"/>
            </c:ext>
          </c:extLst>
        </c:ser>
        <c:ser>
          <c:idx val="4"/>
          <c:order val="4"/>
          <c:tx>
            <c:strRef>
              <c:f>'WTP Main'!$BW$250</c:f>
              <c:strCache>
                <c:ptCount val="1"/>
                <c:pt idx="0">
                  <c:v>WTPCore_DCE2_LowBill</c:v>
                </c:pt>
              </c:strCache>
            </c:strRef>
          </c:tx>
          <c:spPr>
            <a:solidFill>
              <a:schemeClr val="accent4">
                <a:lumMod val="60000"/>
              </a:schemeClr>
            </a:solidFill>
            <a:ln>
              <a:noFill/>
            </a:ln>
            <a:effectLst/>
          </c:spPr>
          <c:invertIfNegative val="0"/>
          <c:cat>
            <c:strRef>
              <c:f>'WTP Main'!$A$251:$A$252</c:f>
              <c:strCache>
                <c:ptCount val="2"/>
                <c:pt idx="0">
                  <c:v>Protecting wildlife habitats</c:v>
                </c:pt>
                <c:pt idx="1">
                  <c:v>Managing impacts on rivers &amp; streams</c:v>
                </c:pt>
              </c:strCache>
            </c:strRef>
          </c:cat>
          <c:val>
            <c:numRef>
              <c:f>'WTP Main'!$BW$251:$BW$252</c:f>
              <c:numCache>
                <c:formatCode>"£"#,##0</c:formatCode>
                <c:ptCount val="2"/>
                <c:pt idx="0">
                  <c:v>3770.1933406620033</c:v>
                </c:pt>
                <c:pt idx="1">
                  <c:v>1474.5976723446449</c:v>
                </c:pt>
              </c:numCache>
            </c:numRef>
          </c:val>
          <c:extLst xmlns:c16r2="http://schemas.microsoft.com/office/drawing/2015/06/chart">
            <c:ext xmlns:c16="http://schemas.microsoft.com/office/drawing/2014/chart" uri="{C3380CC4-5D6E-409C-BE32-E72D297353CC}">
              <c16:uniqueId val="{00000000-7E35-43B6-A586-66EDDC95E6E3}"/>
            </c:ext>
          </c:extLst>
        </c:ser>
        <c:ser>
          <c:idx val="5"/>
          <c:order val="5"/>
          <c:tx>
            <c:strRef>
              <c:f>'WTP Main'!$BZ$250</c:f>
              <c:strCache>
                <c:ptCount val="1"/>
                <c:pt idx="0">
                  <c:v>ExternalWTP19</c:v>
                </c:pt>
              </c:strCache>
            </c:strRef>
          </c:tx>
          <c:spPr>
            <a:solidFill>
              <a:schemeClr val="accent6">
                <a:lumMod val="60000"/>
              </a:schemeClr>
            </a:solidFill>
            <a:ln>
              <a:noFill/>
            </a:ln>
            <a:effectLst/>
          </c:spPr>
          <c:invertIfNegative val="0"/>
          <c:cat>
            <c:strRef>
              <c:f>'WTP Main'!$A$251:$A$252</c:f>
              <c:strCache>
                <c:ptCount val="2"/>
                <c:pt idx="0">
                  <c:v>Protecting wildlife habitats</c:v>
                </c:pt>
                <c:pt idx="1">
                  <c:v>Managing impacts on rivers &amp; streams</c:v>
                </c:pt>
              </c:strCache>
            </c:strRef>
          </c:cat>
          <c:val>
            <c:numRef>
              <c:f>'WTP Main'!$BZ$251:$BZ$252</c:f>
              <c:numCache>
                <c:formatCode>"£"#,##0</c:formatCode>
                <c:ptCount val="2"/>
                <c:pt idx="0">
                  <c:v>8718.2717971501042</c:v>
                </c:pt>
              </c:numCache>
            </c:numRef>
          </c:val>
          <c:extLst xmlns:c16r2="http://schemas.microsoft.com/office/drawing/2015/06/chart">
            <c:ext xmlns:c16="http://schemas.microsoft.com/office/drawing/2014/chart" uri="{C3380CC4-5D6E-409C-BE32-E72D297353CC}">
              <c16:uniqueId val="{00000000-37F1-4597-884D-3AD4FF32C70F}"/>
            </c:ext>
          </c:extLst>
        </c:ser>
        <c:ser>
          <c:idx val="6"/>
          <c:order val="6"/>
          <c:tx>
            <c:strRef>
              <c:f>'WTP Main'!$CA$250</c:f>
              <c:strCache>
                <c:ptCount val="1"/>
                <c:pt idx="0">
                  <c:v>WTPCore_MaxDiff</c:v>
                </c:pt>
              </c:strCache>
            </c:strRef>
          </c:tx>
          <c:spPr>
            <a:solidFill>
              <a:schemeClr val="accent2">
                <a:lumMod val="80000"/>
                <a:lumOff val="20000"/>
              </a:schemeClr>
            </a:solidFill>
            <a:ln>
              <a:noFill/>
            </a:ln>
            <a:effectLst/>
          </c:spPr>
          <c:invertIfNegative val="0"/>
          <c:cat>
            <c:strRef>
              <c:f>'WTP Main'!$A$251:$A$252</c:f>
              <c:strCache>
                <c:ptCount val="2"/>
                <c:pt idx="0">
                  <c:v>Protecting wildlife habitats</c:v>
                </c:pt>
                <c:pt idx="1">
                  <c:v>Managing impacts on rivers &amp; streams</c:v>
                </c:pt>
              </c:strCache>
            </c:strRef>
          </c:cat>
          <c:val>
            <c:numRef>
              <c:f>'WTP Main'!$CA$251:$CA$252</c:f>
              <c:numCache>
                <c:formatCode>"£"#,##0</c:formatCode>
                <c:ptCount val="2"/>
                <c:pt idx="0">
                  <c:v>35231.798622039343</c:v>
                </c:pt>
                <c:pt idx="1">
                  <c:v>3332.9416128009325</c:v>
                </c:pt>
              </c:numCache>
            </c:numRef>
          </c:val>
          <c:extLst xmlns:c16r2="http://schemas.microsoft.com/office/drawing/2015/06/chart">
            <c:ext xmlns:c16="http://schemas.microsoft.com/office/drawing/2014/chart" uri="{C3380CC4-5D6E-409C-BE32-E72D297353CC}">
              <c16:uniqueId val="{00000001-37F1-4597-884D-3AD4FF32C70F}"/>
            </c:ext>
          </c:extLst>
        </c:ser>
        <c:ser>
          <c:idx val="7"/>
          <c:order val="7"/>
          <c:tx>
            <c:strRef>
              <c:f>'WTP Main'!$CB$250</c:f>
              <c:strCache>
                <c:ptCount val="1"/>
                <c:pt idx="0">
                  <c:v>PC Slider</c:v>
                </c:pt>
              </c:strCache>
            </c:strRef>
          </c:tx>
          <c:spPr>
            <a:solidFill>
              <a:srgbClr val="92D050"/>
            </a:solidFill>
            <a:ln>
              <a:noFill/>
            </a:ln>
            <a:effectLst/>
          </c:spPr>
          <c:invertIfNegative val="0"/>
          <c:cat>
            <c:strRef>
              <c:f>'WTP Main'!$A$251:$A$252</c:f>
              <c:strCache>
                <c:ptCount val="2"/>
                <c:pt idx="0">
                  <c:v>Protecting wildlife habitats</c:v>
                </c:pt>
                <c:pt idx="1">
                  <c:v>Managing impacts on rivers &amp; streams</c:v>
                </c:pt>
              </c:strCache>
            </c:strRef>
          </c:cat>
          <c:val>
            <c:numRef>
              <c:f>'WTP Main'!$CB$251:$CB$252</c:f>
              <c:numCache>
                <c:formatCode>"£"#,##0</c:formatCode>
                <c:ptCount val="2"/>
                <c:pt idx="0">
                  <c:v>1349.8047682693043</c:v>
                </c:pt>
              </c:numCache>
            </c:numRef>
          </c:val>
          <c:extLst xmlns:c16r2="http://schemas.microsoft.com/office/drawing/2015/06/chart">
            <c:ext xmlns:c16="http://schemas.microsoft.com/office/drawing/2014/chart" uri="{C3380CC4-5D6E-409C-BE32-E72D297353CC}">
              <c16:uniqueId val="{00000002-37F1-4597-884D-3AD4FF32C70F}"/>
            </c:ext>
          </c:extLst>
        </c:ser>
        <c:ser>
          <c:idx val="8"/>
          <c:order val="8"/>
          <c:tx>
            <c:strRef>
              <c:f>'WTP Main'!$CC$250</c:f>
              <c:strCache>
                <c:ptCount val="1"/>
                <c:pt idx="0">
                  <c:v>Priorities</c:v>
                </c:pt>
              </c:strCache>
            </c:strRef>
          </c:tx>
          <c:spPr>
            <a:solidFill>
              <a:schemeClr val="accent6">
                <a:lumMod val="80000"/>
                <a:lumOff val="20000"/>
              </a:schemeClr>
            </a:solidFill>
            <a:ln>
              <a:noFill/>
            </a:ln>
            <a:effectLst/>
          </c:spPr>
          <c:invertIfNegative val="0"/>
          <c:cat>
            <c:strRef>
              <c:f>'WTP Main'!$A$251:$A$252</c:f>
              <c:strCache>
                <c:ptCount val="2"/>
                <c:pt idx="0">
                  <c:v>Protecting wildlife habitats</c:v>
                </c:pt>
                <c:pt idx="1">
                  <c:v>Managing impacts on rivers &amp; streams</c:v>
                </c:pt>
              </c:strCache>
            </c:strRef>
          </c:cat>
          <c:val>
            <c:numRef>
              <c:f>'WTP Main'!$CC$251:$CC$252</c:f>
              <c:numCache>
                <c:formatCode>"£"#,##0</c:formatCode>
                <c:ptCount val="2"/>
                <c:pt idx="0">
                  <c:v>14171.071943964789</c:v>
                </c:pt>
                <c:pt idx="1">
                  <c:v>0</c:v>
                </c:pt>
              </c:numCache>
            </c:numRef>
          </c:val>
          <c:extLst xmlns:c16r2="http://schemas.microsoft.com/office/drawing/2015/06/chart">
            <c:ext xmlns:c16="http://schemas.microsoft.com/office/drawing/2014/chart" uri="{C3380CC4-5D6E-409C-BE32-E72D297353CC}">
              <c16:uniqueId val="{00000003-37F1-4597-884D-3AD4FF32C70F}"/>
            </c:ext>
          </c:extLst>
        </c:ser>
        <c:dLbls>
          <c:showLegendKey val="0"/>
          <c:showVal val="0"/>
          <c:showCatName val="0"/>
          <c:showSerName val="0"/>
          <c:showPercent val="0"/>
          <c:showBubbleSize val="0"/>
        </c:dLbls>
        <c:gapWidth val="219"/>
        <c:overlap val="-27"/>
        <c:axId val="1187262336"/>
        <c:axId val="1187267232"/>
        <c:extLst xmlns:c16r2="http://schemas.microsoft.com/office/drawing/2015/06/chart"/>
      </c:barChart>
      <c:catAx>
        <c:axId val="11872623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7267232"/>
        <c:crosses val="autoZero"/>
        <c:auto val="1"/>
        <c:lblAlgn val="ctr"/>
        <c:lblOffset val="100"/>
        <c:noMultiLvlLbl val="0"/>
      </c:catAx>
      <c:valAx>
        <c:axId val="1187267232"/>
        <c:scaling>
          <c:orientation val="minMax"/>
          <c:max val="14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7262336"/>
        <c:crosses val="autoZero"/>
        <c:crossBetween val="between"/>
      </c:valAx>
      <c:spPr>
        <a:noFill/>
        <a:ln>
          <a:noFill/>
        </a:ln>
        <a:effectLst/>
      </c:spPr>
    </c:plotArea>
    <c:legend>
      <c:legendPos val="b"/>
      <c:layout>
        <c:manualLayout>
          <c:xMode val="edge"/>
          <c:yMode val="edge"/>
          <c:x val="9.6579216386007957E-2"/>
          <c:y val="0.89168559545543968"/>
          <c:w val="0.85839878474715892"/>
          <c:h val="0.10831440454456029"/>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HH WTP Unit Values and Range</a:t>
            </a:r>
            <a:r>
              <a:rPr lang="en-US" b="1" baseline="0"/>
              <a:t> - Traffic Disruption (£/Roadworks/yr)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Main'!$BS$279</c:f>
              <c:strCache>
                <c:ptCount val="1"/>
                <c:pt idx="0">
                  <c:v>COMBINED</c:v>
                </c:pt>
              </c:strCache>
            </c:strRef>
          </c:tx>
          <c:spPr>
            <a:solidFill>
              <a:schemeClr val="accent2"/>
            </a:solidFill>
            <a:ln>
              <a:noFill/>
            </a:ln>
            <a:effectLst/>
          </c:spPr>
          <c:invertIfNegative val="0"/>
          <c:errBars>
            <c:errBarType val="both"/>
            <c:errValType val="cust"/>
            <c:noEndCap val="0"/>
            <c:plus>
              <c:numRef>
                <c:f>'WTP Main'!$CF$280</c:f>
                <c:numCache>
                  <c:formatCode>General</c:formatCode>
                  <c:ptCount val="1"/>
                  <c:pt idx="0">
                    <c:v>194.04588084094604</c:v>
                  </c:pt>
                </c:numCache>
              </c:numRef>
            </c:plus>
            <c:minus>
              <c:numRef>
                <c:f>'WTP Main'!$CE$280</c:f>
                <c:numCache>
                  <c:formatCode>General</c:formatCode>
                  <c:ptCount val="1"/>
                  <c:pt idx="0">
                    <c:v>236.88036257425637</c:v>
                  </c:pt>
                </c:numCache>
              </c:numRef>
            </c:minus>
            <c:spPr>
              <a:noFill/>
              <a:ln w="9525" cap="flat" cmpd="sng" algn="ctr">
                <a:solidFill>
                  <a:sysClr val="windowText" lastClr="000000"/>
                </a:solidFill>
                <a:round/>
              </a:ln>
              <a:effectLst/>
            </c:spPr>
          </c:errBars>
          <c:cat>
            <c:strRef>
              <c:f>'WTP Main'!$A$280</c:f>
              <c:strCache>
                <c:ptCount val="1"/>
                <c:pt idx="0">
                  <c:v>Traffic disruption</c:v>
                </c:pt>
              </c:strCache>
            </c:strRef>
          </c:cat>
          <c:val>
            <c:numRef>
              <c:f>'WTP Main'!$BS$280</c:f>
              <c:numCache>
                <c:formatCode>"£"#,##0</c:formatCode>
                <c:ptCount val="1"/>
                <c:pt idx="0">
                  <c:v>336.46796551960944</c:v>
                </c:pt>
              </c:numCache>
            </c:numRef>
          </c:val>
          <c:extLst xmlns:c16r2="http://schemas.microsoft.com/office/drawing/2015/06/chart">
            <c:ext xmlns:c16="http://schemas.microsoft.com/office/drawing/2014/chart" uri="{C3380CC4-5D6E-409C-BE32-E72D297353CC}">
              <c16:uniqueId val="{00000000-8152-484D-A0E8-D6C3A85DEA43}"/>
            </c:ext>
          </c:extLst>
        </c:ser>
        <c:ser>
          <c:idx val="1"/>
          <c:order val="1"/>
          <c:tx>
            <c:strRef>
              <c:f>'WTP Main'!$BT$279</c:f>
              <c:strCache>
                <c:ptCount val="1"/>
                <c:pt idx="0">
                  <c:v>WTPCore_DCE</c:v>
                </c:pt>
              </c:strCache>
            </c:strRef>
          </c:tx>
          <c:spPr>
            <a:solidFill>
              <a:schemeClr val="accent4"/>
            </a:solidFill>
            <a:ln>
              <a:noFill/>
            </a:ln>
            <a:effectLst/>
          </c:spPr>
          <c:invertIfNegative val="0"/>
          <c:cat>
            <c:strRef>
              <c:f>'WTP Main'!$A$280</c:f>
              <c:strCache>
                <c:ptCount val="1"/>
                <c:pt idx="0">
                  <c:v>Traffic disruption</c:v>
                </c:pt>
              </c:strCache>
            </c:strRef>
          </c:cat>
          <c:val>
            <c:numRef>
              <c:f>'WTP Main'!$BT$280</c:f>
              <c:numCache>
                <c:formatCode>"£"#,##0</c:formatCode>
                <c:ptCount val="1"/>
                <c:pt idx="0">
                  <c:v>387.61643835616439</c:v>
                </c:pt>
              </c:numCache>
            </c:numRef>
          </c:val>
          <c:extLst xmlns:c16r2="http://schemas.microsoft.com/office/drawing/2015/06/chart">
            <c:ext xmlns:c16="http://schemas.microsoft.com/office/drawing/2014/chart" uri="{C3380CC4-5D6E-409C-BE32-E72D297353CC}">
              <c16:uniqueId val="{00000001-8152-484D-A0E8-D6C3A85DEA43}"/>
            </c:ext>
          </c:extLst>
        </c:ser>
        <c:ser>
          <c:idx val="2"/>
          <c:order val="2"/>
          <c:tx>
            <c:strRef>
              <c:f>'WTP Main'!$BZ$279</c:f>
              <c:strCache>
                <c:ptCount val="1"/>
                <c:pt idx="0">
                  <c:v>ExternalWTP19</c:v>
                </c:pt>
              </c:strCache>
            </c:strRef>
          </c:tx>
          <c:spPr>
            <a:solidFill>
              <a:schemeClr val="accent6"/>
            </a:solidFill>
            <a:ln>
              <a:noFill/>
            </a:ln>
            <a:effectLst/>
          </c:spPr>
          <c:invertIfNegative val="0"/>
          <c:cat>
            <c:strRef>
              <c:f>'WTP Main'!$A$280</c:f>
              <c:strCache>
                <c:ptCount val="1"/>
                <c:pt idx="0">
                  <c:v>Traffic disruption</c:v>
                </c:pt>
              </c:strCache>
            </c:strRef>
          </c:cat>
          <c:val>
            <c:numRef>
              <c:f>'WTP Main'!$BZ$280</c:f>
              <c:numCache>
                <c:formatCode>"£"#,##0</c:formatCode>
                <c:ptCount val="1"/>
                <c:pt idx="0">
                  <c:v>579.02531657079192</c:v>
                </c:pt>
              </c:numCache>
            </c:numRef>
          </c:val>
          <c:extLst xmlns:c16r2="http://schemas.microsoft.com/office/drawing/2015/06/chart">
            <c:ext xmlns:c16="http://schemas.microsoft.com/office/drawing/2014/chart" uri="{C3380CC4-5D6E-409C-BE32-E72D297353CC}">
              <c16:uniqueId val="{00000000-5C03-499F-BC15-26C331B60E14}"/>
            </c:ext>
          </c:extLst>
        </c:ser>
        <c:ser>
          <c:idx val="3"/>
          <c:order val="3"/>
          <c:tx>
            <c:strRef>
              <c:f>'WTP Main'!$CA$279</c:f>
              <c:strCache>
                <c:ptCount val="1"/>
                <c:pt idx="0">
                  <c:v>WTPCore_MaxDiff</c:v>
                </c:pt>
              </c:strCache>
            </c:strRef>
          </c:tx>
          <c:spPr>
            <a:solidFill>
              <a:schemeClr val="accent2">
                <a:lumMod val="60000"/>
              </a:schemeClr>
            </a:solidFill>
            <a:ln>
              <a:noFill/>
            </a:ln>
            <a:effectLst/>
          </c:spPr>
          <c:invertIfNegative val="0"/>
          <c:cat>
            <c:strRef>
              <c:f>'WTP Main'!$A$280</c:f>
              <c:strCache>
                <c:ptCount val="1"/>
                <c:pt idx="0">
                  <c:v>Traffic disruption</c:v>
                </c:pt>
              </c:strCache>
            </c:strRef>
          </c:cat>
          <c:val>
            <c:numRef>
              <c:f>'WTP Main'!$CA$280</c:f>
              <c:numCache>
                <c:formatCode>"£"#,##0</c:formatCode>
                <c:ptCount val="1"/>
                <c:pt idx="0">
                  <c:v>260.94257092981854</c:v>
                </c:pt>
              </c:numCache>
            </c:numRef>
          </c:val>
          <c:extLst xmlns:c16r2="http://schemas.microsoft.com/office/drawing/2015/06/chart">
            <c:ext xmlns:c16="http://schemas.microsoft.com/office/drawing/2014/chart" uri="{C3380CC4-5D6E-409C-BE32-E72D297353CC}">
              <c16:uniqueId val="{00000001-5C03-499F-BC15-26C331B60E14}"/>
            </c:ext>
          </c:extLst>
        </c:ser>
        <c:ser>
          <c:idx val="4"/>
          <c:order val="4"/>
          <c:tx>
            <c:strRef>
              <c:f>'WTP Main'!$CB$279</c:f>
              <c:strCache>
                <c:ptCount val="1"/>
                <c:pt idx="0">
                  <c:v>Priorities</c:v>
                </c:pt>
              </c:strCache>
            </c:strRef>
          </c:tx>
          <c:spPr>
            <a:solidFill>
              <a:schemeClr val="accent4">
                <a:lumMod val="60000"/>
              </a:schemeClr>
            </a:solidFill>
            <a:ln>
              <a:noFill/>
            </a:ln>
            <a:effectLst/>
          </c:spPr>
          <c:invertIfNegative val="0"/>
          <c:cat>
            <c:strRef>
              <c:f>'WTP Main'!$A$280</c:f>
              <c:strCache>
                <c:ptCount val="1"/>
                <c:pt idx="0">
                  <c:v>Traffic disruption</c:v>
                </c:pt>
              </c:strCache>
            </c:strRef>
          </c:cat>
          <c:val>
            <c:numRef>
              <c:f>'WTP Main'!$CB$280</c:f>
              <c:numCache>
                <c:formatCode>"£"#,##0</c:formatCode>
                <c:ptCount val="1"/>
                <c:pt idx="0">
                  <c:v>40.367512301788949</c:v>
                </c:pt>
              </c:numCache>
            </c:numRef>
          </c:val>
          <c:extLst xmlns:c16r2="http://schemas.microsoft.com/office/drawing/2015/06/chart">
            <c:ext xmlns:c16="http://schemas.microsoft.com/office/drawing/2014/chart" uri="{C3380CC4-5D6E-409C-BE32-E72D297353CC}">
              <c16:uniqueId val="{00000002-5C03-499F-BC15-26C331B60E14}"/>
            </c:ext>
          </c:extLst>
        </c:ser>
        <c:dLbls>
          <c:showLegendKey val="0"/>
          <c:showVal val="0"/>
          <c:showCatName val="0"/>
          <c:showSerName val="0"/>
          <c:showPercent val="0"/>
          <c:showBubbleSize val="0"/>
        </c:dLbls>
        <c:gapWidth val="219"/>
        <c:overlap val="-27"/>
        <c:axId val="1187265600"/>
        <c:axId val="1187266144"/>
        <c:extLst xmlns:c16r2="http://schemas.microsoft.com/office/drawing/2015/06/chart"/>
      </c:barChart>
      <c:catAx>
        <c:axId val="1187265600"/>
        <c:scaling>
          <c:orientation val="minMax"/>
        </c:scaling>
        <c:delete val="1"/>
        <c:axPos val="b"/>
        <c:numFmt formatCode="General" sourceLinked="1"/>
        <c:majorTickMark val="out"/>
        <c:minorTickMark val="none"/>
        <c:tickLblPos val="nextTo"/>
        <c:crossAx val="1187266144"/>
        <c:crosses val="autoZero"/>
        <c:auto val="1"/>
        <c:lblAlgn val="ctr"/>
        <c:lblOffset val="100"/>
        <c:noMultiLvlLbl val="0"/>
      </c:catAx>
      <c:valAx>
        <c:axId val="1187266144"/>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7265600"/>
        <c:crosses val="autoZero"/>
        <c:crossBetween val="between"/>
      </c:valAx>
      <c:spPr>
        <a:noFill/>
        <a:ln>
          <a:noFill/>
        </a:ln>
        <a:effectLst/>
      </c:spPr>
    </c:plotArea>
    <c:legend>
      <c:legendPos val="b"/>
      <c:layout>
        <c:manualLayout>
          <c:xMode val="edge"/>
          <c:yMode val="edge"/>
          <c:x val="0.1732956587751143"/>
          <c:y val="0.93109570510652684"/>
          <c:w val="0.56262817034314072"/>
          <c:h val="5.1127707645997049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HH WTP Unit Values and Range</a:t>
            </a:r>
            <a:r>
              <a:rPr lang="en-US" b="1" baseline="0"/>
              <a:t> - Metering (£/HH metered/yr)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Main'!$BS$218</c:f>
              <c:strCache>
                <c:ptCount val="1"/>
                <c:pt idx="0">
                  <c:v>COMBINED</c:v>
                </c:pt>
              </c:strCache>
            </c:strRef>
          </c:tx>
          <c:spPr>
            <a:solidFill>
              <a:schemeClr val="accent2"/>
            </a:solidFill>
            <a:ln>
              <a:noFill/>
            </a:ln>
            <a:effectLst/>
          </c:spPr>
          <c:invertIfNegative val="0"/>
          <c:errBars>
            <c:errBarType val="both"/>
            <c:errValType val="cust"/>
            <c:noEndCap val="0"/>
            <c:plus>
              <c:numRef>
                <c:f>'WTP Main'!$CE$219:$CE$220</c:f>
                <c:numCache>
                  <c:formatCode>General</c:formatCode>
                  <c:ptCount val="2"/>
                  <c:pt idx="0">
                    <c:v>2.6334281554866577</c:v>
                  </c:pt>
                  <c:pt idx="1">
                    <c:v>1.7872126174874032</c:v>
                  </c:pt>
                </c:numCache>
              </c:numRef>
            </c:plus>
            <c:minus>
              <c:numRef>
                <c:f>'WTP Main'!$CD$219:$CD$220</c:f>
                <c:numCache>
                  <c:formatCode>General</c:formatCode>
                  <c:ptCount val="2"/>
                  <c:pt idx="0">
                    <c:v>4.360599740740386</c:v>
                  </c:pt>
                  <c:pt idx="1">
                    <c:v>1.0601500590153006</c:v>
                  </c:pt>
                </c:numCache>
              </c:numRef>
            </c:minus>
            <c:spPr>
              <a:noFill/>
              <a:ln w="9525" cap="flat" cmpd="sng" algn="ctr">
                <a:solidFill>
                  <a:sysClr val="windowText" lastClr="000000"/>
                </a:solidFill>
                <a:round/>
              </a:ln>
              <a:effectLst/>
            </c:spPr>
          </c:errBars>
          <c:cat>
            <c:strRef>
              <c:f>'WTP Main'!$A$219:$A$220</c:f>
              <c:strCache>
                <c:ptCount val="2"/>
                <c:pt idx="0">
                  <c:v>Water metering</c:v>
                </c:pt>
                <c:pt idx="1">
                  <c:v>Giving customers control of their water usage</c:v>
                </c:pt>
              </c:strCache>
            </c:strRef>
          </c:cat>
          <c:val>
            <c:numRef>
              <c:f>'WTP Main'!$BS$219:$BS$220</c:f>
              <c:numCache>
                <c:formatCode>"£"#,##0</c:formatCode>
                <c:ptCount val="2"/>
                <c:pt idx="0">
                  <c:v>7.1076022792989635</c:v>
                </c:pt>
                <c:pt idx="1">
                  <c:v>1.6539842281407462</c:v>
                </c:pt>
              </c:numCache>
            </c:numRef>
          </c:val>
          <c:extLst xmlns:c16r2="http://schemas.microsoft.com/office/drawing/2015/06/chart">
            <c:ext xmlns:c16="http://schemas.microsoft.com/office/drawing/2014/chart" uri="{C3380CC4-5D6E-409C-BE32-E72D297353CC}">
              <c16:uniqueId val="{00000000-23F1-4F4F-A786-E69910003D42}"/>
            </c:ext>
          </c:extLst>
        </c:ser>
        <c:ser>
          <c:idx val="1"/>
          <c:order val="1"/>
          <c:tx>
            <c:strRef>
              <c:f>'WTP Main'!$BT$218</c:f>
              <c:strCache>
                <c:ptCount val="1"/>
                <c:pt idx="0">
                  <c:v>WTPCore_DCE</c:v>
                </c:pt>
              </c:strCache>
            </c:strRef>
          </c:tx>
          <c:spPr>
            <a:solidFill>
              <a:schemeClr val="accent4"/>
            </a:solidFill>
            <a:ln>
              <a:noFill/>
            </a:ln>
            <a:effectLst/>
          </c:spPr>
          <c:invertIfNegative val="0"/>
          <c:cat>
            <c:strRef>
              <c:f>'WTP Main'!$A$219:$A$220</c:f>
              <c:strCache>
                <c:ptCount val="2"/>
                <c:pt idx="0">
                  <c:v>Water metering</c:v>
                </c:pt>
                <c:pt idx="1">
                  <c:v>Giving customers control of their water usage</c:v>
                </c:pt>
              </c:strCache>
            </c:strRef>
          </c:cat>
          <c:val>
            <c:numRef>
              <c:f>'WTP Main'!$BT$219:$BT$220</c:f>
              <c:numCache>
                <c:formatCode>"£"#,##0</c:formatCode>
                <c:ptCount val="2"/>
                <c:pt idx="0">
                  <c:v>8.64</c:v>
                </c:pt>
                <c:pt idx="1">
                  <c:v>2.8979999999999997</c:v>
                </c:pt>
              </c:numCache>
            </c:numRef>
          </c:val>
          <c:extLst xmlns:c16r2="http://schemas.microsoft.com/office/drawing/2015/06/chart">
            <c:ext xmlns:c16="http://schemas.microsoft.com/office/drawing/2014/chart" uri="{C3380CC4-5D6E-409C-BE32-E72D297353CC}">
              <c16:uniqueId val="{00000001-23F1-4F4F-A786-E69910003D42}"/>
            </c:ext>
          </c:extLst>
        </c:ser>
        <c:ser>
          <c:idx val="2"/>
          <c:order val="2"/>
          <c:tx>
            <c:strRef>
              <c:f>'WTP Main'!$BU$218</c:f>
              <c:strCache>
                <c:ptCount val="1"/>
                <c:pt idx="0">
                  <c:v>WTPCore_DCE2</c:v>
                </c:pt>
              </c:strCache>
            </c:strRef>
          </c:tx>
          <c:spPr>
            <a:solidFill>
              <a:schemeClr val="accent6"/>
            </a:solidFill>
            <a:ln>
              <a:noFill/>
            </a:ln>
            <a:effectLst/>
          </c:spPr>
          <c:invertIfNegative val="0"/>
          <c:cat>
            <c:strRef>
              <c:f>'WTP Main'!$A$219:$A$220</c:f>
              <c:strCache>
                <c:ptCount val="2"/>
                <c:pt idx="0">
                  <c:v>Water metering</c:v>
                </c:pt>
                <c:pt idx="1">
                  <c:v>Giving customers control of their water usage</c:v>
                </c:pt>
              </c:strCache>
            </c:strRef>
          </c:cat>
          <c:val>
            <c:numRef>
              <c:f>'WTP Main'!$BU$219:$BU$220</c:f>
              <c:numCache>
                <c:formatCode>"£"#,##0.000</c:formatCode>
                <c:ptCount val="2"/>
                <c:pt idx="0" formatCode="&quot;£&quot;#,##0">
                  <c:v>9.4166450083520168</c:v>
                </c:pt>
              </c:numCache>
            </c:numRef>
          </c:val>
          <c:extLst xmlns:c16r2="http://schemas.microsoft.com/office/drawing/2015/06/chart">
            <c:ext xmlns:c16="http://schemas.microsoft.com/office/drawing/2014/chart" uri="{C3380CC4-5D6E-409C-BE32-E72D297353CC}">
              <c16:uniqueId val="{00000002-23F1-4F4F-A786-E69910003D42}"/>
            </c:ext>
          </c:extLst>
        </c:ser>
        <c:ser>
          <c:idx val="3"/>
          <c:order val="3"/>
          <c:tx>
            <c:strRef>
              <c:f>'WTP Main'!$BV$218</c:f>
              <c:strCache>
                <c:ptCount val="1"/>
                <c:pt idx="0">
                  <c:v>WTP core_DCE_Private</c:v>
                </c:pt>
              </c:strCache>
            </c:strRef>
          </c:tx>
          <c:spPr>
            <a:solidFill>
              <a:schemeClr val="accent2">
                <a:lumMod val="60000"/>
              </a:schemeClr>
            </a:solidFill>
            <a:ln>
              <a:noFill/>
            </a:ln>
            <a:effectLst/>
          </c:spPr>
          <c:invertIfNegative val="0"/>
          <c:cat>
            <c:strRef>
              <c:f>'WTP Main'!$A$219:$A$220</c:f>
              <c:strCache>
                <c:ptCount val="2"/>
                <c:pt idx="0">
                  <c:v>Water metering</c:v>
                </c:pt>
                <c:pt idx="1">
                  <c:v>Giving customers control of their water usage</c:v>
                </c:pt>
              </c:strCache>
            </c:strRef>
          </c:cat>
          <c:val>
            <c:numRef>
              <c:f>'WTP Main'!$BV$219:$BV$220</c:f>
              <c:numCache>
                <c:formatCode>"£"#,##0</c:formatCode>
                <c:ptCount val="2"/>
                <c:pt idx="0">
                  <c:v>3.96</c:v>
                </c:pt>
                <c:pt idx="1">
                  <c:v>3.8879999999999999</c:v>
                </c:pt>
              </c:numCache>
            </c:numRef>
          </c:val>
          <c:extLst xmlns:c15="http://schemas.microsoft.com/office/drawing/2012/chart" xmlns:c16r2="http://schemas.microsoft.com/office/drawing/2015/06/chart">
            <c:ext xmlns:c16="http://schemas.microsoft.com/office/drawing/2014/chart" uri="{C3380CC4-5D6E-409C-BE32-E72D297353CC}">
              <c16:uniqueId val="{00000003-23F1-4F4F-A786-E69910003D42}"/>
            </c:ext>
          </c:extLst>
        </c:ser>
        <c:ser>
          <c:idx val="4"/>
          <c:order val="4"/>
          <c:tx>
            <c:strRef>
              <c:f>'WTP Main'!$BW$218</c:f>
              <c:strCache>
                <c:ptCount val="1"/>
                <c:pt idx="0">
                  <c:v>WTPCore_DCE2_LowBill</c:v>
                </c:pt>
              </c:strCache>
            </c:strRef>
          </c:tx>
          <c:spPr>
            <a:solidFill>
              <a:schemeClr val="accent4">
                <a:lumMod val="60000"/>
              </a:schemeClr>
            </a:solidFill>
            <a:ln>
              <a:noFill/>
            </a:ln>
            <a:effectLst/>
          </c:spPr>
          <c:invertIfNegative val="0"/>
          <c:cat>
            <c:strRef>
              <c:f>'WTP Main'!$A$219:$A$220</c:f>
              <c:strCache>
                <c:ptCount val="2"/>
                <c:pt idx="0">
                  <c:v>Water metering</c:v>
                </c:pt>
                <c:pt idx="1">
                  <c:v>Giving customers control of their water usage</c:v>
                </c:pt>
              </c:strCache>
            </c:strRef>
          </c:cat>
          <c:val>
            <c:numRef>
              <c:f>'WTP Main'!$BW$219:$BW$220</c:f>
              <c:numCache>
                <c:formatCode>"£"#,##0</c:formatCode>
                <c:ptCount val="2"/>
                <c:pt idx="0">
                  <c:v>9.504174351220037</c:v>
                </c:pt>
              </c:numCache>
            </c:numRef>
          </c:val>
          <c:extLst xmlns:c15="http://schemas.microsoft.com/office/drawing/2012/chart" xmlns:c16r2="http://schemas.microsoft.com/office/drawing/2015/06/chart">
            <c:ext xmlns:c16="http://schemas.microsoft.com/office/drawing/2014/chart" uri="{C3380CC4-5D6E-409C-BE32-E72D297353CC}">
              <c16:uniqueId val="{00000004-23F1-4F4F-A786-E69910003D42}"/>
            </c:ext>
          </c:extLst>
        </c:ser>
        <c:ser>
          <c:idx val="5"/>
          <c:order val="5"/>
          <c:tx>
            <c:strRef>
              <c:f>'WTP Main'!$BZ$218</c:f>
              <c:strCache>
                <c:ptCount val="1"/>
                <c:pt idx="0">
                  <c:v>ExternalWTP19</c:v>
                </c:pt>
              </c:strCache>
            </c:strRef>
          </c:tx>
          <c:spPr>
            <a:solidFill>
              <a:schemeClr val="accent6">
                <a:lumMod val="60000"/>
              </a:schemeClr>
            </a:solidFill>
            <a:ln>
              <a:noFill/>
            </a:ln>
            <a:effectLst/>
          </c:spPr>
          <c:invertIfNegative val="0"/>
          <c:cat>
            <c:strRef>
              <c:f>'WTP Main'!$A$219:$A$220</c:f>
              <c:strCache>
                <c:ptCount val="2"/>
                <c:pt idx="0">
                  <c:v>Water metering</c:v>
                </c:pt>
                <c:pt idx="1">
                  <c:v>Giving customers control of their water usage</c:v>
                </c:pt>
              </c:strCache>
            </c:strRef>
          </c:cat>
          <c:val>
            <c:numRef>
              <c:f>'WTP Main'!$BZ$219:$BZ$220</c:f>
              <c:numCache>
                <c:formatCode>"£"#,##0.0000</c:formatCode>
                <c:ptCount val="2"/>
                <c:pt idx="0" formatCode="&quot;£&quot;#,##0">
                  <c:v>7.1132863561434307</c:v>
                </c:pt>
              </c:numCache>
            </c:numRef>
          </c:val>
          <c:extLst xmlns:c16r2="http://schemas.microsoft.com/office/drawing/2015/06/chart">
            <c:ext xmlns:c16="http://schemas.microsoft.com/office/drawing/2014/chart" uri="{C3380CC4-5D6E-409C-BE32-E72D297353CC}">
              <c16:uniqueId val="{00000000-9F93-41F6-B48D-EC7B2C3FC5E8}"/>
            </c:ext>
          </c:extLst>
        </c:ser>
        <c:ser>
          <c:idx val="6"/>
          <c:order val="6"/>
          <c:tx>
            <c:strRef>
              <c:f>'WTP Main'!$CA$218</c:f>
              <c:strCache>
                <c:ptCount val="1"/>
                <c:pt idx="0">
                  <c:v>WTPCore_MaxDiff</c:v>
                </c:pt>
              </c:strCache>
            </c:strRef>
          </c:tx>
          <c:spPr>
            <a:solidFill>
              <a:schemeClr val="accent2">
                <a:lumMod val="80000"/>
                <a:lumOff val="20000"/>
              </a:schemeClr>
            </a:solidFill>
            <a:ln>
              <a:noFill/>
            </a:ln>
            <a:effectLst/>
          </c:spPr>
          <c:invertIfNegative val="0"/>
          <c:cat>
            <c:strRef>
              <c:f>'WTP Main'!$A$219:$A$220</c:f>
              <c:strCache>
                <c:ptCount val="2"/>
                <c:pt idx="0">
                  <c:v>Water metering</c:v>
                </c:pt>
                <c:pt idx="1">
                  <c:v>Giving customers control of their water usage</c:v>
                </c:pt>
              </c:strCache>
            </c:strRef>
          </c:cat>
          <c:val>
            <c:numRef>
              <c:f>'WTP Main'!$CA$219:$CA$220</c:f>
              <c:numCache>
                <c:formatCode>"£"#,##0.000</c:formatCode>
                <c:ptCount val="2"/>
                <c:pt idx="0" formatCode="&quot;£&quot;#,##0">
                  <c:v>2.1472541793312949</c:v>
                </c:pt>
                <c:pt idx="1">
                  <c:v>0.33191412726834152</c:v>
                </c:pt>
              </c:numCache>
            </c:numRef>
          </c:val>
          <c:extLst xmlns:c16r2="http://schemas.microsoft.com/office/drawing/2015/06/chart">
            <c:ext xmlns:c16="http://schemas.microsoft.com/office/drawing/2014/chart" uri="{C3380CC4-5D6E-409C-BE32-E72D297353CC}">
              <c16:uniqueId val="{00000001-9F93-41F6-B48D-EC7B2C3FC5E8}"/>
            </c:ext>
          </c:extLst>
        </c:ser>
        <c:ser>
          <c:idx val="7"/>
          <c:order val="7"/>
          <c:tx>
            <c:strRef>
              <c:f>'WTP Main'!$CB$218</c:f>
              <c:strCache>
                <c:ptCount val="1"/>
                <c:pt idx="0">
                  <c:v>WRMP_online</c:v>
                </c:pt>
              </c:strCache>
            </c:strRef>
          </c:tx>
          <c:spPr>
            <a:solidFill>
              <a:srgbClr val="FFC000"/>
            </a:solidFill>
            <a:ln>
              <a:noFill/>
            </a:ln>
            <a:effectLst/>
          </c:spPr>
          <c:invertIfNegative val="0"/>
          <c:cat>
            <c:strRef>
              <c:f>'WTP Main'!$A$219:$A$220</c:f>
              <c:strCache>
                <c:ptCount val="2"/>
                <c:pt idx="0">
                  <c:v>Water metering</c:v>
                </c:pt>
                <c:pt idx="1">
                  <c:v>Giving customers control of their water usage</c:v>
                </c:pt>
              </c:strCache>
            </c:strRef>
          </c:cat>
          <c:val>
            <c:numRef>
              <c:f>'WTP Main'!$CB$219:$CB$220</c:f>
              <c:numCache>
                <c:formatCode>"£"#,##0.00</c:formatCode>
                <c:ptCount val="2"/>
                <c:pt idx="0" formatCode="&quot;£&quot;#,##0">
                  <c:v>0</c:v>
                </c:pt>
                <c:pt idx="1">
                  <c:v>0.32879665437162053</c:v>
                </c:pt>
              </c:numCache>
            </c:numRef>
          </c:val>
          <c:extLst xmlns:c16r2="http://schemas.microsoft.com/office/drawing/2015/06/chart">
            <c:ext xmlns:c16="http://schemas.microsoft.com/office/drawing/2014/chart" uri="{C3380CC4-5D6E-409C-BE32-E72D297353CC}">
              <c16:uniqueId val="{00000002-9F93-41F6-B48D-EC7B2C3FC5E8}"/>
            </c:ext>
          </c:extLst>
        </c:ser>
        <c:ser>
          <c:idx val="8"/>
          <c:order val="8"/>
          <c:tx>
            <c:strRef>
              <c:f>'WTP Main'!$CC$218</c:f>
              <c:strCache>
                <c:ptCount val="1"/>
                <c:pt idx="0">
                  <c:v>WRMP_workshop</c:v>
                </c:pt>
              </c:strCache>
            </c:strRef>
          </c:tx>
          <c:spPr>
            <a:solidFill>
              <a:srgbClr val="00B050"/>
            </a:solidFill>
            <a:ln>
              <a:noFill/>
            </a:ln>
            <a:effectLst/>
          </c:spPr>
          <c:invertIfNegative val="0"/>
          <c:cat>
            <c:strRef>
              <c:f>'WTP Main'!$A$219:$A$220</c:f>
              <c:strCache>
                <c:ptCount val="2"/>
                <c:pt idx="0">
                  <c:v>Water metering</c:v>
                </c:pt>
                <c:pt idx="1">
                  <c:v>Giving customers control of their water usage</c:v>
                </c:pt>
              </c:strCache>
            </c:strRef>
          </c:cat>
          <c:val>
            <c:numRef>
              <c:f>'WTP Main'!$CC$219:$CC$220</c:f>
              <c:numCache>
                <c:formatCode>"£"#,##0</c:formatCode>
                <c:ptCount val="2"/>
                <c:pt idx="0">
                  <c:v>1.6568526033734807</c:v>
                </c:pt>
                <c:pt idx="1">
                  <c:v>0.647248916217667</c:v>
                </c:pt>
              </c:numCache>
            </c:numRef>
          </c:val>
          <c:extLst xmlns:c16r2="http://schemas.microsoft.com/office/drawing/2015/06/chart">
            <c:ext xmlns:c16="http://schemas.microsoft.com/office/drawing/2014/chart" uri="{C3380CC4-5D6E-409C-BE32-E72D297353CC}">
              <c16:uniqueId val="{00000003-9F93-41F6-B48D-EC7B2C3FC5E8}"/>
            </c:ext>
          </c:extLst>
        </c:ser>
        <c:dLbls>
          <c:showLegendKey val="0"/>
          <c:showVal val="0"/>
          <c:showCatName val="0"/>
          <c:showSerName val="0"/>
          <c:showPercent val="0"/>
          <c:showBubbleSize val="0"/>
        </c:dLbls>
        <c:gapWidth val="219"/>
        <c:overlap val="-27"/>
        <c:axId val="1187269408"/>
        <c:axId val="1187269952"/>
        <c:extLst xmlns:c16r2="http://schemas.microsoft.com/office/drawing/2015/06/chart"/>
      </c:barChart>
      <c:catAx>
        <c:axId val="11872694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7269952"/>
        <c:crosses val="autoZero"/>
        <c:auto val="1"/>
        <c:lblAlgn val="ctr"/>
        <c:lblOffset val="100"/>
        <c:noMultiLvlLbl val="0"/>
      </c:catAx>
      <c:valAx>
        <c:axId val="1187269952"/>
        <c:scaling>
          <c:orientation val="minMax"/>
          <c:max val="3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7269408"/>
        <c:crosses val="autoZero"/>
        <c:crossBetween val="between"/>
      </c:valAx>
      <c:spPr>
        <a:noFill/>
        <a:ln>
          <a:noFill/>
        </a:ln>
        <a:effectLst/>
      </c:spPr>
    </c:plotArea>
    <c:legend>
      <c:legendPos val="b"/>
      <c:layout>
        <c:manualLayout>
          <c:xMode val="edge"/>
          <c:yMode val="edge"/>
          <c:x val="7.3808828986844419E-2"/>
          <c:y val="0.90975723937524533"/>
          <c:w val="0.87749443813770789"/>
          <c:h val="9.024276062475467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400" b="1" i="0" baseline="0">
                <a:effectLst/>
              </a:rPr>
              <a:t>SSC WTP Unit Values and Range - Services at Property</a:t>
            </a:r>
            <a:endParaRPr lang="en-GB" sz="14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Main'!$EM$99</c:f>
              <c:strCache>
                <c:ptCount val="1"/>
                <c:pt idx="0">
                  <c:v>ALL</c:v>
                </c:pt>
              </c:strCache>
            </c:strRef>
          </c:tx>
          <c:spPr>
            <a:solidFill>
              <a:schemeClr val="accent2"/>
            </a:solidFill>
            <a:ln>
              <a:noFill/>
            </a:ln>
            <a:effectLst/>
          </c:spPr>
          <c:invertIfNegative val="0"/>
          <c:errBars>
            <c:errBarType val="both"/>
            <c:errValType val="cust"/>
            <c:noEndCap val="0"/>
            <c:plus>
              <c:numRef>
                <c:f>'WTP Main'!$EO$100:$EO$107</c:f>
                <c:numCache>
                  <c:formatCode>General</c:formatCode>
                  <c:ptCount val="8"/>
                  <c:pt idx="0">
                    <c:v>3839.8135410377649</c:v>
                  </c:pt>
                  <c:pt idx="1">
                    <c:v>2633.5405583674574</c:v>
                  </c:pt>
                  <c:pt idx="2">
                    <c:v>726.13960418645979</c:v>
                  </c:pt>
                  <c:pt idx="3">
                    <c:v>804.30449940830272</c:v>
                  </c:pt>
                  <c:pt idx="4">
                    <c:v>19316.684826557073</c:v>
                  </c:pt>
                  <c:pt idx="5">
                    <c:v>550.14488749654106</c:v>
                  </c:pt>
                  <c:pt idx="6">
                    <c:v>132.48786242565791</c:v>
                  </c:pt>
                  <c:pt idx="7">
                    <c:v>46.417082420490487</c:v>
                  </c:pt>
                </c:numCache>
              </c:numRef>
            </c:plus>
            <c:minus>
              <c:numRef>
                <c:f>'WTP Main'!$EN$100:$EN$107</c:f>
                <c:numCache>
                  <c:formatCode>General</c:formatCode>
                  <c:ptCount val="8"/>
                  <c:pt idx="0">
                    <c:v>1281.7782208312951</c:v>
                  </c:pt>
                  <c:pt idx="1">
                    <c:v>499.0408285887541</c:v>
                  </c:pt>
                  <c:pt idx="2">
                    <c:v>420.32979127573157</c:v>
                  </c:pt>
                  <c:pt idx="3">
                    <c:v>318.6760720197239</c:v>
                  </c:pt>
                  <c:pt idx="4">
                    <c:v>364.7304170924852</c:v>
                  </c:pt>
                  <c:pt idx="5">
                    <c:v>192.04193987650496</c:v>
                  </c:pt>
                  <c:pt idx="6">
                    <c:v>50.268292249164482</c:v>
                  </c:pt>
                  <c:pt idx="7">
                    <c:v>20.878860230164765</c:v>
                  </c:pt>
                </c:numCache>
              </c:numRef>
            </c:minus>
            <c:spPr>
              <a:noFill/>
              <a:ln w="9525" cap="flat" cmpd="sng" algn="ctr">
                <a:solidFill>
                  <a:srgbClr val="000000"/>
                </a:solidFill>
                <a:round/>
              </a:ln>
              <a:effectLst/>
            </c:spPr>
          </c:errBars>
          <c:cat>
            <c:strRef>
              <c:f>'WTP Main'!$EL$100:$EL$107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Main'!$EM$100:$EM$107</c:f>
              <c:numCache>
                <c:formatCode>0</c:formatCode>
                <c:ptCount val="8"/>
                <c:pt idx="0">
                  <c:v>1663.7937865540807</c:v>
                </c:pt>
                <c:pt idx="1">
                  <c:v>1161.7598309396167</c:v>
                </c:pt>
                <c:pt idx="2">
                  <c:v>561.41964950840236</c:v>
                </c:pt>
                <c:pt idx="3">
                  <c:v>406.91397763509798</c:v>
                </c:pt>
                <c:pt idx="4">
                  <c:v>577.54206747009073</c:v>
                </c:pt>
                <c:pt idx="5">
                  <c:v>356.42595327777224</c:v>
                </c:pt>
                <c:pt idx="6">
                  <c:v>79.156789570146714</c:v>
                </c:pt>
                <c:pt idx="7">
                  <c:v>45.511860159726012</c:v>
                </c:pt>
              </c:numCache>
            </c:numRef>
          </c:val>
          <c:extLst xmlns:c16r2="http://schemas.microsoft.com/office/drawing/2015/06/chart">
            <c:ext xmlns:c16="http://schemas.microsoft.com/office/drawing/2014/chart" uri="{C3380CC4-5D6E-409C-BE32-E72D297353CC}">
              <c16:uniqueId val="{00000000-33BC-4679-A319-08EB61B9632C}"/>
            </c:ext>
          </c:extLst>
        </c:ser>
        <c:ser>
          <c:idx val="1"/>
          <c:order val="1"/>
          <c:tx>
            <c:strRef>
              <c:f>'WTP Main'!$EP$99</c:f>
              <c:strCache>
                <c:ptCount val="1"/>
                <c:pt idx="0">
                  <c:v>HH</c:v>
                </c:pt>
              </c:strCache>
            </c:strRef>
          </c:tx>
          <c:spPr>
            <a:solidFill>
              <a:schemeClr val="accent4"/>
            </a:solidFill>
            <a:ln>
              <a:noFill/>
            </a:ln>
            <a:effectLst/>
          </c:spPr>
          <c:invertIfNegative val="0"/>
          <c:errBars>
            <c:errBarType val="both"/>
            <c:errValType val="cust"/>
            <c:noEndCap val="0"/>
            <c:plus>
              <c:numRef>
                <c:f>'WTP Main'!$ER$100:$ER$107</c:f>
                <c:numCache>
                  <c:formatCode>General</c:formatCode>
                  <c:ptCount val="8"/>
                  <c:pt idx="0">
                    <c:v>0</c:v>
                  </c:pt>
                  <c:pt idx="1">
                    <c:v>0</c:v>
                  </c:pt>
                  <c:pt idx="2">
                    <c:v>0</c:v>
                  </c:pt>
                  <c:pt idx="3">
                    <c:v>0</c:v>
                  </c:pt>
                  <c:pt idx="4">
                    <c:v>0</c:v>
                  </c:pt>
                  <c:pt idx="5">
                    <c:v>0</c:v>
                  </c:pt>
                  <c:pt idx="6">
                    <c:v>0</c:v>
                  </c:pt>
                  <c:pt idx="7">
                    <c:v>0</c:v>
                  </c:pt>
                </c:numCache>
              </c:numRef>
            </c:plus>
            <c:minus>
              <c:numRef>
                <c:f>'WTP Main'!$EQ$100:$EQ$107</c:f>
                <c:numCache>
                  <c:formatCode>General</c:formatCode>
                  <c:ptCount val="8"/>
                  <c:pt idx="0">
                    <c:v>0</c:v>
                  </c:pt>
                  <c:pt idx="1">
                    <c:v>0</c:v>
                  </c:pt>
                  <c:pt idx="2">
                    <c:v>0</c:v>
                  </c:pt>
                  <c:pt idx="3">
                    <c:v>0</c:v>
                  </c:pt>
                  <c:pt idx="4">
                    <c:v>0</c:v>
                  </c:pt>
                  <c:pt idx="5">
                    <c:v>0</c:v>
                  </c:pt>
                  <c:pt idx="6">
                    <c:v>0</c:v>
                  </c:pt>
                  <c:pt idx="7">
                    <c:v>0</c:v>
                  </c:pt>
                </c:numCache>
              </c:numRef>
            </c:minus>
            <c:spPr>
              <a:noFill/>
              <a:ln w="9525" cap="flat" cmpd="sng" algn="ctr">
                <a:solidFill>
                  <a:srgbClr val="000000"/>
                </a:solidFill>
                <a:round/>
              </a:ln>
              <a:effectLst/>
            </c:spPr>
          </c:errBars>
          <c:cat>
            <c:strRef>
              <c:f>'WTP Main'!$EL$100:$EL$107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Main'!$EP$100:$EP$107</c:f>
              <c:numCache>
                <c:formatCode>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4-FF3B-4447-9845-89DA0B509FA6}"/>
            </c:ext>
          </c:extLst>
        </c:ser>
        <c:ser>
          <c:idx val="2"/>
          <c:order val="2"/>
          <c:tx>
            <c:strRef>
              <c:f>'WTP Main'!$ES$99</c:f>
              <c:strCache>
                <c:ptCount val="1"/>
                <c:pt idx="0">
                  <c:v>NHH</c:v>
                </c:pt>
              </c:strCache>
            </c:strRef>
          </c:tx>
          <c:spPr>
            <a:solidFill>
              <a:schemeClr val="accent6"/>
            </a:solidFill>
            <a:ln>
              <a:noFill/>
            </a:ln>
            <a:effectLst/>
          </c:spPr>
          <c:invertIfNegative val="0"/>
          <c:errBars>
            <c:errBarType val="both"/>
            <c:errValType val="cust"/>
            <c:noEndCap val="0"/>
            <c:plus>
              <c:numRef>
                <c:f>'WTP Main'!$EU$100:$EU$107</c:f>
                <c:numCache>
                  <c:formatCode>General</c:formatCode>
                  <c:ptCount val="8"/>
                  <c:pt idx="0">
                    <c:v>0</c:v>
                  </c:pt>
                  <c:pt idx="1">
                    <c:v>0</c:v>
                  </c:pt>
                  <c:pt idx="2">
                    <c:v>0</c:v>
                  </c:pt>
                  <c:pt idx="3">
                    <c:v>0</c:v>
                  </c:pt>
                  <c:pt idx="4">
                    <c:v>0</c:v>
                  </c:pt>
                  <c:pt idx="5">
                    <c:v>0</c:v>
                  </c:pt>
                  <c:pt idx="6">
                    <c:v>0</c:v>
                  </c:pt>
                  <c:pt idx="7">
                    <c:v>0</c:v>
                  </c:pt>
                </c:numCache>
              </c:numRef>
            </c:plus>
            <c:minus>
              <c:numRef>
                <c:f>'WTP Main'!$ET$100:$ET$107</c:f>
                <c:numCache>
                  <c:formatCode>General</c:formatCode>
                  <c:ptCount val="8"/>
                  <c:pt idx="0">
                    <c:v>0</c:v>
                  </c:pt>
                  <c:pt idx="1">
                    <c:v>0</c:v>
                  </c:pt>
                  <c:pt idx="2">
                    <c:v>0</c:v>
                  </c:pt>
                  <c:pt idx="3">
                    <c:v>0</c:v>
                  </c:pt>
                  <c:pt idx="4">
                    <c:v>0</c:v>
                  </c:pt>
                  <c:pt idx="5">
                    <c:v>0</c:v>
                  </c:pt>
                  <c:pt idx="6">
                    <c:v>0</c:v>
                  </c:pt>
                  <c:pt idx="7">
                    <c:v>0</c:v>
                  </c:pt>
                </c:numCache>
              </c:numRef>
            </c:minus>
            <c:spPr>
              <a:noFill/>
              <a:ln w="9525" cap="flat" cmpd="sng" algn="ctr">
                <a:solidFill>
                  <a:srgbClr val="000000"/>
                </a:solidFill>
                <a:round/>
              </a:ln>
              <a:effectLst/>
            </c:spPr>
          </c:errBars>
          <c:cat>
            <c:strRef>
              <c:f>'WTP Main'!$EL$100:$EL$107</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Main'!$ES$100:$ES$107</c:f>
              <c:numCache>
                <c:formatCode>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5-FF3B-4447-9845-89DA0B509FA6}"/>
            </c:ext>
          </c:extLst>
        </c:ser>
        <c:dLbls>
          <c:showLegendKey val="0"/>
          <c:showVal val="0"/>
          <c:showCatName val="0"/>
          <c:showSerName val="0"/>
          <c:showPercent val="0"/>
          <c:showBubbleSize val="0"/>
        </c:dLbls>
        <c:gapWidth val="219"/>
        <c:overlap val="-27"/>
        <c:axId val="1336507408"/>
        <c:axId val="1336502512"/>
      </c:barChart>
      <c:catAx>
        <c:axId val="133650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6502512"/>
        <c:crosses val="autoZero"/>
        <c:auto val="1"/>
        <c:lblAlgn val="ctr"/>
        <c:lblOffset val="100"/>
        <c:noMultiLvlLbl val="0"/>
      </c:catAx>
      <c:valAx>
        <c:axId val="1336502512"/>
        <c:scaling>
          <c:orientation val="minMax"/>
          <c:max val="45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6507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GB" b="1">
                <a:solidFill>
                  <a:sysClr val="windowText" lastClr="000000"/>
                </a:solidFill>
              </a:rPr>
              <a:t>SSW WRMP Priorities by</a:t>
            </a:r>
            <a:r>
              <a:rPr lang="en-GB" b="1" baseline="0">
                <a:solidFill>
                  <a:sysClr val="windowText" lastClr="000000"/>
                </a:solidFill>
              </a:rPr>
              <a:t> Data Source</a:t>
            </a:r>
            <a:endParaRPr lang="en-GB"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'WRMP Main'!$B$28</c:f>
              <c:strCache>
                <c:ptCount val="1"/>
                <c:pt idx="0">
                  <c:v>WRMP workshops</c:v>
                </c:pt>
              </c:strCache>
            </c:strRef>
          </c:tx>
          <c:spPr>
            <a:solidFill>
              <a:schemeClr val="accent1"/>
            </a:solidFill>
            <a:ln>
              <a:noFill/>
            </a:ln>
            <a:effectLst/>
          </c:spPr>
          <c:invertIfNegative val="0"/>
          <c:dLbls>
            <c:dLbl>
              <c:idx val="2"/>
              <c:layout>
                <c:manualLayout>
                  <c:x val="-7.6398360703731167E-3"/>
                  <c:y val="-1.440329311450005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842-4EB1-B27C-51AD1C04E9B6}"/>
                </c:ext>
                <c:ext xmlns:c15="http://schemas.microsoft.com/office/drawing/2012/chart" uri="{CE6537A1-D6FC-4f65-9D91-7224C49458BB}"/>
              </c:extLst>
            </c:dLbl>
            <c:dLbl>
              <c:idx val="5"/>
              <c:layout>
                <c:manualLayout>
                  <c:x val="-5.0932240469154112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842-4EB1-B27C-51AD1C04E9B6}"/>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'WRMP Main'!$A$30:$A$38</c15:sqref>
                  </c15:fullRef>
                </c:ext>
              </c:extLst>
              <c:f>('WRMP Main'!$A$30,'WRMP Main'!$A$32,'WRMP Main'!$A$34:$A$38)</c:f>
              <c:strCache>
                <c:ptCount val="7"/>
                <c:pt idx="0">
                  <c:v>Reducing leakage</c:v>
                </c:pt>
                <c:pt idx="1">
                  <c:v>Increased metering (not smart meters)</c:v>
                </c:pt>
                <c:pt idx="2">
                  <c:v>Reducing customer water usage/More education campaigns</c:v>
                </c:pt>
                <c:pt idx="3">
                  <c:v>Installing smart meters</c:v>
                </c:pt>
                <c:pt idx="4">
                  <c:v>Increasing the amount of water in the Blithfield reservoir</c:v>
                </c:pt>
                <c:pt idx="5">
                  <c:v>Taking water from the River Trent</c:v>
                </c:pt>
                <c:pt idx="6">
                  <c:v>Taking more groundwater </c:v>
                </c:pt>
              </c:strCache>
            </c:strRef>
          </c:cat>
          <c:val>
            <c:numRef>
              <c:extLst>
                <c:ext xmlns:c15="http://schemas.microsoft.com/office/drawing/2012/chart" uri="{02D57815-91ED-43cb-92C2-25804820EDAC}">
                  <c15:fullRef>
                    <c15:sqref>'WRMP Main'!$B$30:$B$38</c15:sqref>
                  </c15:fullRef>
                </c:ext>
              </c:extLst>
              <c:f>('WRMP Main'!$B$30,'WRMP Main'!$B$32,'WRMP Main'!$B$34:$B$38)</c:f>
              <c:numCache>
                <c:formatCode>General</c:formatCode>
                <c:ptCount val="7"/>
                <c:pt idx="0" formatCode="0.0">
                  <c:v>15.236465736597351</c:v>
                </c:pt>
                <c:pt idx="1" formatCode="0.0">
                  <c:v>17.908221461788191</c:v>
                </c:pt>
                <c:pt idx="2" formatCode="0.0">
                  <c:v>12.876195490041239</c:v>
                </c:pt>
                <c:pt idx="3" formatCode="0.0">
                  <c:v>16.763183293849259</c:v>
                </c:pt>
                <c:pt idx="4" formatCode="0.0">
                  <c:v>9.017723962446258</c:v>
                </c:pt>
                <c:pt idx="5" formatCode="0.0">
                  <c:v>8.5088181100289564</c:v>
                </c:pt>
                <c:pt idx="6" formatCode="0.0">
                  <c:v>5.2864788979556021</c:v>
                </c:pt>
              </c:numCache>
            </c:numRef>
          </c:val>
          <c:extLst xmlns:c16r2="http://schemas.microsoft.com/office/drawing/2015/06/chart">
            <c:ext xmlns:c16="http://schemas.microsoft.com/office/drawing/2014/chart" uri="{C3380CC4-5D6E-409C-BE32-E72D297353CC}">
              <c16:uniqueId val="{00000001-509C-4B4A-A6FB-E3F03A62AE24}"/>
            </c:ext>
          </c:extLst>
        </c:ser>
        <c:ser>
          <c:idx val="1"/>
          <c:order val="1"/>
          <c:tx>
            <c:strRef>
              <c:f>'WRMP Main'!$C$28</c:f>
              <c:strCache>
                <c:ptCount val="1"/>
                <c:pt idx="0">
                  <c:v>WRMP online</c:v>
                </c:pt>
              </c:strCache>
            </c:strRef>
          </c:tx>
          <c:spPr>
            <a:solidFill>
              <a:schemeClr val="accent2"/>
            </a:solidFill>
            <a:ln>
              <a:noFill/>
            </a:ln>
            <a:effectLst/>
          </c:spPr>
          <c:invertIfNegative val="0"/>
          <c:dLbls>
            <c:dLbl>
              <c:idx val="0"/>
              <c:layout>
                <c:manualLayout>
                  <c:x val="1.2733060117288528E-3"/>
                  <c:y val="-2.30452689832000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509C-4B4A-A6FB-E3F03A62AE24}"/>
                </c:ext>
                <c:ext xmlns:c15="http://schemas.microsoft.com/office/drawing/2012/chart" uri="{CE6537A1-D6FC-4f65-9D91-7224C49458BB}"/>
              </c:extLst>
            </c:dLbl>
            <c:dLbl>
              <c:idx val="2"/>
              <c:layout>
                <c:manualLayout>
                  <c:x val="5.0932240469154112E-3"/>
                  <c:y val="5.7613172458000749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842-4EB1-B27C-51AD1C04E9B6}"/>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'WRMP Main'!$A$30:$A$38</c15:sqref>
                  </c15:fullRef>
                </c:ext>
              </c:extLst>
              <c:f>('WRMP Main'!$A$30,'WRMP Main'!$A$32,'WRMP Main'!$A$34:$A$38)</c:f>
              <c:strCache>
                <c:ptCount val="7"/>
                <c:pt idx="0">
                  <c:v>Reducing leakage</c:v>
                </c:pt>
                <c:pt idx="1">
                  <c:v>Increased metering (not smart meters)</c:v>
                </c:pt>
                <c:pt idx="2">
                  <c:v>Reducing customer water usage/More education campaigns</c:v>
                </c:pt>
                <c:pt idx="3">
                  <c:v>Installing smart meters</c:v>
                </c:pt>
                <c:pt idx="4">
                  <c:v>Increasing the amount of water in the Blithfield reservoir</c:v>
                </c:pt>
                <c:pt idx="5">
                  <c:v>Taking water from the River Trent</c:v>
                </c:pt>
                <c:pt idx="6">
                  <c:v>Taking more groundwater </c:v>
                </c:pt>
              </c:strCache>
            </c:strRef>
          </c:cat>
          <c:val>
            <c:numRef>
              <c:extLst>
                <c:ext xmlns:c15="http://schemas.microsoft.com/office/drawing/2012/chart" uri="{02D57815-91ED-43cb-92C2-25804820EDAC}">
                  <c15:fullRef>
                    <c15:sqref>'WRMP Main'!$C$30:$C$38</c15:sqref>
                  </c15:fullRef>
                </c:ext>
              </c:extLst>
              <c:f>('WRMP Main'!$C$30,'WRMP Main'!$C$32,'WRMP Main'!$C$34:$C$38)</c:f>
              <c:numCache>
                <c:formatCode>0.0</c:formatCode>
                <c:ptCount val="7"/>
                <c:pt idx="0">
                  <c:v>12.361506713432764</c:v>
                </c:pt>
                <c:pt idx="2">
                  <c:v>10.307977414978641</c:v>
                </c:pt>
                <c:pt idx="3">
                  <c:v>9.9859011438279932</c:v>
                </c:pt>
                <c:pt idx="4">
                  <c:v>9.3779540022360752</c:v>
                </c:pt>
                <c:pt idx="5">
                  <c:v>8.3248900895941844</c:v>
                </c:pt>
                <c:pt idx="6">
                  <c:v>7.4119661765017222</c:v>
                </c:pt>
              </c:numCache>
            </c:numRef>
          </c:val>
          <c:extLst xmlns:c16r2="http://schemas.microsoft.com/office/drawing/2015/06/chart">
            <c:ext xmlns:c16="http://schemas.microsoft.com/office/drawing/2014/chart" uri="{C3380CC4-5D6E-409C-BE32-E72D297353CC}">
              <c16:uniqueId val="{00000003-509C-4B4A-A6FB-E3F03A62AE24}"/>
            </c:ext>
            <c:ext xmlns:c15="http://schemas.microsoft.com/office/drawing/2012/chart" uri="{02D57815-91ED-43cb-92C2-25804820EDAC}">
              <c15:categoryFilterExceptions>
                <c15:categoryFilterException>
                  <c15:sqref>'WRMP Main'!$C$33</c15:sqref>
                  <c15:dLbl>
                    <c:idx val="1"/>
                    <c:layout>
                      <c:manualLayout>
                        <c:x val="3.8199180351863714E-3"/>
                        <c:y val="-5.281146467062042E-17"/>
                      </c:manualLayout>
                    </c:layout>
                    <c:dLblPos val="outEnd"/>
                    <c:showLegendKey val="0"/>
                    <c:showVal val="1"/>
                    <c:showCatName val="0"/>
                    <c:showSerName val="0"/>
                    <c:showPercent val="0"/>
                    <c:showBubbleSize val="0"/>
                    <c:extLst xmlns:c16="http://schemas.microsoft.com/office/drawing/2014/chart" xmlns:c16r2="http://schemas.microsoft.com/office/drawing/2015/06/chart">
                      <c:ext xmlns:c16="http://schemas.microsoft.com/office/drawing/2014/chart" uri="{C3380CC4-5D6E-409C-BE32-E72D297353CC}">
                        <c16:uniqueId val="{00000000-0FF9-4A49-BA5C-A88C4C0CEB5E}"/>
                      </c:ext>
                      <c:ext uri="{CE6537A1-D6FC-4f65-9D91-7224C49458BB}"/>
                    </c:extLst>
                  </c15:dLbl>
                </c15:categoryFilterException>
              </c15:categoryFilterExceptions>
            </c:ext>
          </c:extLst>
        </c:ser>
        <c:ser>
          <c:idx val="2"/>
          <c:order val="2"/>
          <c:tx>
            <c:strRef>
              <c:f>'WRMP Main'!$D$28</c:f>
              <c:strCache>
                <c:ptCount val="1"/>
                <c:pt idx="0">
                  <c:v>Customer priorities</c:v>
                </c:pt>
              </c:strCache>
            </c:strRef>
          </c:tx>
          <c:spPr>
            <a:solidFill>
              <a:schemeClr val="accent3"/>
            </a:solidFill>
            <a:ln>
              <a:noFill/>
            </a:ln>
            <a:effectLst/>
          </c:spPr>
          <c:invertIfNegative val="0"/>
          <c:dLbls>
            <c:dLbl>
              <c:idx val="2"/>
              <c:layout>
                <c:manualLayout>
                  <c:x val="1.2733060117288482E-2"/>
                  <c:y val="2.016461036030007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842-4EB1-B27C-51AD1C04E9B6}"/>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'WRMP Main'!$A$30:$A$38</c15:sqref>
                  </c15:fullRef>
                </c:ext>
              </c:extLst>
              <c:f>('WRMP Main'!$A$30,'WRMP Main'!$A$32,'WRMP Main'!$A$34:$A$38)</c:f>
              <c:strCache>
                <c:ptCount val="7"/>
                <c:pt idx="0">
                  <c:v>Reducing leakage</c:v>
                </c:pt>
                <c:pt idx="1">
                  <c:v>Increased metering (not smart meters)</c:v>
                </c:pt>
                <c:pt idx="2">
                  <c:v>Reducing customer water usage/More education campaigns</c:v>
                </c:pt>
                <c:pt idx="3">
                  <c:v>Installing smart meters</c:v>
                </c:pt>
                <c:pt idx="4">
                  <c:v>Increasing the amount of water in the Blithfield reservoir</c:v>
                </c:pt>
                <c:pt idx="5">
                  <c:v>Taking water from the River Trent</c:v>
                </c:pt>
                <c:pt idx="6">
                  <c:v>Taking more groundwater </c:v>
                </c:pt>
              </c:strCache>
            </c:strRef>
          </c:cat>
          <c:val>
            <c:numRef>
              <c:extLst>
                <c:ext xmlns:c15="http://schemas.microsoft.com/office/drawing/2012/chart" uri="{02D57815-91ED-43cb-92C2-25804820EDAC}">
                  <c15:fullRef>
                    <c15:sqref>'WRMP Main'!$D$30:$D$38</c15:sqref>
                  </c15:fullRef>
                </c:ext>
              </c:extLst>
              <c:f>('WRMP Main'!$D$30,'WRMP Main'!$D$32,'WRMP Main'!$D$34:$D$38)</c:f>
              <c:numCache>
                <c:formatCode>General</c:formatCode>
                <c:ptCount val="7"/>
                <c:pt idx="0" formatCode="0.0">
                  <c:v>11.635601262671834</c:v>
                </c:pt>
                <c:pt idx="2" formatCode="0.0">
                  <c:v>3.4359225821701931</c:v>
                </c:pt>
                <c:pt idx="3" formatCode="0.0">
                  <c:v>6.7206674497733641</c:v>
                </c:pt>
              </c:numCache>
            </c:numRef>
          </c:val>
          <c:extLst xmlns:c16r2="http://schemas.microsoft.com/office/drawing/2015/06/chart">
            <c:ext xmlns:c16="http://schemas.microsoft.com/office/drawing/2014/chart" uri="{C3380CC4-5D6E-409C-BE32-E72D297353CC}">
              <c16:uniqueId val="{00000006-509C-4B4A-A6FB-E3F03A62AE24}"/>
            </c:ext>
          </c:extLst>
        </c:ser>
        <c:ser>
          <c:idx val="3"/>
          <c:order val="3"/>
          <c:tx>
            <c:strRef>
              <c:f>'WRMP Main'!$E$28</c:f>
              <c:strCache>
                <c:ptCount val="1"/>
                <c:pt idx="0">
                  <c:v>WTP core_DCE</c:v>
                </c:pt>
              </c:strCache>
            </c:strRef>
          </c:tx>
          <c:spPr>
            <a:solidFill>
              <a:schemeClr val="accent4"/>
            </a:solidFill>
            <a:ln>
              <a:noFill/>
            </a:ln>
            <a:effectLst/>
          </c:spPr>
          <c:invertIfNegative val="0"/>
          <c:dLbls>
            <c:dLbl>
              <c:idx val="0"/>
              <c:layout>
                <c:manualLayout>
                  <c:x val="-5.0932240469154224E-3"/>
                  <c:y val="-1.440329311450005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509C-4B4A-A6FB-E3F03A62AE24}"/>
                </c:ext>
                <c:ext xmlns:c15="http://schemas.microsoft.com/office/drawing/2012/chart" uri="{CE6537A1-D6FC-4f65-9D91-7224C49458BB}"/>
              </c:extLst>
            </c:dLbl>
            <c:dLbl>
              <c:idx val="1"/>
              <c:layout>
                <c:manualLayout>
                  <c:x val="-8.91314208210197E-3"/>
                  <c:y val="-2.880658622900011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842-4EB1-B27C-51AD1C04E9B6}"/>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'WRMP Main'!$A$30:$A$38</c15:sqref>
                  </c15:fullRef>
                </c:ext>
              </c:extLst>
              <c:f>('WRMP Main'!$A$30,'WRMP Main'!$A$32,'WRMP Main'!$A$34:$A$38)</c:f>
              <c:strCache>
                <c:ptCount val="7"/>
                <c:pt idx="0">
                  <c:v>Reducing leakage</c:v>
                </c:pt>
                <c:pt idx="1">
                  <c:v>Increased metering (not smart meters)</c:v>
                </c:pt>
                <c:pt idx="2">
                  <c:v>Reducing customer water usage/More education campaigns</c:v>
                </c:pt>
                <c:pt idx="3">
                  <c:v>Installing smart meters</c:v>
                </c:pt>
                <c:pt idx="4">
                  <c:v>Increasing the amount of water in the Blithfield reservoir</c:v>
                </c:pt>
                <c:pt idx="5">
                  <c:v>Taking water from the River Trent</c:v>
                </c:pt>
                <c:pt idx="6">
                  <c:v>Taking more groundwater </c:v>
                </c:pt>
              </c:strCache>
            </c:strRef>
          </c:cat>
          <c:val>
            <c:numRef>
              <c:extLst>
                <c:ext xmlns:c15="http://schemas.microsoft.com/office/drawing/2012/chart" uri="{02D57815-91ED-43cb-92C2-25804820EDAC}">
                  <c15:fullRef>
                    <c15:sqref>'WRMP Main'!$E$30:$E$38</c15:sqref>
                  </c15:fullRef>
                </c:ext>
              </c:extLst>
              <c:f>('WRMP Main'!$E$30,'WRMP Main'!$E$32,'WRMP Main'!$E$34:$E$38)</c:f>
              <c:numCache>
                <c:formatCode>General</c:formatCode>
                <c:ptCount val="7"/>
                <c:pt idx="0" formatCode="0.0">
                  <c:v>3.6339103020841947</c:v>
                </c:pt>
                <c:pt idx="1" formatCode="0.0">
                  <c:v>34.694975649407077</c:v>
                </c:pt>
                <c:pt idx="3" formatCode="0.0">
                  <c:v>3.4048407020117413</c:v>
                </c:pt>
              </c:numCache>
            </c:numRef>
          </c:val>
          <c:extLst xmlns:c16r2="http://schemas.microsoft.com/office/drawing/2015/06/chart">
            <c:ext xmlns:c16="http://schemas.microsoft.com/office/drawing/2014/chart" uri="{C3380CC4-5D6E-409C-BE32-E72D297353CC}">
              <c16:uniqueId val="{00000008-509C-4B4A-A6FB-E3F03A62AE24}"/>
            </c:ext>
          </c:extLst>
        </c:ser>
        <c:ser>
          <c:idx val="4"/>
          <c:order val="4"/>
          <c:tx>
            <c:strRef>
              <c:f>'WRMP Main'!$F$28</c:f>
              <c:strCache>
                <c:ptCount val="1"/>
                <c:pt idx="0">
                  <c:v>WTP core_MaxDiff</c:v>
                </c:pt>
              </c:strCache>
            </c:strRef>
          </c:tx>
          <c:spPr>
            <a:solidFill>
              <a:schemeClr val="accent4">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'WRMP Main'!$A$30:$A$38</c15:sqref>
                  </c15:fullRef>
                </c:ext>
              </c:extLst>
              <c:f>('WRMP Main'!$A$30,'WRMP Main'!$A$32,'WRMP Main'!$A$34:$A$38)</c:f>
              <c:strCache>
                <c:ptCount val="7"/>
                <c:pt idx="0">
                  <c:v>Reducing leakage</c:v>
                </c:pt>
                <c:pt idx="1">
                  <c:v>Increased metering (not smart meters)</c:v>
                </c:pt>
                <c:pt idx="2">
                  <c:v>Reducing customer water usage/More education campaigns</c:v>
                </c:pt>
                <c:pt idx="3">
                  <c:v>Installing smart meters</c:v>
                </c:pt>
                <c:pt idx="4">
                  <c:v>Increasing the amount of water in the Blithfield reservoir</c:v>
                </c:pt>
                <c:pt idx="5">
                  <c:v>Taking water from the River Trent</c:v>
                </c:pt>
                <c:pt idx="6">
                  <c:v>Taking more groundwater </c:v>
                </c:pt>
              </c:strCache>
            </c:strRef>
          </c:cat>
          <c:val>
            <c:numRef>
              <c:extLst>
                <c:ext xmlns:c15="http://schemas.microsoft.com/office/drawing/2012/chart" uri="{02D57815-91ED-43cb-92C2-25804820EDAC}">
                  <c15:fullRef>
                    <c15:sqref>'WRMP Main'!$F$30:$F$38</c15:sqref>
                  </c15:fullRef>
                </c:ext>
              </c:extLst>
              <c:f>('WRMP Main'!$F$30,'WRMP Main'!$F$32,'WRMP Main'!$F$34:$F$38)</c:f>
              <c:numCache>
                <c:formatCode>General</c:formatCode>
                <c:ptCount val="7"/>
                <c:pt idx="0" formatCode="0.0">
                  <c:v>29.98326634715751</c:v>
                </c:pt>
                <c:pt idx="1" formatCode="0.0">
                  <c:v>8.0244891103751019</c:v>
                </c:pt>
                <c:pt idx="3" formatCode="0.0">
                  <c:v>3.7259711959704078</c:v>
                </c:pt>
              </c:numCache>
            </c:numRef>
          </c:val>
          <c:extLst xmlns:c16r2="http://schemas.microsoft.com/office/drawing/2015/06/chart">
            <c:ext xmlns:c16="http://schemas.microsoft.com/office/drawing/2014/chart" uri="{C3380CC4-5D6E-409C-BE32-E72D297353CC}">
              <c16:uniqueId val="{00000009-509C-4B4A-A6FB-E3F03A62AE24}"/>
            </c:ext>
          </c:extLst>
        </c:ser>
        <c:ser>
          <c:idx val="5"/>
          <c:order val="5"/>
          <c:tx>
            <c:v>COMBINED</c:v>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'WRMP Main'!$A$30:$A$38</c15:sqref>
                  </c15:fullRef>
                </c:ext>
              </c:extLst>
              <c:f>('WRMP Main'!$A$30,'WRMP Main'!$A$32,'WRMP Main'!$A$34:$A$38)</c:f>
              <c:strCache>
                <c:ptCount val="7"/>
                <c:pt idx="0">
                  <c:v>Reducing leakage</c:v>
                </c:pt>
                <c:pt idx="1">
                  <c:v>Increased metering (not smart meters)</c:v>
                </c:pt>
                <c:pt idx="2">
                  <c:v>Reducing customer water usage/More education campaigns</c:v>
                </c:pt>
                <c:pt idx="3">
                  <c:v>Installing smart meters</c:v>
                </c:pt>
                <c:pt idx="4">
                  <c:v>Increasing the amount of water in the Blithfield reservoir</c:v>
                </c:pt>
                <c:pt idx="5">
                  <c:v>Taking water from the River Trent</c:v>
                </c:pt>
                <c:pt idx="6">
                  <c:v>Taking more groundwater </c:v>
                </c:pt>
              </c:strCache>
            </c:strRef>
          </c:cat>
          <c:val>
            <c:numRef>
              <c:extLst>
                <c:ext xmlns:c15="http://schemas.microsoft.com/office/drawing/2012/chart" uri="{02D57815-91ED-43cb-92C2-25804820EDAC}">
                  <c15:fullRef>
                    <c15:sqref>'WRMP Main'!$H$30:$H$38</c15:sqref>
                  </c15:fullRef>
                </c:ext>
              </c:extLst>
              <c:f>('WRMP Main'!$H$30,'WRMP Main'!$H$32,'WRMP Main'!$H$34:$H$38)</c:f>
              <c:numCache>
                <c:formatCode>0.0</c:formatCode>
                <c:ptCount val="7"/>
                <c:pt idx="0">
                  <c:v>16.200936698442366</c:v>
                </c:pt>
                <c:pt idx="1">
                  <c:v>22.166749942658207</c:v>
                </c:pt>
                <c:pt idx="2">
                  <c:v>11.245798729195428</c:v>
                </c:pt>
                <c:pt idx="3">
                  <c:v>10.862531219709062</c:v>
                </c:pt>
                <c:pt idx="4">
                  <c:v>10.38435552595482</c:v>
                </c:pt>
                <c:pt idx="5">
                  <c:v>9.5026239913896067</c:v>
                </c:pt>
                <c:pt idx="6">
                  <c:v>7.1682690104241447</c:v>
                </c:pt>
              </c:numCache>
            </c:numRef>
          </c:val>
          <c:extLst xmlns:c16r2="http://schemas.microsoft.com/office/drawing/2015/06/chart">
            <c:ext xmlns:c16="http://schemas.microsoft.com/office/drawing/2014/chart" uri="{C3380CC4-5D6E-409C-BE32-E72D297353CC}">
              <c16:uniqueId val="{0000000A-509C-4B4A-A6FB-E3F03A62AE24}"/>
            </c:ext>
          </c:extLst>
        </c:ser>
        <c:dLbls>
          <c:dLblPos val="outEnd"/>
          <c:showLegendKey val="0"/>
          <c:showVal val="1"/>
          <c:showCatName val="0"/>
          <c:showSerName val="0"/>
          <c:showPercent val="0"/>
          <c:showBubbleSize val="0"/>
        </c:dLbls>
        <c:gapWidth val="219"/>
        <c:overlap val="-27"/>
        <c:axId val="1186719248"/>
        <c:axId val="1186723600"/>
      </c:barChart>
      <c:catAx>
        <c:axId val="1186719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6723600"/>
        <c:crosses val="autoZero"/>
        <c:auto val="1"/>
        <c:lblAlgn val="ctr"/>
        <c:lblOffset val="100"/>
        <c:noMultiLvlLbl val="0"/>
      </c:catAx>
      <c:valAx>
        <c:axId val="11867236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1867192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SSC WTP Unit Values and Range - Drought Restrictions </a:t>
            </a:r>
            <a:r>
              <a:rPr lang="en-US" sz="1400" b="1" i="0" u="none" strike="noStrike" baseline="0">
                <a:solidFill>
                  <a:sysClr val="windowText" lastClr="000000"/>
                </a:solidFill>
                <a:effectLst/>
              </a:rPr>
              <a:t>(£/1% Risk/yr)</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Main'!$EL$150</c:f>
              <c:strCache>
                <c:ptCount val="1"/>
                <c:pt idx="0">
                  <c:v>ALL</c:v>
                </c:pt>
              </c:strCache>
            </c:strRef>
          </c:tx>
          <c:spPr>
            <a:solidFill>
              <a:schemeClr val="accent2"/>
            </a:solidFill>
            <a:ln>
              <a:noFill/>
            </a:ln>
            <a:effectLst/>
          </c:spPr>
          <c:invertIfNegative val="0"/>
          <c:errBars>
            <c:errBarType val="both"/>
            <c:errValType val="cust"/>
            <c:noEndCap val="0"/>
            <c:plus>
              <c:numRef>
                <c:f>'WTP Main'!$EN$151:$EN$152</c:f>
                <c:numCache>
                  <c:formatCode>General</c:formatCode>
                  <c:ptCount val="2"/>
                  <c:pt idx="0">
                    <c:v>894697.43967093527</c:v>
                  </c:pt>
                  <c:pt idx="1">
                    <c:v>1107239.6164930423</c:v>
                  </c:pt>
                </c:numCache>
              </c:numRef>
            </c:plus>
            <c:minus>
              <c:numRef>
                <c:f>'WTP Main'!$EM$151:$EM$152</c:f>
                <c:numCache>
                  <c:formatCode>General</c:formatCode>
                  <c:ptCount val="2"/>
                  <c:pt idx="0">
                    <c:v>746372.79935914406</c:v>
                  </c:pt>
                  <c:pt idx="1">
                    <c:v>503748.84504590638</c:v>
                  </c:pt>
                </c:numCache>
              </c:numRef>
            </c:minus>
            <c:spPr>
              <a:noFill/>
              <a:ln w="9525" cap="flat" cmpd="sng" algn="ctr">
                <a:solidFill>
                  <a:srgbClr val="000000"/>
                </a:solidFill>
                <a:round/>
              </a:ln>
              <a:effectLst/>
            </c:spPr>
          </c:errBars>
          <c:cat>
            <c:strRef>
              <c:f>'WTP Main'!$A$156:$A$157</c:f>
              <c:strCache>
                <c:ptCount val="2"/>
                <c:pt idx="0">
                  <c:v>Drought restrictions</c:v>
                </c:pt>
                <c:pt idx="1">
                  <c:v>Temporary use ban</c:v>
                </c:pt>
              </c:strCache>
            </c:strRef>
          </c:cat>
          <c:val>
            <c:numRef>
              <c:f>'WTP Main'!$EL$151:$EL$152</c:f>
              <c:numCache>
                <c:formatCode>0</c:formatCode>
                <c:ptCount val="2"/>
                <c:pt idx="0">
                  <c:v>1147453.7259473747</c:v>
                </c:pt>
                <c:pt idx="1">
                  <c:v>724697.05963301484</c:v>
                </c:pt>
              </c:numCache>
            </c:numRef>
          </c:val>
          <c:extLst xmlns:c16r2="http://schemas.microsoft.com/office/drawing/2015/06/chart">
            <c:ext xmlns:c16="http://schemas.microsoft.com/office/drawing/2014/chart" uri="{C3380CC4-5D6E-409C-BE32-E72D297353CC}">
              <c16:uniqueId val="{00000000-0CA1-4B23-AAE6-B6E040D4C343}"/>
            </c:ext>
          </c:extLst>
        </c:ser>
        <c:ser>
          <c:idx val="1"/>
          <c:order val="1"/>
          <c:tx>
            <c:strRef>
              <c:f>'WTP Main'!$EO$150</c:f>
              <c:strCache>
                <c:ptCount val="1"/>
                <c:pt idx="0">
                  <c:v>HH</c:v>
                </c:pt>
              </c:strCache>
            </c:strRef>
          </c:tx>
          <c:spPr>
            <a:solidFill>
              <a:schemeClr val="accent4"/>
            </a:solidFill>
            <a:ln>
              <a:noFill/>
            </a:ln>
            <a:effectLst/>
          </c:spPr>
          <c:invertIfNegative val="0"/>
          <c:errBars>
            <c:errBarType val="both"/>
            <c:errValType val="cust"/>
            <c:noEndCap val="0"/>
            <c:plus>
              <c:numRef>
                <c:f>'WTP Main'!$EQ$151:$EQ$152</c:f>
                <c:numCache>
                  <c:formatCode>General</c:formatCode>
                  <c:ptCount val="2"/>
                  <c:pt idx="0">
                    <c:v>0</c:v>
                  </c:pt>
                  <c:pt idx="1">
                    <c:v>0</c:v>
                  </c:pt>
                </c:numCache>
              </c:numRef>
            </c:plus>
            <c:minus>
              <c:numRef>
                <c:f>'WTP Main'!$EP$151:$EP$152</c:f>
                <c:numCache>
                  <c:formatCode>General</c:formatCode>
                  <c:ptCount val="2"/>
                  <c:pt idx="0">
                    <c:v>0</c:v>
                  </c:pt>
                  <c:pt idx="1">
                    <c:v>0</c:v>
                  </c:pt>
                </c:numCache>
              </c:numRef>
            </c:minus>
            <c:spPr>
              <a:noFill/>
              <a:ln w="9525" cap="flat" cmpd="sng" algn="ctr">
                <a:solidFill>
                  <a:srgbClr val="000000"/>
                </a:solidFill>
                <a:round/>
              </a:ln>
              <a:effectLst/>
            </c:spPr>
          </c:errBars>
          <c:cat>
            <c:strRef>
              <c:f>'WTP Main'!$A$156:$A$157</c:f>
              <c:strCache>
                <c:ptCount val="2"/>
                <c:pt idx="0">
                  <c:v>Drought restrictions</c:v>
                </c:pt>
                <c:pt idx="1">
                  <c:v>Temporary use ban</c:v>
                </c:pt>
              </c:strCache>
            </c:strRef>
          </c:cat>
          <c:val>
            <c:numRef>
              <c:f>'WTP Main'!$EO$151:$EO$152</c:f>
              <c:numCache>
                <c:formatCode>0</c:formatCode>
                <c:ptCount val="2"/>
                <c:pt idx="0">
                  <c:v>0</c:v>
                </c:pt>
                <c:pt idx="1">
                  <c:v>0</c:v>
                </c:pt>
              </c:numCache>
            </c:numRef>
          </c:val>
          <c:extLst xmlns:c16r2="http://schemas.microsoft.com/office/drawing/2015/06/chart">
            <c:ext xmlns:c16="http://schemas.microsoft.com/office/drawing/2014/chart" uri="{C3380CC4-5D6E-409C-BE32-E72D297353CC}">
              <c16:uniqueId val="{00000000-C003-4D0A-BFBF-D6C6BFAE2073}"/>
            </c:ext>
          </c:extLst>
        </c:ser>
        <c:ser>
          <c:idx val="2"/>
          <c:order val="2"/>
          <c:tx>
            <c:strRef>
              <c:f>'WTP Main'!$ER$150</c:f>
              <c:strCache>
                <c:ptCount val="1"/>
                <c:pt idx="0">
                  <c:v>NHH</c:v>
                </c:pt>
              </c:strCache>
            </c:strRef>
          </c:tx>
          <c:spPr>
            <a:solidFill>
              <a:schemeClr val="accent6"/>
            </a:solidFill>
            <a:ln>
              <a:noFill/>
            </a:ln>
            <a:effectLst/>
          </c:spPr>
          <c:invertIfNegative val="0"/>
          <c:errBars>
            <c:errBarType val="both"/>
            <c:errValType val="cust"/>
            <c:noEndCap val="0"/>
            <c:plus>
              <c:numRef>
                <c:f>'WTP Main'!$ET$151:$ET$152</c:f>
                <c:numCache>
                  <c:formatCode>General</c:formatCode>
                  <c:ptCount val="2"/>
                  <c:pt idx="0">
                    <c:v>0</c:v>
                  </c:pt>
                  <c:pt idx="1">
                    <c:v>0</c:v>
                  </c:pt>
                </c:numCache>
              </c:numRef>
            </c:plus>
            <c:minus>
              <c:numRef>
                <c:f>'WTP Main'!$ES$151:$ES$152</c:f>
                <c:numCache>
                  <c:formatCode>General</c:formatCode>
                  <c:ptCount val="2"/>
                  <c:pt idx="0">
                    <c:v>0</c:v>
                  </c:pt>
                  <c:pt idx="1">
                    <c:v>0</c:v>
                  </c:pt>
                </c:numCache>
              </c:numRef>
            </c:minus>
            <c:spPr>
              <a:noFill/>
              <a:ln w="9525" cap="flat" cmpd="sng" algn="ctr">
                <a:solidFill>
                  <a:srgbClr val="000000"/>
                </a:solidFill>
                <a:round/>
              </a:ln>
              <a:effectLst/>
            </c:spPr>
          </c:errBars>
          <c:cat>
            <c:strRef>
              <c:f>'WTP Main'!$A$156:$A$157</c:f>
              <c:strCache>
                <c:ptCount val="2"/>
                <c:pt idx="0">
                  <c:v>Drought restrictions</c:v>
                </c:pt>
                <c:pt idx="1">
                  <c:v>Temporary use ban</c:v>
                </c:pt>
              </c:strCache>
            </c:strRef>
          </c:cat>
          <c:val>
            <c:numRef>
              <c:f>'WTP Main'!$ER$151:$ER$152</c:f>
              <c:numCache>
                <c:formatCode>0</c:formatCode>
                <c:ptCount val="2"/>
                <c:pt idx="0">
                  <c:v>0</c:v>
                </c:pt>
                <c:pt idx="1">
                  <c:v>0</c:v>
                </c:pt>
              </c:numCache>
            </c:numRef>
          </c:val>
          <c:extLst xmlns:c16r2="http://schemas.microsoft.com/office/drawing/2015/06/chart">
            <c:ext xmlns:c16="http://schemas.microsoft.com/office/drawing/2014/chart" uri="{C3380CC4-5D6E-409C-BE32-E72D297353CC}">
              <c16:uniqueId val="{00000001-C003-4D0A-BFBF-D6C6BFAE2073}"/>
            </c:ext>
          </c:extLst>
        </c:ser>
        <c:dLbls>
          <c:showLegendKey val="0"/>
          <c:showVal val="0"/>
          <c:showCatName val="0"/>
          <c:showSerName val="0"/>
          <c:showPercent val="0"/>
          <c:showBubbleSize val="0"/>
        </c:dLbls>
        <c:gapWidth val="219"/>
        <c:overlap val="-27"/>
        <c:axId val="1336503056"/>
        <c:axId val="1336513392"/>
      </c:barChart>
      <c:catAx>
        <c:axId val="1336503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6513392"/>
        <c:crosses val="autoZero"/>
        <c:auto val="1"/>
        <c:lblAlgn val="ctr"/>
        <c:lblOffset val="100"/>
        <c:noMultiLvlLbl val="0"/>
      </c:catAx>
      <c:valAx>
        <c:axId val="1336513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6503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ysClr val="windowText" lastClr="000000"/>
                </a:solidFill>
                <a:effectLst/>
              </a:rPr>
              <a:t>SSC WTP Unit Values and Range - Metering (£/HH metered/yr)</a:t>
            </a:r>
            <a:endParaRPr lang="en-US">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Main'!$EL$215</c:f>
              <c:strCache>
                <c:ptCount val="1"/>
                <c:pt idx="0">
                  <c:v>ALL</c:v>
                </c:pt>
              </c:strCache>
            </c:strRef>
          </c:tx>
          <c:spPr>
            <a:solidFill>
              <a:schemeClr val="accent2"/>
            </a:solidFill>
            <a:ln>
              <a:noFill/>
            </a:ln>
            <a:effectLst/>
          </c:spPr>
          <c:invertIfNegative val="0"/>
          <c:errBars>
            <c:errBarType val="both"/>
            <c:errValType val="cust"/>
            <c:noEndCap val="0"/>
            <c:plus>
              <c:numRef>
                <c:f>'WTP Main'!$EN$216:$EN$217</c:f>
                <c:numCache>
                  <c:formatCode>General</c:formatCode>
                  <c:ptCount val="2"/>
                  <c:pt idx="0">
                    <c:v>12.350248220397317</c:v>
                  </c:pt>
                  <c:pt idx="1">
                    <c:v>0.62726575377765437</c:v>
                  </c:pt>
                </c:numCache>
              </c:numRef>
            </c:plus>
            <c:minus>
              <c:numRef>
                <c:f>'WTP Main'!$EM$216:$EM$217</c:f>
                <c:numCache>
                  <c:formatCode>General</c:formatCode>
                  <c:ptCount val="2"/>
                  <c:pt idx="0">
                    <c:v>6.7386162831308773</c:v>
                  </c:pt>
                  <c:pt idx="1">
                    <c:v>0.33461567042780727</c:v>
                  </c:pt>
                </c:numCache>
              </c:numRef>
            </c:minus>
            <c:spPr>
              <a:noFill/>
              <a:ln w="9525" cap="flat" cmpd="sng" algn="ctr">
                <a:solidFill>
                  <a:srgbClr val="000000"/>
                </a:solidFill>
                <a:round/>
              </a:ln>
              <a:effectLst/>
            </c:spPr>
          </c:errBars>
          <c:cat>
            <c:strRef>
              <c:f>'WTP Main'!$A$219:$A$220</c:f>
              <c:strCache>
                <c:ptCount val="2"/>
                <c:pt idx="0">
                  <c:v>Water metering</c:v>
                </c:pt>
                <c:pt idx="1">
                  <c:v>Giving customers control of their water usage</c:v>
                </c:pt>
              </c:strCache>
            </c:strRef>
          </c:cat>
          <c:val>
            <c:numRef>
              <c:f>'WTP Main'!$EL$216:$EL$217</c:f>
              <c:numCache>
                <c:formatCode>0</c:formatCode>
                <c:ptCount val="2"/>
                <c:pt idx="0">
                  <c:v>9.9981453921543135</c:v>
                </c:pt>
                <c:pt idx="1">
                  <c:v>0.67848256689588038</c:v>
                </c:pt>
              </c:numCache>
            </c:numRef>
          </c:val>
          <c:extLst xmlns:c16r2="http://schemas.microsoft.com/office/drawing/2015/06/chart">
            <c:ext xmlns:c16="http://schemas.microsoft.com/office/drawing/2014/chart" uri="{C3380CC4-5D6E-409C-BE32-E72D297353CC}">
              <c16:uniqueId val="{00000000-6220-4FF6-93DD-275801CD5AD6}"/>
            </c:ext>
          </c:extLst>
        </c:ser>
        <c:ser>
          <c:idx val="1"/>
          <c:order val="1"/>
          <c:tx>
            <c:strRef>
              <c:f>'WTP Main'!$EO$215</c:f>
              <c:strCache>
                <c:ptCount val="1"/>
                <c:pt idx="0">
                  <c:v>HH</c:v>
                </c:pt>
              </c:strCache>
            </c:strRef>
          </c:tx>
          <c:spPr>
            <a:solidFill>
              <a:schemeClr val="accent4"/>
            </a:solidFill>
            <a:ln>
              <a:noFill/>
            </a:ln>
            <a:effectLst/>
          </c:spPr>
          <c:invertIfNegative val="0"/>
          <c:errBars>
            <c:errBarType val="both"/>
            <c:errValType val="cust"/>
            <c:noEndCap val="0"/>
            <c:plus>
              <c:numRef>
                <c:f>'WTP Main'!$EQ$216:$EQ$217</c:f>
                <c:numCache>
                  <c:formatCode>General</c:formatCode>
                  <c:ptCount val="2"/>
                  <c:pt idx="0">
                    <c:v>0</c:v>
                  </c:pt>
                  <c:pt idx="1">
                    <c:v>0</c:v>
                  </c:pt>
                </c:numCache>
              </c:numRef>
            </c:plus>
            <c:minus>
              <c:numRef>
                <c:f>'WTP Main'!$EP$216:$EP$217</c:f>
                <c:numCache>
                  <c:formatCode>General</c:formatCode>
                  <c:ptCount val="2"/>
                  <c:pt idx="0">
                    <c:v>0</c:v>
                  </c:pt>
                  <c:pt idx="1">
                    <c:v>0</c:v>
                  </c:pt>
                </c:numCache>
              </c:numRef>
            </c:minus>
            <c:spPr>
              <a:noFill/>
              <a:ln w="9525" cap="flat" cmpd="sng" algn="ctr">
                <a:solidFill>
                  <a:srgbClr val="000000"/>
                </a:solidFill>
                <a:round/>
              </a:ln>
              <a:effectLst/>
            </c:spPr>
          </c:errBars>
          <c:cat>
            <c:strRef>
              <c:f>'WTP Main'!$A$219:$A$220</c:f>
              <c:strCache>
                <c:ptCount val="2"/>
                <c:pt idx="0">
                  <c:v>Water metering</c:v>
                </c:pt>
                <c:pt idx="1">
                  <c:v>Giving customers control of their water usage</c:v>
                </c:pt>
              </c:strCache>
            </c:strRef>
          </c:cat>
          <c:val>
            <c:numRef>
              <c:f>'WTP Main'!$EO$216:$EO$217</c:f>
              <c:numCache>
                <c:formatCode>0</c:formatCode>
                <c:ptCount val="2"/>
                <c:pt idx="0">
                  <c:v>0</c:v>
                </c:pt>
                <c:pt idx="1">
                  <c:v>0</c:v>
                </c:pt>
              </c:numCache>
            </c:numRef>
          </c:val>
          <c:extLst xmlns:c16r2="http://schemas.microsoft.com/office/drawing/2015/06/chart">
            <c:ext xmlns:c16="http://schemas.microsoft.com/office/drawing/2014/chart" uri="{C3380CC4-5D6E-409C-BE32-E72D297353CC}">
              <c16:uniqueId val="{00000000-6289-4A73-B5D4-C62DC2E573F6}"/>
            </c:ext>
          </c:extLst>
        </c:ser>
        <c:dLbls>
          <c:showLegendKey val="0"/>
          <c:showVal val="0"/>
          <c:showCatName val="0"/>
          <c:showSerName val="0"/>
          <c:showPercent val="0"/>
          <c:showBubbleSize val="0"/>
        </c:dLbls>
        <c:gapWidth val="219"/>
        <c:overlap val="-27"/>
        <c:axId val="1336500880"/>
        <c:axId val="1336506320"/>
      </c:barChart>
      <c:catAx>
        <c:axId val="1336500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6506320"/>
        <c:crosses val="autoZero"/>
        <c:auto val="1"/>
        <c:lblAlgn val="ctr"/>
        <c:lblOffset val="100"/>
        <c:noMultiLvlLbl val="0"/>
      </c:catAx>
      <c:valAx>
        <c:axId val="1336506320"/>
        <c:scaling>
          <c:orientation val="minMax"/>
          <c:max val="3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6500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SSC WTP Unit Values and Range - Environmental Protection (£/Hectare/yr)</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Main'!$EL$247</c:f>
              <c:strCache>
                <c:ptCount val="1"/>
                <c:pt idx="0">
                  <c:v>ALL</c:v>
                </c:pt>
              </c:strCache>
            </c:strRef>
          </c:tx>
          <c:spPr>
            <a:solidFill>
              <a:schemeClr val="accent2"/>
            </a:solidFill>
            <a:ln>
              <a:noFill/>
            </a:ln>
            <a:effectLst/>
          </c:spPr>
          <c:invertIfNegative val="0"/>
          <c:errBars>
            <c:errBarType val="both"/>
            <c:errValType val="cust"/>
            <c:noEndCap val="0"/>
            <c:plus>
              <c:numRef>
                <c:f>'WTP Main'!$EN$248:$EN$249</c:f>
                <c:numCache>
                  <c:formatCode>General</c:formatCode>
                  <c:ptCount val="2"/>
                  <c:pt idx="0">
                    <c:v>146592.05546387355</c:v>
                  </c:pt>
                  <c:pt idx="1">
                    <c:v>9370.4375109695957</c:v>
                  </c:pt>
                </c:numCache>
              </c:numRef>
            </c:plus>
            <c:minus>
              <c:numRef>
                <c:f>'WTP Main'!$EM$248:$EM$249</c:f>
                <c:numCache>
                  <c:formatCode>General</c:formatCode>
                  <c:ptCount val="2"/>
                  <c:pt idx="0">
                    <c:v>17040.615219769334</c:v>
                  </c:pt>
                  <c:pt idx="1">
                    <c:v>7008.8423522388048</c:v>
                  </c:pt>
                </c:numCache>
              </c:numRef>
            </c:minus>
            <c:spPr>
              <a:noFill/>
              <a:ln w="9525" cap="flat" cmpd="sng" algn="ctr">
                <a:solidFill>
                  <a:srgbClr val="000000"/>
                </a:solidFill>
                <a:round/>
              </a:ln>
              <a:effectLst/>
            </c:spPr>
          </c:errBars>
          <c:cat>
            <c:strRef>
              <c:f>'WTP Main'!$A$251:$A$252</c:f>
              <c:strCache>
                <c:ptCount val="2"/>
                <c:pt idx="0">
                  <c:v>Protecting wildlife habitats</c:v>
                </c:pt>
                <c:pt idx="1">
                  <c:v>Managing impacts on rivers &amp; streams</c:v>
                </c:pt>
              </c:strCache>
            </c:strRef>
          </c:cat>
          <c:val>
            <c:numRef>
              <c:f>'WTP Main'!$EL$248:$EL$249</c:f>
              <c:numCache>
                <c:formatCode>0</c:formatCode>
                <c:ptCount val="2"/>
                <c:pt idx="0">
                  <c:v>22720.07712056956</c:v>
                </c:pt>
                <c:pt idx="1">
                  <c:v>11219.891079921676</c:v>
                </c:pt>
              </c:numCache>
            </c:numRef>
          </c:val>
          <c:extLst xmlns:c16r2="http://schemas.microsoft.com/office/drawing/2015/06/chart">
            <c:ext xmlns:c16="http://schemas.microsoft.com/office/drawing/2014/chart" uri="{C3380CC4-5D6E-409C-BE32-E72D297353CC}">
              <c16:uniqueId val="{00000000-763B-4AB9-B48C-8CE9E6E53ADA}"/>
            </c:ext>
          </c:extLst>
        </c:ser>
        <c:ser>
          <c:idx val="1"/>
          <c:order val="1"/>
          <c:tx>
            <c:strRef>
              <c:f>'WTP Main'!$EO$247</c:f>
              <c:strCache>
                <c:ptCount val="1"/>
                <c:pt idx="0">
                  <c:v>HH</c:v>
                </c:pt>
              </c:strCache>
            </c:strRef>
          </c:tx>
          <c:spPr>
            <a:solidFill>
              <a:schemeClr val="accent4"/>
            </a:solidFill>
            <a:ln>
              <a:noFill/>
            </a:ln>
            <a:effectLst/>
          </c:spPr>
          <c:invertIfNegative val="0"/>
          <c:errBars>
            <c:errBarType val="both"/>
            <c:errValType val="cust"/>
            <c:noEndCap val="0"/>
            <c:plus>
              <c:numRef>
                <c:f>'WTP Main'!$EQ$248:$EQ$249</c:f>
                <c:numCache>
                  <c:formatCode>General</c:formatCode>
                  <c:ptCount val="2"/>
                  <c:pt idx="0">
                    <c:v>0</c:v>
                  </c:pt>
                  <c:pt idx="1">
                    <c:v>0</c:v>
                  </c:pt>
                </c:numCache>
              </c:numRef>
            </c:plus>
            <c:minus>
              <c:numRef>
                <c:f>'WTP Main'!$EP$248:$EP$249</c:f>
                <c:numCache>
                  <c:formatCode>General</c:formatCode>
                  <c:ptCount val="2"/>
                  <c:pt idx="0">
                    <c:v>0</c:v>
                  </c:pt>
                  <c:pt idx="1">
                    <c:v>0</c:v>
                  </c:pt>
                </c:numCache>
              </c:numRef>
            </c:minus>
            <c:spPr>
              <a:noFill/>
              <a:ln w="9525" cap="flat" cmpd="sng" algn="ctr">
                <a:solidFill>
                  <a:srgbClr val="000000"/>
                </a:solidFill>
                <a:round/>
              </a:ln>
              <a:effectLst/>
            </c:spPr>
          </c:errBars>
          <c:cat>
            <c:strRef>
              <c:f>'WTP Main'!$A$251:$A$252</c:f>
              <c:strCache>
                <c:ptCount val="2"/>
                <c:pt idx="0">
                  <c:v>Protecting wildlife habitats</c:v>
                </c:pt>
                <c:pt idx="1">
                  <c:v>Managing impacts on rivers &amp; streams</c:v>
                </c:pt>
              </c:strCache>
            </c:strRef>
          </c:cat>
          <c:val>
            <c:numRef>
              <c:f>'WTP Main'!$EO$248:$EO$249</c:f>
              <c:numCache>
                <c:formatCode>0</c:formatCode>
                <c:ptCount val="2"/>
                <c:pt idx="0">
                  <c:v>0</c:v>
                </c:pt>
                <c:pt idx="1">
                  <c:v>0</c:v>
                </c:pt>
              </c:numCache>
            </c:numRef>
          </c:val>
          <c:extLst xmlns:c16r2="http://schemas.microsoft.com/office/drawing/2015/06/chart">
            <c:ext xmlns:c16="http://schemas.microsoft.com/office/drawing/2014/chart" uri="{C3380CC4-5D6E-409C-BE32-E72D297353CC}">
              <c16:uniqueId val="{00000000-86E1-4597-8430-2194CC212DB5}"/>
            </c:ext>
          </c:extLst>
        </c:ser>
        <c:ser>
          <c:idx val="2"/>
          <c:order val="2"/>
          <c:tx>
            <c:strRef>
              <c:f>'WTP Main'!$ER$247</c:f>
              <c:strCache>
                <c:ptCount val="1"/>
                <c:pt idx="0">
                  <c:v>NHH</c:v>
                </c:pt>
              </c:strCache>
            </c:strRef>
          </c:tx>
          <c:spPr>
            <a:solidFill>
              <a:schemeClr val="accent6"/>
            </a:solidFill>
            <a:ln>
              <a:noFill/>
            </a:ln>
            <a:effectLst/>
          </c:spPr>
          <c:invertIfNegative val="0"/>
          <c:errBars>
            <c:errBarType val="both"/>
            <c:errValType val="cust"/>
            <c:noEndCap val="0"/>
            <c:plus>
              <c:numRef>
                <c:f>'WTP Main'!$ET$248:$ET$249</c:f>
                <c:numCache>
                  <c:formatCode>General</c:formatCode>
                  <c:ptCount val="2"/>
                  <c:pt idx="0">
                    <c:v>0</c:v>
                  </c:pt>
                  <c:pt idx="1">
                    <c:v>0</c:v>
                  </c:pt>
                </c:numCache>
              </c:numRef>
            </c:plus>
            <c:minus>
              <c:numRef>
                <c:f>'WTP Main'!$ES$248:$ES$249</c:f>
                <c:numCache>
                  <c:formatCode>General</c:formatCode>
                  <c:ptCount val="2"/>
                  <c:pt idx="0">
                    <c:v>0</c:v>
                  </c:pt>
                  <c:pt idx="1">
                    <c:v>0</c:v>
                  </c:pt>
                </c:numCache>
              </c:numRef>
            </c:minus>
            <c:spPr>
              <a:noFill/>
              <a:ln w="9525" cap="flat" cmpd="sng" algn="ctr">
                <a:solidFill>
                  <a:srgbClr val="000000"/>
                </a:solidFill>
                <a:round/>
              </a:ln>
              <a:effectLst/>
            </c:spPr>
          </c:errBars>
          <c:cat>
            <c:strRef>
              <c:f>'WTP Main'!$A$251:$A$252</c:f>
              <c:strCache>
                <c:ptCount val="2"/>
                <c:pt idx="0">
                  <c:v>Protecting wildlife habitats</c:v>
                </c:pt>
                <c:pt idx="1">
                  <c:v>Managing impacts on rivers &amp; streams</c:v>
                </c:pt>
              </c:strCache>
            </c:strRef>
          </c:cat>
          <c:val>
            <c:numRef>
              <c:f>'WTP Main'!$ER$248:$ER$249</c:f>
              <c:numCache>
                <c:formatCode>0</c:formatCode>
                <c:ptCount val="2"/>
                <c:pt idx="0">
                  <c:v>0</c:v>
                </c:pt>
                <c:pt idx="1">
                  <c:v>0</c:v>
                </c:pt>
              </c:numCache>
            </c:numRef>
          </c:val>
          <c:extLst xmlns:c16r2="http://schemas.microsoft.com/office/drawing/2015/06/chart">
            <c:ext xmlns:c16="http://schemas.microsoft.com/office/drawing/2014/chart" uri="{C3380CC4-5D6E-409C-BE32-E72D297353CC}">
              <c16:uniqueId val="{00000001-86E1-4597-8430-2194CC212DB5}"/>
            </c:ext>
          </c:extLst>
        </c:ser>
        <c:dLbls>
          <c:showLegendKey val="0"/>
          <c:showVal val="0"/>
          <c:showCatName val="0"/>
          <c:showSerName val="0"/>
          <c:showPercent val="0"/>
          <c:showBubbleSize val="0"/>
        </c:dLbls>
        <c:gapWidth val="219"/>
        <c:overlap val="-27"/>
        <c:axId val="1336505776"/>
        <c:axId val="1336510672"/>
      </c:barChart>
      <c:catAx>
        <c:axId val="1336505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6510672"/>
        <c:crosses val="autoZero"/>
        <c:auto val="1"/>
        <c:lblAlgn val="ctr"/>
        <c:lblOffset val="100"/>
        <c:noMultiLvlLbl val="0"/>
      </c:catAx>
      <c:valAx>
        <c:axId val="1336510672"/>
        <c:scaling>
          <c:orientation val="minMax"/>
          <c:max val="2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6505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ysClr val="windowText" lastClr="000000"/>
                </a:solidFill>
                <a:effectLst/>
              </a:rPr>
              <a:t>SSC WTP Unit Values and Range - Leakage (£/MLD/yr)</a:t>
            </a:r>
            <a:endParaRPr lang="en-US">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Main'!$EL$183</c:f>
              <c:strCache>
                <c:ptCount val="1"/>
                <c:pt idx="0">
                  <c:v>ALL</c:v>
                </c:pt>
              </c:strCache>
            </c:strRef>
          </c:tx>
          <c:spPr>
            <a:solidFill>
              <a:schemeClr val="accent2"/>
            </a:solidFill>
            <a:ln>
              <a:noFill/>
            </a:ln>
            <a:effectLst/>
          </c:spPr>
          <c:invertIfNegative val="0"/>
          <c:errBars>
            <c:errBarType val="both"/>
            <c:errValType val="cust"/>
            <c:noEndCap val="0"/>
            <c:plus>
              <c:numRef>
                <c:f>'WTP Main'!$EN$184</c:f>
                <c:numCache>
                  <c:formatCode>General</c:formatCode>
                  <c:ptCount val="1"/>
                  <c:pt idx="0">
                    <c:v>244744.31147393002</c:v>
                  </c:pt>
                </c:numCache>
              </c:numRef>
            </c:plus>
            <c:minus>
              <c:numRef>
                <c:f>'WTP Main'!$EM$184</c:f>
                <c:numCache>
                  <c:formatCode>General</c:formatCode>
                  <c:ptCount val="1"/>
                  <c:pt idx="0">
                    <c:v>79162.141031262596</c:v>
                  </c:pt>
                </c:numCache>
              </c:numRef>
            </c:minus>
            <c:spPr>
              <a:noFill/>
              <a:ln w="9525" cap="flat" cmpd="sng" algn="ctr">
                <a:solidFill>
                  <a:srgbClr val="000000"/>
                </a:solidFill>
                <a:round/>
              </a:ln>
              <a:effectLst/>
            </c:spPr>
          </c:errBars>
          <c:cat>
            <c:strRef>
              <c:f>'WTP Main'!$A$187</c:f>
              <c:strCache>
                <c:ptCount val="1"/>
                <c:pt idx="0">
                  <c:v>Leakage</c:v>
                </c:pt>
              </c:strCache>
            </c:strRef>
          </c:cat>
          <c:val>
            <c:numRef>
              <c:f>'WTP Main'!$EL$184</c:f>
              <c:numCache>
                <c:formatCode>0</c:formatCode>
                <c:ptCount val="1"/>
                <c:pt idx="0">
                  <c:v>115511.41153566878</c:v>
                </c:pt>
              </c:numCache>
            </c:numRef>
          </c:val>
          <c:extLst xmlns:c16r2="http://schemas.microsoft.com/office/drawing/2015/06/chart">
            <c:ext xmlns:c16="http://schemas.microsoft.com/office/drawing/2014/chart" uri="{C3380CC4-5D6E-409C-BE32-E72D297353CC}">
              <c16:uniqueId val="{00000000-08D4-4FCC-998A-725B770C54BD}"/>
            </c:ext>
          </c:extLst>
        </c:ser>
        <c:ser>
          <c:idx val="1"/>
          <c:order val="1"/>
          <c:tx>
            <c:strRef>
              <c:f>'WTP Main'!$EO$183</c:f>
              <c:strCache>
                <c:ptCount val="1"/>
                <c:pt idx="0">
                  <c:v>HH</c:v>
                </c:pt>
              </c:strCache>
            </c:strRef>
          </c:tx>
          <c:spPr>
            <a:solidFill>
              <a:schemeClr val="accent4"/>
            </a:solidFill>
            <a:ln>
              <a:noFill/>
            </a:ln>
            <a:effectLst/>
          </c:spPr>
          <c:invertIfNegative val="0"/>
          <c:errBars>
            <c:errBarType val="both"/>
            <c:errValType val="cust"/>
            <c:noEndCap val="0"/>
            <c:plus>
              <c:numRef>
                <c:f>'WTP Main'!$EQ$184</c:f>
                <c:numCache>
                  <c:formatCode>General</c:formatCode>
                  <c:ptCount val="1"/>
                  <c:pt idx="0">
                    <c:v>0</c:v>
                  </c:pt>
                </c:numCache>
              </c:numRef>
            </c:plus>
            <c:minus>
              <c:numRef>
                <c:f>'WTP Main'!$EP$184</c:f>
                <c:numCache>
                  <c:formatCode>General</c:formatCode>
                  <c:ptCount val="1"/>
                  <c:pt idx="0">
                    <c:v>0</c:v>
                  </c:pt>
                </c:numCache>
              </c:numRef>
            </c:minus>
            <c:spPr>
              <a:noFill/>
              <a:ln w="9525" cap="flat" cmpd="sng" algn="ctr">
                <a:solidFill>
                  <a:srgbClr val="000000"/>
                </a:solidFill>
                <a:round/>
              </a:ln>
              <a:effectLst/>
            </c:spPr>
          </c:errBars>
          <c:cat>
            <c:strRef>
              <c:f>'WTP Main'!$A$187</c:f>
              <c:strCache>
                <c:ptCount val="1"/>
                <c:pt idx="0">
                  <c:v>Leakage</c:v>
                </c:pt>
              </c:strCache>
            </c:strRef>
          </c:cat>
          <c:val>
            <c:numRef>
              <c:f>'WTP Main'!$EO$184</c:f>
              <c:numCache>
                <c:formatCode>0</c:formatCode>
                <c:ptCount val="1"/>
                <c:pt idx="0">
                  <c:v>0</c:v>
                </c:pt>
              </c:numCache>
            </c:numRef>
          </c:val>
          <c:extLst xmlns:c16r2="http://schemas.microsoft.com/office/drawing/2015/06/chart">
            <c:ext xmlns:c16="http://schemas.microsoft.com/office/drawing/2014/chart" uri="{C3380CC4-5D6E-409C-BE32-E72D297353CC}">
              <c16:uniqueId val="{00000000-6899-4A4A-8EED-6C4B12F12CBC}"/>
            </c:ext>
          </c:extLst>
        </c:ser>
        <c:ser>
          <c:idx val="2"/>
          <c:order val="2"/>
          <c:tx>
            <c:strRef>
              <c:f>'WTP Main'!$ER$183</c:f>
              <c:strCache>
                <c:ptCount val="1"/>
                <c:pt idx="0">
                  <c:v>NHH</c:v>
                </c:pt>
              </c:strCache>
            </c:strRef>
          </c:tx>
          <c:spPr>
            <a:solidFill>
              <a:schemeClr val="accent6"/>
            </a:solidFill>
            <a:ln>
              <a:noFill/>
            </a:ln>
            <a:effectLst/>
          </c:spPr>
          <c:invertIfNegative val="0"/>
          <c:errBars>
            <c:errBarType val="both"/>
            <c:errValType val="cust"/>
            <c:noEndCap val="0"/>
            <c:plus>
              <c:numRef>
                <c:f>'WTP Main'!$ET$184</c:f>
                <c:numCache>
                  <c:formatCode>General</c:formatCode>
                  <c:ptCount val="1"/>
                  <c:pt idx="0">
                    <c:v>0</c:v>
                  </c:pt>
                </c:numCache>
              </c:numRef>
            </c:plus>
            <c:minus>
              <c:numRef>
                <c:f>'WTP Main'!$ES$184</c:f>
                <c:numCache>
                  <c:formatCode>General</c:formatCode>
                  <c:ptCount val="1"/>
                  <c:pt idx="0">
                    <c:v>0</c:v>
                  </c:pt>
                </c:numCache>
              </c:numRef>
            </c:minus>
            <c:spPr>
              <a:noFill/>
              <a:ln w="9525" cap="flat" cmpd="sng" algn="ctr">
                <a:solidFill>
                  <a:srgbClr val="000000"/>
                </a:solidFill>
                <a:round/>
              </a:ln>
              <a:effectLst/>
            </c:spPr>
          </c:errBars>
          <c:cat>
            <c:strRef>
              <c:f>'WTP Main'!$A$187</c:f>
              <c:strCache>
                <c:ptCount val="1"/>
                <c:pt idx="0">
                  <c:v>Leakage</c:v>
                </c:pt>
              </c:strCache>
            </c:strRef>
          </c:cat>
          <c:val>
            <c:numRef>
              <c:f>'WTP Main'!$ER$184</c:f>
              <c:numCache>
                <c:formatCode>0</c:formatCode>
                <c:ptCount val="1"/>
                <c:pt idx="0">
                  <c:v>0</c:v>
                </c:pt>
              </c:numCache>
            </c:numRef>
          </c:val>
          <c:extLst xmlns:c16r2="http://schemas.microsoft.com/office/drawing/2015/06/chart">
            <c:ext xmlns:c16="http://schemas.microsoft.com/office/drawing/2014/chart" uri="{C3380CC4-5D6E-409C-BE32-E72D297353CC}">
              <c16:uniqueId val="{00000001-6899-4A4A-8EED-6C4B12F12CBC}"/>
            </c:ext>
          </c:extLst>
        </c:ser>
        <c:dLbls>
          <c:showLegendKey val="0"/>
          <c:showVal val="0"/>
          <c:showCatName val="0"/>
          <c:showSerName val="0"/>
          <c:showPercent val="0"/>
          <c:showBubbleSize val="0"/>
        </c:dLbls>
        <c:gapWidth val="219"/>
        <c:overlap val="-27"/>
        <c:axId val="1336511760"/>
        <c:axId val="1336515024"/>
      </c:barChart>
      <c:catAx>
        <c:axId val="1336511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6515024"/>
        <c:crosses val="autoZero"/>
        <c:auto val="1"/>
        <c:lblAlgn val="ctr"/>
        <c:lblOffset val="100"/>
        <c:noMultiLvlLbl val="0"/>
      </c:catAx>
      <c:valAx>
        <c:axId val="1336515024"/>
        <c:scaling>
          <c:orientation val="minMax"/>
          <c:max val="4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6511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SSC WTP Unit Values and Range - Traffic Disruption (£/Roadworks/yr)</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Main'!$EL$277</c:f>
              <c:strCache>
                <c:ptCount val="1"/>
                <c:pt idx="0">
                  <c:v>ALL</c:v>
                </c:pt>
              </c:strCache>
            </c:strRef>
          </c:tx>
          <c:spPr>
            <a:solidFill>
              <a:schemeClr val="accent2"/>
            </a:solidFill>
            <a:ln>
              <a:noFill/>
            </a:ln>
            <a:effectLst/>
          </c:spPr>
          <c:invertIfNegative val="0"/>
          <c:errBars>
            <c:errBarType val="both"/>
            <c:errValType val="cust"/>
            <c:noEndCap val="0"/>
            <c:plus>
              <c:numRef>
                <c:f>'WTP Main'!$EN$278</c:f>
                <c:numCache>
                  <c:formatCode>General</c:formatCode>
                  <c:ptCount val="1"/>
                  <c:pt idx="0">
                    <c:v>759.67814200865746</c:v>
                  </c:pt>
                </c:numCache>
              </c:numRef>
            </c:plus>
            <c:minus>
              <c:numRef>
                <c:f>'WTP Main'!$EM$278</c:f>
                <c:numCache>
                  <c:formatCode>General</c:formatCode>
                  <c:ptCount val="1"/>
                  <c:pt idx="0">
                    <c:v>805.77524702112635</c:v>
                  </c:pt>
                </c:numCache>
              </c:numRef>
            </c:minus>
            <c:spPr>
              <a:noFill/>
              <a:ln w="9525" cap="flat" cmpd="sng" algn="ctr">
                <a:solidFill>
                  <a:srgbClr val="000000"/>
                </a:solidFill>
                <a:round/>
              </a:ln>
              <a:effectLst/>
            </c:spPr>
          </c:errBars>
          <c:cat>
            <c:strRef>
              <c:f>'WTP Main'!$A$280</c:f>
              <c:strCache>
                <c:ptCount val="1"/>
                <c:pt idx="0">
                  <c:v>Traffic disruption</c:v>
                </c:pt>
              </c:strCache>
            </c:strRef>
          </c:cat>
          <c:val>
            <c:numRef>
              <c:f>'WTP Main'!$EL$278</c:f>
              <c:numCache>
                <c:formatCode>0</c:formatCode>
                <c:ptCount val="1"/>
                <c:pt idx="0">
                  <c:v>1844.9032244551508</c:v>
                </c:pt>
              </c:numCache>
            </c:numRef>
          </c:val>
          <c:extLst xmlns:c16r2="http://schemas.microsoft.com/office/drawing/2015/06/chart">
            <c:ext xmlns:c16="http://schemas.microsoft.com/office/drawing/2014/chart" uri="{C3380CC4-5D6E-409C-BE32-E72D297353CC}">
              <c16:uniqueId val="{00000000-84D5-4D41-B65B-94D004F670C9}"/>
            </c:ext>
          </c:extLst>
        </c:ser>
        <c:ser>
          <c:idx val="1"/>
          <c:order val="1"/>
          <c:tx>
            <c:strRef>
              <c:f>'WTP Main'!$EO$277</c:f>
              <c:strCache>
                <c:ptCount val="1"/>
                <c:pt idx="0">
                  <c:v>HH</c:v>
                </c:pt>
              </c:strCache>
            </c:strRef>
          </c:tx>
          <c:spPr>
            <a:solidFill>
              <a:schemeClr val="accent4"/>
            </a:solidFill>
            <a:ln>
              <a:noFill/>
            </a:ln>
            <a:effectLst/>
          </c:spPr>
          <c:invertIfNegative val="0"/>
          <c:errBars>
            <c:errBarType val="both"/>
            <c:errValType val="cust"/>
            <c:noEndCap val="0"/>
            <c:plus>
              <c:numRef>
                <c:f>'WTP Main'!$EQ$278</c:f>
                <c:numCache>
                  <c:formatCode>General</c:formatCode>
                  <c:ptCount val="1"/>
                  <c:pt idx="0">
                    <c:v>0</c:v>
                  </c:pt>
                </c:numCache>
              </c:numRef>
            </c:plus>
            <c:minus>
              <c:numRef>
                <c:f>'WTP Main'!$EP$278</c:f>
                <c:numCache>
                  <c:formatCode>General</c:formatCode>
                  <c:ptCount val="1"/>
                  <c:pt idx="0">
                    <c:v>0</c:v>
                  </c:pt>
                </c:numCache>
              </c:numRef>
            </c:minus>
            <c:spPr>
              <a:noFill/>
              <a:ln w="9525" cap="flat" cmpd="sng" algn="ctr">
                <a:solidFill>
                  <a:srgbClr val="000000"/>
                </a:solidFill>
                <a:round/>
              </a:ln>
              <a:effectLst/>
            </c:spPr>
          </c:errBars>
          <c:cat>
            <c:strRef>
              <c:f>'WTP Main'!$A$280</c:f>
              <c:strCache>
                <c:ptCount val="1"/>
                <c:pt idx="0">
                  <c:v>Traffic disruption</c:v>
                </c:pt>
              </c:strCache>
            </c:strRef>
          </c:cat>
          <c:val>
            <c:numRef>
              <c:f>'WTP Main'!$EO$278</c:f>
              <c:numCache>
                <c:formatCode>0</c:formatCode>
                <c:ptCount val="1"/>
                <c:pt idx="0">
                  <c:v>0</c:v>
                </c:pt>
              </c:numCache>
            </c:numRef>
          </c:val>
          <c:extLst xmlns:c16r2="http://schemas.microsoft.com/office/drawing/2015/06/chart">
            <c:ext xmlns:c16="http://schemas.microsoft.com/office/drawing/2014/chart" uri="{C3380CC4-5D6E-409C-BE32-E72D297353CC}">
              <c16:uniqueId val="{00000000-F63D-4DB8-BE5D-B75A1C74D6E2}"/>
            </c:ext>
          </c:extLst>
        </c:ser>
        <c:ser>
          <c:idx val="2"/>
          <c:order val="2"/>
          <c:tx>
            <c:strRef>
              <c:f>'WTP Main'!$ER$277</c:f>
              <c:strCache>
                <c:ptCount val="1"/>
                <c:pt idx="0">
                  <c:v>NHH</c:v>
                </c:pt>
              </c:strCache>
            </c:strRef>
          </c:tx>
          <c:spPr>
            <a:solidFill>
              <a:schemeClr val="accent6"/>
            </a:solidFill>
            <a:ln>
              <a:noFill/>
            </a:ln>
            <a:effectLst/>
          </c:spPr>
          <c:invertIfNegative val="0"/>
          <c:errBars>
            <c:errBarType val="both"/>
            <c:errValType val="cust"/>
            <c:noEndCap val="0"/>
            <c:plus>
              <c:numRef>
                <c:f>'WTP Main'!$ET$278</c:f>
                <c:numCache>
                  <c:formatCode>General</c:formatCode>
                  <c:ptCount val="1"/>
                  <c:pt idx="0">
                    <c:v>0</c:v>
                  </c:pt>
                </c:numCache>
              </c:numRef>
            </c:plus>
            <c:minus>
              <c:numRef>
                <c:f>'WTP Main'!$ES$278</c:f>
                <c:numCache>
                  <c:formatCode>General</c:formatCode>
                  <c:ptCount val="1"/>
                  <c:pt idx="0">
                    <c:v>0</c:v>
                  </c:pt>
                </c:numCache>
              </c:numRef>
            </c:minus>
            <c:spPr>
              <a:noFill/>
              <a:ln w="9525" cap="flat" cmpd="sng" algn="ctr">
                <a:solidFill>
                  <a:srgbClr val="000000"/>
                </a:solidFill>
                <a:round/>
              </a:ln>
              <a:effectLst/>
            </c:spPr>
          </c:errBars>
          <c:cat>
            <c:strRef>
              <c:f>'WTP Main'!$A$280</c:f>
              <c:strCache>
                <c:ptCount val="1"/>
                <c:pt idx="0">
                  <c:v>Traffic disruption</c:v>
                </c:pt>
              </c:strCache>
            </c:strRef>
          </c:cat>
          <c:val>
            <c:numRef>
              <c:f>'WTP Main'!$ER$278</c:f>
              <c:numCache>
                <c:formatCode>0</c:formatCode>
                <c:ptCount val="1"/>
                <c:pt idx="0">
                  <c:v>0</c:v>
                </c:pt>
              </c:numCache>
            </c:numRef>
          </c:val>
          <c:extLst xmlns:c16r2="http://schemas.microsoft.com/office/drawing/2015/06/chart">
            <c:ext xmlns:c16="http://schemas.microsoft.com/office/drawing/2014/chart" uri="{C3380CC4-5D6E-409C-BE32-E72D297353CC}">
              <c16:uniqueId val="{00000001-F63D-4DB8-BE5D-B75A1C74D6E2}"/>
            </c:ext>
          </c:extLst>
        </c:ser>
        <c:dLbls>
          <c:showLegendKey val="0"/>
          <c:showVal val="0"/>
          <c:showCatName val="0"/>
          <c:showSerName val="0"/>
          <c:showPercent val="0"/>
          <c:showBubbleSize val="0"/>
        </c:dLbls>
        <c:gapWidth val="219"/>
        <c:overlap val="-27"/>
        <c:axId val="1336500336"/>
        <c:axId val="1336509584"/>
      </c:barChart>
      <c:catAx>
        <c:axId val="1336500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6509584"/>
        <c:crosses val="autoZero"/>
        <c:auto val="1"/>
        <c:lblAlgn val="ctr"/>
        <c:lblOffset val="100"/>
        <c:noMultiLvlLbl val="0"/>
      </c:catAx>
      <c:valAx>
        <c:axId val="1336509584"/>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650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SSW WTP Unit Values and Range - Drought Restrictions (£/1% Risk/yr) (HH and NHH)</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Main'!$D$150</c:f>
              <c:strCache>
                <c:ptCount val="1"/>
                <c:pt idx="0">
                  <c:v>COMBINED</c:v>
                </c:pt>
              </c:strCache>
            </c:strRef>
          </c:tx>
          <c:spPr>
            <a:solidFill>
              <a:schemeClr val="accent2"/>
            </a:solidFill>
            <a:ln>
              <a:noFill/>
            </a:ln>
            <a:effectLst/>
          </c:spPr>
          <c:invertIfNegative val="0"/>
          <c:errBars>
            <c:errBarType val="both"/>
            <c:errValType val="cust"/>
            <c:noEndCap val="0"/>
            <c:plus>
              <c:numRef>
                <c:f>'WTP Main'!$F$151:$F$152</c:f>
                <c:numCache>
                  <c:formatCode>General</c:formatCode>
                  <c:ptCount val="2"/>
                  <c:pt idx="0">
                    <c:v>1010276.2790047517</c:v>
                  </c:pt>
                  <c:pt idx="1">
                    <c:v>1246297.7789866123</c:v>
                  </c:pt>
                </c:numCache>
              </c:numRef>
            </c:plus>
            <c:minus>
              <c:numRef>
                <c:f>'WTP Main'!$E$151:$E$152</c:f>
                <c:numCache>
                  <c:formatCode>General</c:formatCode>
                  <c:ptCount val="2"/>
                  <c:pt idx="0">
                    <c:v>784634.00212083827</c:v>
                  </c:pt>
                  <c:pt idx="1">
                    <c:v>440787.14765436109</c:v>
                  </c:pt>
                </c:numCache>
              </c:numRef>
            </c:minus>
            <c:spPr>
              <a:noFill/>
              <a:ln w="9525" cap="flat" cmpd="sng" algn="ctr">
                <a:solidFill>
                  <a:srgbClr val="000000"/>
                </a:solidFill>
                <a:round/>
              </a:ln>
              <a:effectLst/>
            </c:spPr>
          </c:errBars>
          <c:cat>
            <c:strRef>
              <c:f>'WTP Main'!$A$151:$A$152</c:f>
              <c:strCache>
                <c:ptCount val="2"/>
                <c:pt idx="0">
                  <c:v>Drought restrictions</c:v>
                </c:pt>
                <c:pt idx="1">
                  <c:v>Temporary use ban</c:v>
                </c:pt>
              </c:strCache>
            </c:strRef>
          </c:cat>
          <c:val>
            <c:numRef>
              <c:f>'WTP Main'!$D$151:$D$152</c:f>
              <c:numCache>
                <c:formatCode>"£"#,##0</c:formatCode>
                <c:ptCount val="2"/>
                <c:pt idx="0">
                  <c:v>1060280.5026510479</c:v>
                </c:pt>
                <c:pt idx="1">
                  <c:v>638832.8051816317</c:v>
                </c:pt>
              </c:numCache>
            </c:numRef>
          </c:val>
          <c:extLst xmlns:c16r2="http://schemas.microsoft.com/office/drawing/2015/06/chart">
            <c:ext xmlns:c16="http://schemas.microsoft.com/office/drawing/2014/chart" uri="{C3380CC4-5D6E-409C-BE32-E72D297353CC}">
              <c16:uniqueId val="{00000000-4C3A-4DBE-AC8C-5C58CB0860FB}"/>
            </c:ext>
          </c:extLst>
        </c:ser>
        <c:dLbls>
          <c:showLegendKey val="0"/>
          <c:showVal val="0"/>
          <c:showCatName val="0"/>
          <c:showSerName val="0"/>
          <c:showPercent val="0"/>
          <c:showBubbleSize val="0"/>
        </c:dLbls>
        <c:gapWidth val="219"/>
        <c:overlap val="-27"/>
        <c:axId val="1336515568"/>
        <c:axId val="1336501968"/>
      </c:barChart>
      <c:catAx>
        <c:axId val="1336515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6501968"/>
        <c:crosses val="autoZero"/>
        <c:auto val="1"/>
        <c:lblAlgn val="ctr"/>
        <c:lblOffset val="100"/>
        <c:noMultiLvlLbl val="0"/>
      </c:catAx>
      <c:valAx>
        <c:axId val="13365019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36515568"/>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400" b="1" i="0" baseline="0">
                <a:effectLst/>
              </a:rPr>
              <a:t>SSW WTP Unit Values and Range - Leakage (£/MLD/yr) (HH and NHH)</a:t>
            </a:r>
            <a:endParaRPr lang="en-GB" sz="14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'WTP Main'!$D$183</c:f>
              <c:strCache>
                <c:ptCount val="1"/>
                <c:pt idx="0">
                  <c:v>COMBINED</c:v>
                </c:pt>
              </c:strCache>
            </c:strRef>
          </c:tx>
          <c:spPr>
            <a:solidFill>
              <a:schemeClr val="accent2"/>
            </a:solidFill>
            <a:ln>
              <a:noFill/>
            </a:ln>
            <a:effectLst/>
          </c:spPr>
          <c:invertIfNegative val="0"/>
          <c:errBars>
            <c:errBarType val="both"/>
            <c:errValType val="cust"/>
            <c:noEndCap val="0"/>
            <c:plus>
              <c:numRef>
                <c:f>'WTP Main'!$F$184</c:f>
                <c:numCache>
                  <c:formatCode>General</c:formatCode>
                  <c:ptCount val="1"/>
                  <c:pt idx="0">
                    <c:v>141328.78994202602</c:v>
                  </c:pt>
                </c:numCache>
              </c:numRef>
            </c:plus>
            <c:minus>
              <c:numRef>
                <c:f>'WTP Main'!$E$184</c:f>
                <c:numCache>
                  <c:formatCode>General</c:formatCode>
                  <c:ptCount val="1"/>
                  <c:pt idx="0">
                    <c:v>64516.86796929824</c:v>
                  </c:pt>
                </c:numCache>
              </c:numRef>
            </c:minus>
            <c:spPr>
              <a:noFill/>
              <a:ln w="9525" cap="flat" cmpd="sng" algn="ctr">
                <a:solidFill>
                  <a:srgbClr val="000000"/>
                </a:solidFill>
                <a:round/>
              </a:ln>
              <a:effectLst/>
            </c:spPr>
          </c:errBars>
          <c:cat>
            <c:strRef>
              <c:f>'WTP Main'!$A$184</c:f>
              <c:strCache>
                <c:ptCount val="1"/>
                <c:pt idx="0">
                  <c:v>Leakage</c:v>
                </c:pt>
              </c:strCache>
            </c:strRef>
          </c:cat>
          <c:val>
            <c:numRef>
              <c:f>'WTP Main'!$D$184</c:f>
              <c:numCache>
                <c:formatCode>"£"#,##0</c:formatCode>
                <c:ptCount val="1"/>
                <c:pt idx="0">
                  <c:v>91221.709805785125</c:v>
                </c:pt>
              </c:numCache>
            </c:numRef>
          </c:val>
          <c:extLst xmlns:c16r2="http://schemas.microsoft.com/office/drawing/2015/06/chart">
            <c:ext xmlns:c16="http://schemas.microsoft.com/office/drawing/2014/chart" uri="{C3380CC4-5D6E-409C-BE32-E72D297353CC}">
              <c16:uniqueId val="{00000000-C6E6-4583-905B-16D31EC115D3}"/>
            </c:ext>
          </c:extLst>
        </c:ser>
        <c:dLbls>
          <c:showLegendKey val="0"/>
          <c:showVal val="0"/>
          <c:showCatName val="0"/>
          <c:showSerName val="0"/>
          <c:showPercent val="0"/>
          <c:showBubbleSize val="0"/>
        </c:dLbls>
        <c:gapWidth val="219"/>
        <c:overlap val="-27"/>
        <c:axId val="1364804224"/>
        <c:axId val="1364809120"/>
      </c:barChart>
      <c:catAx>
        <c:axId val="1364804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64809120"/>
        <c:crosses val="autoZero"/>
        <c:auto val="1"/>
        <c:lblAlgn val="ctr"/>
        <c:lblOffset val="100"/>
        <c:noMultiLvlLbl val="0"/>
      </c:catAx>
      <c:valAx>
        <c:axId val="1364809120"/>
        <c:scaling>
          <c:orientation val="minMax"/>
          <c:max val="25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64804224"/>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ysClr val="windowText" lastClr="000000"/>
                </a:solidFill>
                <a:effectLst/>
              </a:rPr>
              <a:t>SSW WTP Unit Values and Range - Metering (£/HH metered/yr (HH and NHH)</a:t>
            </a:r>
            <a:endParaRPr lang="en-US">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Main'!$D$215</c:f>
              <c:strCache>
                <c:ptCount val="1"/>
                <c:pt idx="0">
                  <c:v>COMBINED</c:v>
                </c:pt>
              </c:strCache>
            </c:strRef>
          </c:tx>
          <c:spPr>
            <a:solidFill>
              <a:schemeClr val="accent2"/>
            </a:solidFill>
            <a:ln>
              <a:noFill/>
            </a:ln>
            <a:effectLst/>
          </c:spPr>
          <c:invertIfNegative val="0"/>
          <c:errBars>
            <c:errBarType val="both"/>
            <c:errValType val="cust"/>
            <c:noEndCap val="0"/>
            <c:plus>
              <c:numRef>
                <c:f>'WTP Main'!$F$216:$F$217</c:f>
                <c:numCache>
                  <c:formatCode>General</c:formatCode>
                  <c:ptCount val="2"/>
                  <c:pt idx="0">
                    <c:v>14.656232692323579</c:v>
                  </c:pt>
                  <c:pt idx="1">
                    <c:v>0.35198850894798578</c:v>
                  </c:pt>
                </c:numCache>
              </c:numRef>
            </c:plus>
            <c:minus>
              <c:numRef>
                <c:f>'WTP Main'!$E$216:$E$217</c:f>
                <c:numCache>
                  <c:formatCode>General</c:formatCode>
                  <c:ptCount val="2"/>
                  <c:pt idx="0">
                    <c:v>7.3029644118503594</c:v>
                  </c:pt>
                  <c:pt idx="1">
                    <c:v>0.16243269052751447</c:v>
                  </c:pt>
                </c:numCache>
              </c:numRef>
            </c:minus>
            <c:spPr>
              <a:noFill/>
              <a:ln w="9525" cap="flat" cmpd="sng" algn="ctr">
                <a:solidFill>
                  <a:srgbClr val="000000"/>
                </a:solidFill>
                <a:round/>
              </a:ln>
              <a:effectLst/>
            </c:spPr>
          </c:errBars>
          <c:cat>
            <c:strRef>
              <c:f>'WTP Main'!$A$216:$A$217</c:f>
              <c:strCache>
                <c:ptCount val="2"/>
                <c:pt idx="0">
                  <c:v>Water metering</c:v>
                </c:pt>
                <c:pt idx="1">
                  <c:v>Giving customers control of their water usage</c:v>
                </c:pt>
              </c:strCache>
            </c:strRef>
          </c:cat>
          <c:val>
            <c:numRef>
              <c:f>'WTP Main'!$D$216:$D$217</c:f>
              <c:numCache>
                <c:formatCode>"£"#,##0.00</c:formatCode>
                <c:ptCount val="2"/>
                <c:pt idx="0" formatCode="&quot;£&quot;#,##0">
                  <c:v>10.690109023584879</c:v>
                </c:pt>
                <c:pt idx="1">
                  <c:v>0.44495840011230475</c:v>
                </c:pt>
              </c:numCache>
            </c:numRef>
          </c:val>
          <c:extLst xmlns:c16r2="http://schemas.microsoft.com/office/drawing/2015/06/chart">
            <c:ext xmlns:c16="http://schemas.microsoft.com/office/drawing/2014/chart" uri="{C3380CC4-5D6E-409C-BE32-E72D297353CC}">
              <c16:uniqueId val="{00000000-9B6A-4461-9F23-0121AF618888}"/>
            </c:ext>
          </c:extLst>
        </c:ser>
        <c:dLbls>
          <c:showLegendKey val="0"/>
          <c:showVal val="0"/>
          <c:showCatName val="0"/>
          <c:showSerName val="0"/>
          <c:showPercent val="0"/>
          <c:showBubbleSize val="0"/>
        </c:dLbls>
        <c:gapWidth val="219"/>
        <c:overlap val="-27"/>
        <c:axId val="1364816736"/>
        <c:axId val="1364807488"/>
      </c:barChart>
      <c:catAx>
        <c:axId val="1364816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64807488"/>
        <c:crosses val="autoZero"/>
        <c:auto val="1"/>
        <c:lblAlgn val="ctr"/>
        <c:lblOffset val="100"/>
        <c:noMultiLvlLbl val="0"/>
      </c:catAx>
      <c:valAx>
        <c:axId val="13648074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64816736"/>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ysClr val="windowText" lastClr="000000"/>
                </a:solidFill>
                <a:effectLst/>
              </a:rPr>
              <a:t>SSW WTP Unit Values and Range - Environmental Protection (£/Hectare/yr) (HH and NHH)</a:t>
            </a:r>
            <a:endParaRPr lang="en-GB">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2"/>
            </a:solidFill>
            <a:ln>
              <a:noFill/>
            </a:ln>
            <a:effectLst/>
          </c:spPr>
          <c:invertIfNegative val="0"/>
          <c:errBars>
            <c:errBarType val="both"/>
            <c:errValType val="cust"/>
            <c:noEndCap val="0"/>
            <c:plus>
              <c:numRef>
                <c:f>'WTP Main'!$F$248:$F$249</c:f>
                <c:numCache>
                  <c:formatCode>General</c:formatCode>
                  <c:ptCount val="2"/>
                  <c:pt idx="0">
                    <c:v>17707.343386558787</c:v>
                  </c:pt>
                  <c:pt idx="1">
                    <c:v>6319.8820435525267</c:v>
                  </c:pt>
                </c:numCache>
              </c:numRef>
            </c:plus>
            <c:minus>
              <c:numRef>
                <c:f>'WTP Main'!$E$248:$E$249</c:f>
                <c:numCache>
                  <c:formatCode>General</c:formatCode>
                  <c:ptCount val="2"/>
                  <c:pt idx="0">
                    <c:v>13322.719076906573</c:v>
                  </c:pt>
                  <c:pt idx="1">
                    <c:v>6216.3142426831328</c:v>
                  </c:pt>
                </c:numCache>
              </c:numRef>
            </c:minus>
            <c:spPr>
              <a:noFill/>
              <a:ln w="9525" cap="flat" cmpd="sng" algn="ctr">
                <a:solidFill>
                  <a:srgbClr val="000000"/>
                </a:solidFill>
                <a:round/>
              </a:ln>
              <a:effectLst/>
            </c:spPr>
          </c:errBars>
          <c:cat>
            <c:strRef>
              <c:f>'WTP Main'!$A$248:$A$249</c:f>
              <c:strCache>
                <c:ptCount val="2"/>
                <c:pt idx="0">
                  <c:v>Protecting wildlife habitats</c:v>
                </c:pt>
                <c:pt idx="1">
                  <c:v>Managing impacts on rivers &amp; streams</c:v>
                </c:pt>
              </c:strCache>
            </c:strRef>
          </c:cat>
          <c:val>
            <c:numRef>
              <c:f>'WTP Main'!$D$248:$D$249</c:f>
              <c:numCache>
                <c:formatCode>"£"#,##0</c:formatCode>
                <c:ptCount val="2"/>
                <c:pt idx="0">
                  <c:v>18048.809740546116</c:v>
                </c:pt>
                <c:pt idx="1">
                  <c:v>10649.272803353917</c:v>
                </c:pt>
              </c:numCache>
            </c:numRef>
          </c:val>
          <c:extLst xmlns:c16r2="http://schemas.microsoft.com/office/drawing/2015/06/chart">
            <c:ext xmlns:c16="http://schemas.microsoft.com/office/drawing/2014/chart" uri="{C3380CC4-5D6E-409C-BE32-E72D297353CC}">
              <c16:uniqueId val="{00000000-936C-4BA9-BBBA-A55CCCC31BCF}"/>
            </c:ext>
          </c:extLst>
        </c:ser>
        <c:dLbls>
          <c:showLegendKey val="0"/>
          <c:showVal val="0"/>
          <c:showCatName val="0"/>
          <c:showSerName val="0"/>
          <c:showPercent val="0"/>
          <c:showBubbleSize val="0"/>
        </c:dLbls>
        <c:gapWidth val="219"/>
        <c:overlap val="-27"/>
        <c:axId val="1364808576"/>
        <c:axId val="1364817280"/>
      </c:barChart>
      <c:catAx>
        <c:axId val="1364808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64817280"/>
        <c:crosses val="autoZero"/>
        <c:auto val="1"/>
        <c:lblAlgn val="ctr"/>
        <c:lblOffset val="100"/>
        <c:noMultiLvlLbl val="0"/>
      </c:catAx>
      <c:valAx>
        <c:axId val="1364817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64808576"/>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SSW WTP Unit Values and Range - Traffic Disruption (£/Roadworks/yr) (HH and NHH)</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Main'!$D$277</c:f>
              <c:strCache>
                <c:ptCount val="1"/>
                <c:pt idx="0">
                  <c:v>COMBINED</c:v>
                </c:pt>
              </c:strCache>
            </c:strRef>
          </c:tx>
          <c:spPr>
            <a:solidFill>
              <a:schemeClr val="accent2"/>
            </a:solidFill>
            <a:ln>
              <a:noFill/>
            </a:ln>
            <a:effectLst/>
          </c:spPr>
          <c:invertIfNegative val="0"/>
          <c:errBars>
            <c:errBarType val="both"/>
            <c:errValType val="cust"/>
            <c:noEndCap val="0"/>
            <c:plus>
              <c:numRef>
                <c:f>'WTP Main'!$F$278</c:f>
                <c:numCache>
                  <c:formatCode>General</c:formatCode>
                  <c:ptCount val="1"/>
                  <c:pt idx="0">
                    <c:v>801.37726105936645</c:v>
                  </c:pt>
                </c:numCache>
              </c:numRef>
            </c:plus>
            <c:minus>
              <c:numRef>
                <c:f>'WTP Main'!$E$278</c:f>
                <c:numCache>
                  <c:formatCode>General</c:formatCode>
                  <c:ptCount val="1"/>
                  <c:pt idx="0">
                    <c:v>815.43923320528393</c:v>
                  </c:pt>
                </c:numCache>
              </c:numRef>
            </c:minus>
            <c:spPr>
              <a:noFill/>
              <a:ln w="9525" cap="flat" cmpd="sng" algn="ctr">
                <a:solidFill>
                  <a:srgbClr val="000000"/>
                </a:solidFill>
                <a:round/>
              </a:ln>
              <a:effectLst/>
            </c:spPr>
          </c:errBars>
          <c:cat>
            <c:strRef>
              <c:f>'WTP Main'!$A$278</c:f>
              <c:strCache>
                <c:ptCount val="1"/>
                <c:pt idx="0">
                  <c:v>Traffic disruption</c:v>
                </c:pt>
              </c:strCache>
            </c:strRef>
          </c:cat>
          <c:val>
            <c:numRef>
              <c:f>'WTP Main'!$D$278</c:f>
              <c:numCache>
                <c:formatCode>"£"#,##0</c:formatCode>
                <c:ptCount val="1"/>
                <c:pt idx="0">
                  <c:v>1745.7370894466044</c:v>
                </c:pt>
              </c:numCache>
            </c:numRef>
          </c:val>
          <c:extLst xmlns:c16r2="http://schemas.microsoft.com/office/drawing/2015/06/chart">
            <c:ext xmlns:c16="http://schemas.microsoft.com/office/drawing/2014/chart" uri="{C3380CC4-5D6E-409C-BE32-E72D297353CC}">
              <c16:uniqueId val="{00000000-1DA3-461C-A17D-4AE2A403FC55}"/>
            </c:ext>
          </c:extLst>
        </c:ser>
        <c:dLbls>
          <c:showLegendKey val="0"/>
          <c:showVal val="0"/>
          <c:showCatName val="0"/>
          <c:showSerName val="0"/>
          <c:showPercent val="0"/>
          <c:showBubbleSize val="0"/>
        </c:dLbls>
        <c:gapWidth val="219"/>
        <c:overlap val="-27"/>
        <c:axId val="1364814560"/>
        <c:axId val="1364815104"/>
      </c:barChart>
      <c:catAx>
        <c:axId val="1364814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64815104"/>
        <c:crosses val="autoZero"/>
        <c:auto val="1"/>
        <c:lblAlgn val="ctr"/>
        <c:lblOffset val="100"/>
        <c:noMultiLvlLbl val="0"/>
      </c:catAx>
      <c:valAx>
        <c:axId val="1364815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64814560"/>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GB" b="1">
                <a:solidFill>
                  <a:sysClr val="windowText" lastClr="000000"/>
                </a:solidFill>
              </a:rPr>
              <a:t>CAM WRMP Priorities by</a:t>
            </a:r>
            <a:r>
              <a:rPr lang="en-GB" b="1" baseline="0">
                <a:solidFill>
                  <a:sysClr val="windowText" lastClr="000000"/>
                </a:solidFill>
              </a:rPr>
              <a:t> Data Source</a:t>
            </a:r>
            <a:endParaRPr lang="en-GB"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'WRMP Main'!$T$28</c:f>
              <c:strCache>
                <c:ptCount val="1"/>
                <c:pt idx="0">
                  <c:v>WRMP workshops</c:v>
                </c:pt>
              </c:strCache>
            </c:strRef>
          </c:tx>
          <c:spPr>
            <a:solidFill>
              <a:schemeClr val="accent1"/>
            </a:solidFill>
            <a:ln>
              <a:noFill/>
            </a:ln>
            <a:effectLst/>
          </c:spPr>
          <c:invertIfNegative val="0"/>
          <c:dLbls>
            <c:dLbl>
              <c:idx val="0"/>
              <c:layout>
                <c:manualLayout>
                  <c:x val="-4.8421958862686441E-3"/>
                  <c:y val="-2.8806586229000639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A868-4D52-981A-2A4441DDACFA}"/>
                </c:ext>
                <c:ext xmlns:c15="http://schemas.microsoft.com/office/drawing/2012/chart" uri="{CE6537A1-D6FC-4f65-9D91-7224C49458BB}"/>
              </c:extLst>
            </c:dLbl>
            <c:dLbl>
              <c:idx val="4"/>
              <c:layout>
                <c:manualLayout>
                  <c:x val="-3.8199180351865584E-3"/>
                  <c:y val="2.880658622899905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2208-42AB-B4CD-16A0B8778209}"/>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'WRMP Main'!$A$30:$A$38</c15:sqref>
                  </c15:fullRef>
                </c:ext>
              </c:extLst>
              <c:f>('WRMP Main'!$A$30:$A$35,'WRMP Main'!$A$38)</c:f>
              <c:strCache>
                <c:ptCount val="7"/>
                <c:pt idx="0">
                  <c:v>Reducing leakage</c:v>
                </c:pt>
                <c:pt idx="1">
                  <c:v>Building a new water reservoir</c:v>
                </c:pt>
                <c:pt idx="2">
                  <c:v>Increased metering (not smart meters)</c:v>
                </c:pt>
                <c:pt idx="3">
                  <c:v>Trading with another water company</c:v>
                </c:pt>
                <c:pt idx="4">
                  <c:v>Reducing customer water usage/More education campaigns</c:v>
                </c:pt>
                <c:pt idx="5">
                  <c:v>Installing smart meters</c:v>
                </c:pt>
                <c:pt idx="6">
                  <c:v>Taking more groundwater </c:v>
                </c:pt>
              </c:strCache>
            </c:strRef>
          </c:cat>
          <c:val>
            <c:numRef>
              <c:extLst>
                <c:ext xmlns:c15="http://schemas.microsoft.com/office/drawing/2012/chart" uri="{02D57815-91ED-43cb-92C2-25804820EDAC}">
                  <c15:fullRef>
                    <c15:sqref>'WRMP Main'!$T$30:$T$38</c15:sqref>
                  </c15:fullRef>
                </c:ext>
              </c:extLst>
              <c:f>('WRMP Main'!$T$30:$T$35,'WRMP Main'!$T$38)</c:f>
              <c:numCache>
                <c:formatCode>0.0</c:formatCode>
                <c:ptCount val="7"/>
                <c:pt idx="0">
                  <c:v>14.579686912142376</c:v>
                </c:pt>
                <c:pt idx="1">
                  <c:v>20.124973418611876</c:v>
                </c:pt>
                <c:pt idx="2">
                  <c:v>13.470629610848478</c:v>
                </c:pt>
                <c:pt idx="3">
                  <c:v>12.129291871820456</c:v>
                </c:pt>
                <c:pt idx="4">
                  <c:v>14.288518476109465</c:v>
                </c:pt>
                <c:pt idx="5">
                  <c:v>21.049187836356797</c:v>
                </c:pt>
                <c:pt idx="6">
                  <c:v>4.3577118741105458</c:v>
                </c:pt>
              </c:numCache>
            </c:numRef>
          </c:val>
          <c:extLst xmlns:c16r2="http://schemas.microsoft.com/office/drawing/2015/06/chart">
            <c:ext xmlns:c16="http://schemas.microsoft.com/office/drawing/2014/chart" uri="{C3380CC4-5D6E-409C-BE32-E72D297353CC}">
              <c16:uniqueId val="{00000002-2208-42AB-B4CD-16A0B8778209}"/>
            </c:ext>
          </c:extLst>
        </c:ser>
        <c:ser>
          <c:idx val="1"/>
          <c:order val="1"/>
          <c:tx>
            <c:strRef>
              <c:f>'WRMP Main'!$U$28</c:f>
              <c:strCache>
                <c:ptCount val="1"/>
                <c:pt idx="0">
                  <c:v>WRMP online</c:v>
                </c:pt>
              </c:strCache>
            </c:strRef>
          </c:tx>
          <c:spPr>
            <a:solidFill>
              <a:schemeClr val="accent2"/>
            </a:solidFill>
            <a:ln>
              <a:noFill/>
            </a:ln>
            <a:effectLst/>
          </c:spPr>
          <c:invertIfNegative val="0"/>
          <c:dLbls>
            <c:dLbl>
              <c:idx val="1"/>
              <c:layout>
                <c:manualLayout>
                  <c:x val="6.3665300586442644E-3"/>
                  <c:y val="-5.2811464670620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CB8D-4ADD-88D1-A6FC9BA8A9DD}"/>
                </c:ext>
                <c:ext xmlns:c15="http://schemas.microsoft.com/office/drawing/2012/chart" uri="{CE6537A1-D6FC-4f65-9D91-7224C49458BB}"/>
              </c:extLst>
            </c:dLbl>
            <c:dLbl>
              <c:idx val="3"/>
              <c:layout>
                <c:manualLayout>
                  <c:x val="6.366530058644077E-3"/>
                  <c:y val="1.1522634491599992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CB8D-4ADD-88D1-A6FC9BA8A9DD}"/>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'WRMP Main'!$A$30:$A$38</c15:sqref>
                  </c15:fullRef>
                </c:ext>
              </c:extLst>
              <c:f>('WRMP Main'!$A$30:$A$35,'WRMP Main'!$A$38)</c:f>
              <c:strCache>
                <c:ptCount val="7"/>
                <c:pt idx="0">
                  <c:v>Reducing leakage</c:v>
                </c:pt>
                <c:pt idx="1">
                  <c:v>Building a new water reservoir</c:v>
                </c:pt>
                <c:pt idx="2">
                  <c:v>Increased metering (not smart meters)</c:v>
                </c:pt>
                <c:pt idx="3">
                  <c:v>Trading with another water company</c:v>
                </c:pt>
                <c:pt idx="4">
                  <c:v>Reducing customer water usage/More education campaigns</c:v>
                </c:pt>
                <c:pt idx="5">
                  <c:v>Installing smart meters</c:v>
                </c:pt>
                <c:pt idx="6">
                  <c:v>Taking more groundwater </c:v>
                </c:pt>
              </c:strCache>
            </c:strRef>
          </c:cat>
          <c:val>
            <c:numRef>
              <c:extLst>
                <c:ext xmlns:c15="http://schemas.microsoft.com/office/drawing/2012/chart" uri="{02D57815-91ED-43cb-92C2-25804820EDAC}">
                  <c15:fullRef>
                    <c15:sqref>'WRMP Main'!$U$30:$U$38</c15:sqref>
                  </c15:fullRef>
                </c:ext>
              </c:extLst>
              <c:f>('WRMP Main'!$U$30:$U$35,'WRMP Main'!$U$38)</c:f>
              <c:numCache>
                <c:formatCode>0.0</c:formatCode>
                <c:ptCount val="7"/>
                <c:pt idx="0">
                  <c:v>16.656263040662612</c:v>
                </c:pt>
                <c:pt idx="1">
                  <c:v>14.374880862012846</c:v>
                </c:pt>
                <c:pt idx="3">
                  <c:v>10.33544292927688</c:v>
                </c:pt>
                <c:pt idx="4">
                  <c:v>13.08341053889769</c:v>
                </c:pt>
                <c:pt idx="5">
                  <c:v>14.618823599171531</c:v>
                </c:pt>
                <c:pt idx="6">
                  <c:v>8.7945274921734136</c:v>
                </c:pt>
              </c:numCache>
            </c:numRef>
          </c:val>
          <c:extLst xmlns:c16r2="http://schemas.microsoft.com/office/drawing/2015/06/chart">
            <c:ext xmlns:c16="http://schemas.microsoft.com/office/drawing/2014/chart" uri="{C3380CC4-5D6E-409C-BE32-E72D297353CC}">
              <c16:uniqueId val="{00000005-A868-4D52-981A-2A4441DDACFA}"/>
            </c:ext>
          </c:extLst>
        </c:ser>
        <c:ser>
          <c:idx val="2"/>
          <c:order val="2"/>
          <c:tx>
            <c:strRef>
              <c:f>'WRMP Main'!$V$28</c:f>
              <c:strCache>
                <c:ptCount val="1"/>
                <c:pt idx="0">
                  <c:v>Customer priorities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'WRMP Main'!$A$30:$A$38</c15:sqref>
                  </c15:fullRef>
                </c:ext>
              </c:extLst>
              <c:f>('WRMP Main'!$A$30:$A$35,'WRMP Main'!$A$38)</c:f>
              <c:strCache>
                <c:ptCount val="7"/>
                <c:pt idx="0">
                  <c:v>Reducing leakage</c:v>
                </c:pt>
                <c:pt idx="1">
                  <c:v>Building a new water reservoir</c:v>
                </c:pt>
                <c:pt idx="2">
                  <c:v>Increased metering (not smart meters)</c:v>
                </c:pt>
                <c:pt idx="3">
                  <c:v>Trading with another water company</c:v>
                </c:pt>
                <c:pt idx="4">
                  <c:v>Reducing customer water usage/More education campaigns</c:v>
                </c:pt>
                <c:pt idx="5">
                  <c:v>Installing smart meters</c:v>
                </c:pt>
                <c:pt idx="6">
                  <c:v>Taking more groundwater </c:v>
                </c:pt>
              </c:strCache>
            </c:strRef>
          </c:cat>
          <c:val>
            <c:numRef>
              <c:extLst>
                <c:ext xmlns:c15="http://schemas.microsoft.com/office/drawing/2012/chart" uri="{02D57815-91ED-43cb-92C2-25804820EDAC}">
                  <c15:fullRef>
                    <c15:sqref>'WRMP Main'!$V$30:$V$38</c15:sqref>
                  </c15:fullRef>
                </c:ext>
              </c:extLst>
              <c:f>('WRMP Main'!$V$30:$V$35,'WRMP Main'!$V$38)</c:f>
              <c:numCache>
                <c:formatCode>0.0</c:formatCode>
                <c:ptCount val="7"/>
                <c:pt idx="0">
                  <c:v>23.532957034863944</c:v>
                </c:pt>
                <c:pt idx="4">
                  <c:v>6.8968988302639174</c:v>
                </c:pt>
                <c:pt idx="5">
                  <c:v>7.6123419101690057</c:v>
                </c:pt>
              </c:numCache>
            </c:numRef>
          </c:val>
          <c:extLst xmlns:c16r2="http://schemas.microsoft.com/office/drawing/2015/06/chart">
            <c:ext xmlns:c16="http://schemas.microsoft.com/office/drawing/2014/chart" uri="{C3380CC4-5D6E-409C-BE32-E72D297353CC}">
              <c16:uniqueId val="{00000006-A868-4D52-981A-2A4441DDACFA}"/>
            </c:ext>
          </c:extLst>
        </c:ser>
        <c:ser>
          <c:idx val="3"/>
          <c:order val="3"/>
          <c:tx>
            <c:strRef>
              <c:f>'WRMP Main'!$W$28</c:f>
              <c:strCache>
                <c:ptCount val="1"/>
                <c:pt idx="0">
                  <c:v>WTP core_DCE</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'WRMP Main'!$A$30:$A$38</c15:sqref>
                  </c15:fullRef>
                </c:ext>
              </c:extLst>
              <c:f>('WRMP Main'!$A$30:$A$35,'WRMP Main'!$A$38)</c:f>
              <c:strCache>
                <c:ptCount val="7"/>
                <c:pt idx="0">
                  <c:v>Reducing leakage</c:v>
                </c:pt>
                <c:pt idx="1">
                  <c:v>Building a new water reservoir</c:v>
                </c:pt>
                <c:pt idx="2">
                  <c:v>Increased metering (not smart meters)</c:v>
                </c:pt>
                <c:pt idx="3">
                  <c:v>Trading with another water company</c:v>
                </c:pt>
                <c:pt idx="4">
                  <c:v>Reducing customer water usage/More education campaigns</c:v>
                </c:pt>
                <c:pt idx="5">
                  <c:v>Installing smart meters</c:v>
                </c:pt>
                <c:pt idx="6">
                  <c:v>Taking more groundwater </c:v>
                </c:pt>
              </c:strCache>
            </c:strRef>
          </c:cat>
          <c:val>
            <c:numRef>
              <c:extLst>
                <c:ext xmlns:c15="http://schemas.microsoft.com/office/drawing/2012/chart" uri="{02D57815-91ED-43cb-92C2-25804820EDAC}">
                  <c15:fullRef>
                    <c15:sqref>'WRMP Main'!$W$30:$W$38</c15:sqref>
                  </c15:fullRef>
                </c:ext>
              </c:extLst>
              <c:f>('WRMP Main'!$W$30:$W$35,'WRMP Main'!$W$38)</c:f>
              <c:numCache>
                <c:formatCode>General</c:formatCode>
                <c:ptCount val="7"/>
                <c:pt idx="0" formatCode="0.0">
                  <c:v>1.2392653813028263</c:v>
                </c:pt>
                <c:pt idx="2" formatCode="0.0">
                  <c:v>19.218653194352381</c:v>
                </c:pt>
                <c:pt idx="5" formatCode="0.0">
                  <c:v>23.658386573066895</c:v>
                </c:pt>
              </c:numCache>
            </c:numRef>
          </c:val>
          <c:extLst xmlns:c16r2="http://schemas.microsoft.com/office/drawing/2015/06/chart">
            <c:ext xmlns:c16="http://schemas.microsoft.com/office/drawing/2014/chart" uri="{C3380CC4-5D6E-409C-BE32-E72D297353CC}">
              <c16:uniqueId val="{00000007-A868-4D52-981A-2A4441DDACFA}"/>
            </c:ext>
          </c:extLst>
        </c:ser>
        <c:ser>
          <c:idx val="4"/>
          <c:order val="4"/>
          <c:tx>
            <c:strRef>
              <c:f>'WRMP Main'!$X$28</c:f>
              <c:strCache>
                <c:ptCount val="1"/>
                <c:pt idx="0">
                  <c:v>WTP core_MaxDiff</c:v>
                </c:pt>
              </c:strCache>
            </c:strRef>
          </c:tx>
          <c:spPr>
            <a:solidFill>
              <a:schemeClr val="accent4">
                <a:lumMod val="75000"/>
              </a:schemeClr>
            </a:solidFill>
            <a:ln>
              <a:noFill/>
            </a:ln>
            <a:effectLst/>
          </c:spPr>
          <c:invertIfNegative val="0"/>
          <c:dLbls>
            <c:dLbl>
              <c:idx val="0"/>
              <c:layout>
                <c:manualLayout>
                  <c:x val="-2.5466120234577056E-3"/>
                  <c:y val="-1.440329311450005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CB8D-4ADD-88D1-A6FC9BA8A9DD}"/>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'WRMP Main'!$A$30:$A$38</c15:sqref>
                  </c15:fullRef>
                </c:ext>
              </c:extLst>
              <c:f>('WRMP Main'!$A$30:$A$35,'WRMP Main'!$A$38)</c:f>
              <c:strCache>
                <c:ptCount val="7"/>
                <c:pt idx="0">
                  <c:v>Reducing leakage</c:v>
                </c:pt>
                <c:pt idx="1">
                  <c:v>Building a new water reservoir</c:v>
                </c:pt>
                <c:pt idx="2">
                  <c:v>Increased metering (not smart meters)</c:v>
                </c:pt>
                <c:pt idx="3">
                  <c:v>Trading with another water company</c:v>
                </c:pt>
                <c:pt idx="4">
                  <c:v>Reducing customer water usage/More education campaigns</c:v>
                </c:pt>
                <c:pt idx="5">
                  <c:v>Installing smart meters</c:v>
                </c:pt>
                <c:pt idx="6">
                  <c:v>Taking more groundwater </c:v>
                </c:pt>
              </c:strCache>
            </c:strRef>
          </c:cat>
          <c:val>
            <c:numRef>
              <c:extLst>
                <c:ext xmlns:c15="http://schemas.microsoft.com/office/drawing/2012/chart" uri="{02D57815-91ED-43cb-92C2-25804820EDAC}">
                  <c15:fullRef>
                    <c15:sqref>'WRMP Main'!$X$30:$X$38</c15:sqref>
                  </c15:fullRef>
                </c:ext>
              </c:extLst>
              <c:f>('WRMP Main'!$X$30:$X$35,'WRMP Main'!$X$38)</c:f>
              <c:numCache>
                <c:formatCode>General</c:formatCode>
                <c:ptCount val="7"/>
                <c:pt idx="0" formatCode="0.0">
                  <c:v>31.235655330734097</c:v>
                </c:pt>
                <c:pt idx="2" formatCode="0.0">
                  <c:v>7.9593496450049761</c:v>
                </c:pt>
                <c:pt idx="5" formatCode="0.0">
                  <c:v>4.9213001729830328</c:v>
                </c:pt>
              </c:numCache>
            </c:numRef>
          </c:val>
          <c:extLst xmlns:c16r2="http://schemas.microsoft.com/office/drawing/2015/06/chart">
            <c:ext xmlns:c16="http://schemas.microsoft.com/office/drawing/2014/chart" uri="{C3380CC4-5D6E-409C-BE32-E72D297353CC}">
              <c16:uniqueId val="{00000008-A868-4D52-981A-2A4441DDACFA}"/>
            </c:ext>
          </c:extLst>
        </c:ser>
        <c:ser>
          <c:idx val="5"/>
          <c:order val="5"/>
          <c:tx>
            <c:strRef>
              <c:f>'WRMP Main'!$Z$28</c:f>
              <c:strCache>
                <c:ptCount val="1"/>
                <c:pt idx="0">
                  <c:v>COMBINED</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'WRMP Main'!$A$30:$A$38</c15:sqref>
                  </c15:fullRef>
                </c:ext>
              </c:extLst>
              <c:f>('WRMP Main'!$A$30:$A$35,'WRMP Main'!$A$38)</c:f>
              <c:strCache>
                <c:ptCount val="7"/>
                <c:pt idx="0">
                  <c:v>Reducing leakage</c:v>
                </c:pt>
                <c:pt idx="1">
                  <c:v>Building a new water reservoir</c:v>
                </c:pt>
                <c:pt idx="2">
                  <c:v>Increased metering (not smart meters)</c:v>
                </c:pt>
                <c:pt idx="3">
                  <c:v>Trading with another water company</c:v>
                </c:pt>
                <c:pt idx="4">
                  <c:v>Reducing customer water usage/More education campaigns</c:v>
                </c:pt>
                <c:pt idx="5">
                  <c:v>Installing smart meters</c:v>
                </c:pt>
                <c:pt idx="6">
                  <c:v>Taking more groundwater </c:v>
                </c:pt>
              </c:strCache>
            </c:strRef>
          </c:cat>
          <c:val>
            <c:numRef>
              <c:extLst>
                <c:ext xmlns:c15="http://schemas.microsoft.com/office/drawing/2012/chart" uri="{02D57815-91ED-43cb-92C2-25804820EDAC}">
                  <c15:fullRef>
                    <c15:sqref>'WRMP Main'!$Z$30:$Z$38</c15:sqref>
                  </c15:fullRef>
                </c:ext>
              </c:extLst>
              <c:f>('WRMP Main'!$Z$30:$Z$35,'WRMP Main'!$Z$38)</c:f>
              <c:numCache>
                <c:formatCode>0.0</c:formatCode>
                <c:ptCount val="7"/>
                <c:pt idx="0">
                  <c:v>18.15997734669606</c:v>
                </c:pt>
                <c:pt idx="1">
                  <c:v>18.507867301480708</c:v>
                </c:pt>
                <c:pt idx="2">
                  <c:v>14.516468860023183</c:v>
                </c:pt>
                <c:pt idx="3">
                  <c:v>12.051480776693191</c:v>
                </c:pt>
                <c:pt idx="4">
                  <c:v>13.227174109817229</c:v>
                </c:pt>
                <c:pt idx="5">
                  <c:v>16.481352502169464</c:v>
                </c:pt>
                <c:pt idx="6">
                  <c:v>7.0556791031201538</c:v>
                </c:pt>
              </c:numCache>
            </c:numRef>
          </c:val>
          <c:extLst xmlns:c16r2="http://schemas.microsoft.com/office/drawing/2015/06/chart">
            <c:ext xmlns:c16="http://schemas.microsoft.com/office/drawing/2014/chart" uri="{C3380CC4-5D6E-409C-BE32-E72D297353CC}">
              <c16:uniqueId val="{00000009-A868-4D52-981A-2A4441DDACFA}"/>
            </c:ext>
          </c:extLst>
        </c:ser>
        <c:dLbls>
          <c:dLblPos val="outEnd"/>
          <c:showLegendKey val="0"/>
          <c:showVal val="1"/>
          <c:showCatName val="0"/>
          <c:showSerName val="0"/>
          <c:showPercent val="0"/>
          <c:showBubbleSize val="0"/>
        </c:dLbls>
        <c:gapWidth val="219"/>
        <c:overlap val="-27"/>
        <c:axId val="994359968"/>
        <c:axId val="994367584"/>
      </c:barChart>
      <c:catAx>
        <c:axId val="994359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994367584"/>
        <c:crosses val="autoZero"/>
        <c:auto val="1"/>
        <c:lblAlgn val="ctr"/>
        <c:lblOffset val="100"/>
        <c:noMultiLvlLbl val="0"/>
      </c:catAx>
      <c:valAx>
        <c:axId val="994367584"/>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9943599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SSW NHH WTP Unit Values and Range - Services at Property</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Main'!$D$134</c:f>
              <c:strCache>
                <c:ptCount val="1"/>
                <c:pt idx="0">
                  <c:v>COMBINED</c:v>
                </c:pt>
              </c:strCache>
            </c:strRef>
          </c:tx>
          <c:spPr>
            <a:solidFill>
              <a:schemeClr val="accent2"/>
            </a:solidFill>
            <a:ln>
              <a:noFill/>
            </a:ln>
            <a:effectLst/>
          </c:spPr>
          <c:invertIfNegative val="0"/>
          <c:errBars>
            <c:errBarType val="both"/>
            <c:errValType val="cust"/>
            <c:noEndCap val="0"/>
            <c:plus>
              <c:numRef>
                <c:f>'WTP Main'!$R$135:$R$142</c:f>
                <c:numCache>
                  <c:formatCode>General</c:formatCode>
                  <c:ptCount val="8"/>
                  <c:pt idx="0">
                    <c:v>868.14493981582427</c:v>
                  </c:pt>
                  <c:pt idx="1">
                    <c:v>2841.9187326624015</c:v>
                  </c:pt>
                  <c:pt idx="2">
                    <c:v>366.30156643083973</c:v>
                  </c:pt>
                  <c:pt idx="3">
                    <c:v>84.974329140835437</c:v>
                  </c:pt>
                  <c:pt idx="4">
                    <c:v>178.26445343113986</c:v>
                  </c:pt>
                  <c:pt idx="5">
                    <c:v>98.944397543714857</c:v>
                  </c:pt>
                  <c:pt idx="6">
                    <c:v>85.174307623845621</c:v>
                  </c:pt>
                  <c:pt idx="7">
                    <c:v>11.562231722159208</c:v>
                  </c:pt>
                </c:numCache>
              </c:numRef>
            </c:plus>
            <c:minus>
              <c:numRef>
                <c:f>'WTP Main'!$Q$135:$Q$142</c:f>
                <c:numCache>
                  <c:formatCode>General</c:formatCode>
                  <c:ptCount val="8"/>
                  <c:pt idx="0">
                    <c:v>320.35256904728612</c:v>
                  </c:pt>
                  <c:pt idx="1">
                    <c:v>119.96490554919046</c:v>
                  </c:pt>
                  <c:pt idx="2">
                    <c:v>164.35609092033991</c:v>
                  </c:pt>
                  <c:pt idx="3">
                    <c:v>83.676938293404106</c:v>
                  </c:pt>
                  <c:pt idx="4">
                    <c:v>109.57830738952001</c:v>
                  </c:pt>
                  <c:pt idx="5">
                    <c:v>55.650770048142313</c:v>
                  </c:pt>
                  <c:pt idx="6">
                    <c:v>18.696378463089079</c:v>
                  </c:pt>
                  <c:pt idx="7">
                    <c:v>6.5627841835781435</c:v>
                  </c:pt>
                </c:numCache>
              </c:numRef>
            </c:minus>
            <c:spPr>
              <a:noFill/>
              <a:ln w="9525" cap="flat" cmpd="sng" algn="ctr">
                <a:solidFill>
                  <a:srgbClr val="000000"/>
                </a:solidFill>
                <a:round/>
              </a:ln>
              <a:effectLst/>
            </c:spPr>
          </c:errBars>
          <c:cat>
            <c:strRef>
              <c:f>'WTP Main'!$A$135:$A$142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Main'!$D$135:$D$142</c:f>
              <c:numCache>
                <c:formatCode>"£"#,##0</c:formatCode>
                <c:ptCount val="8"/>
                <c:pt idx="0">
                  <c:v>448.87274713174776</c:v>
                </c:pt>
                <c:pt idx="1">
                  <c:v>382.78338383243909</c:v>
                </c:pt>
                <c:pt idx="2">
                  <c:v>242.45200630780022</c:v>
                </c:pt>
                <c:pt idx="3">
                  <c:v>113.21133076149198</c:v>
                </c:pt>
                <c:pt idx="4">
                  <c:v>190.15878670162689</c:v>
                </c:pt>
                <c:pt idx="5">
                  <c:v>113.8850479474503</c:v>
                </c:pt>
                <c:pt idx="6">
                  <c:v>26.928108679021509</c:v>
                </c:pt>
                <c:pt idx="7">
                  <c:v>21.397383522173659</c:v>
                </c:pt>
              </c:numCache>
            </c:numRef>
          </c:val>
          <c:extLst xmlns:c16r2="http://schemas.microsoft.com/office/drawing/2015/06/chart">
            <c:ext xmlns:c16="http://schemas.microsoft.com/office/drawing/2014/chart" uri="{C3380CC4-5D6E-409C-BE32-E72D297353CC}">
              <c16:uniqueId val="{00000000-EE7B-4158-9189-22A25F92F731}"/>
            </c:ext>
          </c:extLst>
        </c:ser>
        <c:ser>
          <c:idx val="1"/>
          <c:order val="1"/>
          <c:tx>
            <c:strRef>
              <c:f>'WTP Main'!$E$134</c:f>
              <c:strCache>
                <c:ptCount val="1"/>
                <c:pt idx="0">
                  <c:v>WTPCore_DCE</c:v>
                </c:pt>
              </c:strCache>
            </c:strRef>
          </c:tx>
          <c:spPr>
            <a:solidFill>
              <a:schemeClr val="accent4"/>
            </a:solidFill>
            <a:ln>
              <a:noFill/>
            </a:ln>
            <a:effectLst/>
          </c:spPr>
          <c:invertIfNegative val="0"/>
          <c:cat>
            <c:strRef>
              <c:f>'WTP Main'!$A$135:$A$142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Main'!$E$135:$E$142</c:f>
              <c:numCache>
                <c:formatCode>"£"#,##0</c:formatCode>
                <c:ptCount val="8"/>
                <c:pt idx="0">
                  <c:v>800.37595925297103</c:v>
                </c:pt>
                <c:pt idx="1">
                  <c:v>533.58397283531406</c:v>
                </c:pt>
                <c:pt idx="2">
                  <c:v>310.41834897651921</c:v>
                </c:pt>
                <c:pt idx="3">
                  <c:v>9.7267911714770818</c:v>
                </c:pt>
                <c:pt idx="4">
                  <c:v>70.914536619635854</c:v>
                </c:pt>
                <c:pt idx="5">
                  <c:v>44.321585387272407</c:v>
                </c:pt>
                <c:pt idx="6">
                  <c:v>38.286305674962968</c:v>
                </c:pt>
                <c:pt idx="7">
                  <c:v>30.847823429541599</c:v>
                </c:pt>
              </c:numCache>
            </c:numRef>
          </c:val>
          <c:extLst xmlns:c16r2="http://schemas.microsoft.com/office/drawing/2015/06/chart">
            <c:ext xmlns:c16="http://schemas.microsoft.com/office/drawing/2014/chart" uri="{C3380CC4-5D6E-409C-BE32-E72D297353CC}">
              <c16:uniqueId val="{00000001-EE7B-4158-9189-22A25F92F731}"/>
            </c:ext>
          </c:extLst>
        </c:ser>
        <c:ser>
          <c:idx val="2"/>
          <c:order val="2"/>
          <c:tx>
            <c:strRef>
              <c:f>'WTP Main'!$F$134</c:f>
              <c:strCache>
                <c:ptCount val="1"/>
                <c:pt idx="0">
                  <c:v>WTPCore_DCE2</c:v>
                </c:pt>
              </c:strCache>
            </c:strRef>
          </c:tx>
          <c:spPr>
            <a:solidFill>
              <a:schemeClr val="accent6"/>
            </a:solidFill>
            <a:ln>
              <a:noFill/>
            </a:ln>
            <a:effectLst/>
          </c:spPr>
          <c:invertIfNegative val="0"/>
          <c:cat>
            <c:strRef>
              <c:f>'WTP Main'!$A$135:$A$142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Main'!$F$135:$F$142</c:f>
              <c:numCache>
                <c:formatCode>"£"#,##0</c:formatCode>
                <c:ptCount val="8"/>
                <c:pt idx="0">
                  <c:v>56.784428229127826</c:v>
                </c:pt>
                <c:pt idx="1">
                  <c:v>270.10008751217691</c:v>
                </c:pt>
                <c:pt idx="2">
                  <c:v>43.140724701414321</c:v>
                </c:pt>
                <c:pt idx="3">
                  <c:v>191.30305399706398</c:v>
                </c:pt>
                <c:pt idx="4">
                  <c:v>184.66986976717914</c:v>
                </c:pt>
                <c:pt idx="5">
                  <c:v>207.13203782671931</c:v>
                </c:pt>
                <c:pt idx="6">
                  <c:v>4.12870423758259</c:v>
                </c:pt>
                <c:pt idx="7">
                  <c:v>15.460897911817229</c:v>
                </c:pt>
              </c:numCache>
            </c:numRef>
          </c:val>
          <c:extLst xmlns:c16r2="http://schemas.microsoft.com/office/drawing/2015/06/chart">
            <c:ext xmlns:c16="http://schemas.microsoft.com/office/drawing/2014/chart" uri="{C3380CC4-5D6E-409C-BE32-E72D297353CC}">
              <c16:uniqueId val="{00000002-EE7B-4158-9189-22A25F92F731}"/>
            </c:ext>
          </c:extLst>
        </c:ser>
        <c:ser>
          <c:idx val="3"/>
          <c:order val="3"/>
          <c:tx>
            <c:strRef>
              <c:f>'WTP Main'!$G$134</c:f>
              <c:strCache>
                <c:ptCount val="1"/>
                <c:pt idx="0">
                  <c:v>WTP core_DCE_Private</c:v>
                </c:pt>
              </c:strCache>
            </c:strRef>
          </c:tx>
          <c:spPr>
            <a:solidFill>
              <a:schemeClr val="accent2">
                <a:lumMod val="60000"/>
              </a:schemeClr>
            </a:solidFill>
            <a:ln>
              <a:noFill/>
            </a:ln>
            <a:effectLst/>
          </c:spPr>
          <c:invertIfNegative val="0"/>
          <c:cat>
            <c:strRef>
              <c:f>'WTP Main'!$A$135:$A$142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Main'!$G$135:$G$142</c:f>
              <c:numCache>
                <c:formatCode>"£"#,##0</c:formatCode>
                <c:ptCount val="8"/>
                <c:pt idx="0">
                  <c:v>1534.0539219015279</c:v>
                </c:pt>
                <c:pt idx="1">
                  <c:v>3935.1817996604409</c:v>
                </c:pt>
                <c:pt idx="2">
                  <c:v>700.32896434634995</c:v>
                </c:pt>
                <c:pt idx="3">
                  <c:v>8.8930662139219017</c:v>
                </c:pt>
                <c:pt idx="4">
                  <c:v>350.16448217317492</c:v>
                </c:pt>
                <c:pt idx="5">
                  <c:v>52.107809847198645</c:v>
                </c:pt>
                <c:pt idx="6">
                  <c:v>133.39599320882851</c:v>
                </c:pt>
                <c:pt idx="7">
                  <c:v>35.850173174872666</c:v>
                </c:pt>
              </c:numCache>
            </c:numRef>
          </c:val>
          <c:extLst xmlns:c16r2="http://schemas.microsoft.com/office/drawing/2015/06/chart">
            <c:ext xmlns:c16="http://schemas.microsoft.com/office/drawing/2014/chart" uri="{C3380CC4-5D6E-409C-BE32-E72D297353CC}">
              <c16:uniqueId val="{00000003-EE7B-4158-9189-22A25F92F731}"/>
            </c:ext>
          </c:extLst>
        </c:ser>
        <c:ser>
          <c:idx val="4"/>
          <c:order val="4"/>
          <c:tx>
            <c:strRef>
              <c:f>'WTP Main'!$I$134</c:f>
              <c:strCache>
                <c:ptCount val="1"/>
                <c:pt idx="0">
                  <c:v>WTPPR14</c:v>
                </c:pt>
              </c:strCache>
            </c:strRef>
          </c:tx>
          <c:spPr>
            <a:solidFill>
              <a:schemeClr val="accent4">
                <a:lumMod val="60000"/>
              </a:schemeClr>
            </a:solidFill>
            <a:ln>
              <a:noFill/>
            </a:ln>
            <a:effectLst/>
          </c:spPr>
          <c:invertIfNegative val="0"/>
          <c:cat>
            <c:strRef>
              <c:f>'WTP Main'!$A$135:$A$142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Main'!$I$135:$I$142</c:f>
              <c:numCache>
                <c:formatCode>"£"#,##0</c:formatCode>
                <c:ptCount val="8"/>
                <c:pt idx="0">
                  <c:v>0</c:v>
                </c:pt>
                <c:pt idx="1">
                  <c:v>0</c:v>
                </c:pt>
                <c:pt idx="2">
                  <c:v>405.03383050417659</c:v>
                </c:pt>
                <c:pt idx="3">
                  <c:v>38.73249263519228</c:v>
                </c:pt>
                <c:pt idx="4">
                  <c:v>129.73739883336907</c:v>
                </c:pt>
                <c:pt idx="5">
                  <c:v>118.66225503052048</c:v>
                </c:pt>
                <c:pt idx="6">
                  <c:v>0</c:v>
                </c:pt>
                <c:pt idx="7">
                  <c:v>0</c:v>
                </c:pt>
              </c:numCache>
            </c:numRef>
          </c:val>
          <c:extLst xmlns:c16r2="http://schemas.microsoft.com/office/drawing/2015/06/chart">
            <c:ext xmlns:c16="http://schemas.microsoft.com/office/drawing/2014/chart" uri="{C3380CC4-5D6E-409C-BE32-E72D297353CC}">
              <c16:uniqueId val="{00000004-EE7B-4158-9189-22A25F92F731}"/>
            </c:ext>
          </c:extLst>
        </c:ser>
        <c:ser>
          <c:idx val="5"/>
          <c:order val="5"/>
          <c:tx>
            <c:strRef>
              <c:f>'WTP Main'!$J$134</c:f>
              <c:strCache>
                <c:ptCount val="1"/>
                <c:pt idx="0">
                  <c:v>ExternalWTP14</c:v>
                </c:pt>
              </c:strCache>
            </c:strRef>
          </c:tx>
          <c:spPr>
            <a:solidFill>
              <a:schemeClr val="accent6">
                <a:lumMod val="60000"/>
              </a:schemeClr>
            </a:solidFill>
            <a:ln>
              <a:noFill/>
            </a:ln>
            <a:effectLst/>
          </c:spPr>
          <c:invertIfNegative val="0"/>
          <c:cat>
            <c:strRef>
              <c:f>'WTP Main'!$A$135:$A$142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Main'!$J$135:$J$142</c:f>
              <c:numCache>
                <c:formatCode>"£"#,##0</c:formatCode>
                <c:ptCount val="8"/>
                <c:pt idx="2">
                  <c:v>180.01668388807045</c:v>
                </c:pt>
                <c:pt idx="3">
                  <c:v>57.086937475377226</c:v>
                </c:pt>
                <c:pt idx="4">
                  <c:v>202.78386685394906</c:v>
                </c:pt>
                <c:pt idx="5">
                  <c:v>134.95804761465288</c:v>
                </c:pt>
                <c:pt idx="6">
                  <c:v>22.963116395651259</c:v>
                </c:pt>
              </c:numCache>
            </c:numRef>
          </c:val>
          <c:extLst xmlns:c16r2="http://schemas.microsoft.com/office/drawing/2015/06/chart">
            <c:ext xmlns:c16="http://schemas.microsoft.com/office/drawing/2014/chart" uri="{C3380CC4-5D6E-409C-BE32-E72D297353CC}">
              <c16:uniqueId val="{00000005-EE7B-4158-9189-22A25F92F731}"/>
            </c:ext>
          </c:extLst>
        </c:ser>
        <c:ser>
          <c:idx val="6"/>
          <c:order val="6"/>
          <c:tx>
            <c:strRef>
              <c:f>'WTP Main'!$K$134</c:f>
              <c:strCache>
                <c:ptCount val="1"/>
                <c:pt idx="0">
                  <c:v>ExternalWTP19</c:v>
                </c:pt>
              </c:strCache>
            </c:strRef>
          </c:tx>
          <c:spPr>
            <a:solidFill>
              <a:schemeClr val="accent2">
                <a:lumMod val="80000"/>
                <a:lumOff val="20000"/>
              </a:schemeClr>
            </a:solidFill>
            <a:ln>
              <a:noFill/>
            </a:ln>
            <a:effectLst/>
          </c:spPr>
          <c:invertIfNegative val="0"/>
          <c:cat>
            <c:strRef>
              <c:f>'WTP Main'!$A$135:$A$142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Main'!$K$135:$K$142</c:f>
              <c:numCache>
                <c:formatCode>"£"#,##0</c:formatCode>
                <c:ptCount val="8"/>
                <c:pt idx="0">
                  <c:v>464.42202189180642</c:v>
                </c:pt>
                <c:pt idx="2">
                  <c:v>184.12802484145394</c:v>
                </c:pt>
                <c:pt idx="4">
                  <c:v>298.80167699686126</c:v>
                </c:pt>
                <c:pt idx="5">
                  <c:v>95.341906085695584</c:v>
                </c:pt>
                <c:pt idx="6">
                  <c:v>45.821123514354376</c:v>
                </c:pt>
              </c:numCache>
            </c:numRef>
          </c:val>
          <c:extLst xmlns:c16r2="http://schemas.microsoft.com/office/drawing/2015/06/chart">
            <c:ext xmlns:c16="http://schemas.microsoft.com/office/drawing/2014/chart" uri="{C3380CC4-5D6E-409C-BE32-E72D297353CC}">
              <c16:uniqueId val="{00000006-EE7B-4158-9189-22A25F92F731}"/>
            </c:ext>
          </c:extLst>
        </c:ser>
        <c:ser>
          <c:idx val="7"/>
          <c:order val="7"/>
          <c:tx>
            <c:strRef>
              <c:f>'WTP Main'!$L$134</c:f>
              <c:strCache>
                <c:ptCount val="1"/>
                <c:pt idx="0">
                  <c:v>WTPCore_MaxDiff</c:v>
                </c:pt>
              </c:strCache>
            </c:strRef>
          </c:tx>
          <c:spPr>
            <a:solidFill>
              <a:srgbClr val="FF0000"/>
            </a:solidFill>
            <a:ln>
              <a:noFill/>
            </a:ln>
            <a:effectLst/>
          </c:spPr>
          <c:invertIfNegative val="0"/>
          <c:cat>
            <c:strRef>
              <c:f>'WTP Main'!$A$135:$A$142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Main'!$L$135:$L$142</c:f>
              <c:numCache>
                <c:formatCode>"£"#,##0</c:formatCode>
                <c:ptCount val="8"/>
                <c:pt idx="0">
                  <c:v>522.26832331451192</c:v>
                </c:pt>
                <c:pt idx="1">
                  <c:v>306.54879846721354</c:v>
                </c:pt>
                <c:pt idx="2">
                  <c:v>465.50002730206495</c:v>
                </c:pt>
                <c:pt idx="3">
                  <c:v>212.46126119075066</c:v>
                </c:pt>
                <c:pt idx="4">
                  <c:v>412.98935349055165</c:v>
                </c:pt>
                <c:pt idx="5">
                  <c:v>69.186360765169724</c:v>
                </c:pt>
                <c:pt idx="6">
                  <c:v>41.157014609024031</c:v>
                </c:pt>
                <c:pt idx="7">
                  <c:v>14.369474928150639</c:v>
                </c:pt>
              </c:numCache>
            </c:numRef>
          </c:val>
          <c:extLst xmlns:c16r2="http://schemas.microsoft.com/office/drawing/2015/06/chart">
            <c:ext xmlns:c16="http://schemas.microsoft.com/office/drawing/2014/chart" uri="{C3380CC4-5D6E-409C-BE32-E72D297353CC}">
              <c16:uniqueId val="{00000007-EE7B-4158-9189-22A25F92F731}"/>
            </c:ext>
          </c:extLst>
        </c:ser>
        <c:dLbls>
          <c:showLegendKey val="0"/>
          <c:showVal val="0"/>
          <c:showCatName val="0"/>
          <c:showSerName val="0"/>
          <c:showPercent val="0"/>
          <c:showBubbleSize val="0"/>
        </c:dLbls>
        <c:gapWidth val="219"/>
        <c:overlap val="-27"/>
        <c:axId val="1364806944"/>
        <c:axId val="1364805856"/>
      </c:barChart>
      <c:catAx>
        <c:axId val="1364806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64805856"/>
        <c:crosses val="autoZero"/>
        <c:auto val="1"/>
        <c:lblAlgn val="ctr"/>
        <c:lblOffset val="100"/>
        <c:noMultiLvlLbl val="0"/>
      </c:catAx>
      <c:valAx>
        <c:axId val="1364805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64806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ysClr val="windowText" lastClr="000000"/>
                </a:solidFill>
                <a:effectLst/>
              </a:rPr>
              <a:t>SSW NHH WTP Unit Values and Range - Drought Restrictions (£/1% Risk/yr)</a:t>
            </a:r>
            <a:endParaRPr lang="en-GB">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Main'!$D$161</c:f>
              <c:strCache>
                <c:ptCount val="1"/>
                <c:pt idx="0">
                  <c:v>COMBINED</c:v>
                </c:pt>
              </c:strCache>
            </c:strRef>
          </c:tx>
          <c:spPr>
            <a:solidFill>
              <a:schemeClr val="accent2"/>
            </a:solidFill>
            <a:ln>
              <a:noFill/>
            </a:ln>
            <a:effectLst/>
          </c:spPr>
          <c:invertIfNegative val="0"/>
          <c:errBars>
            <c:errBarType val="both"/>
            <c:errValType val="cust"/>
            <c:noEndCap val="0"/>
            <c:plus>
              <c:numRef>
                <c:f>'WTP Main'!$N$162:$N$163</c:f>
                <c:numCache>
                  <c:formatCode>General</c:formatCode>
                  <c:ptCount val="2"/>
                  <c:pt idx="0">
                    <c:v>514986.33741913224</c:v>
                  </c:pt>
                  <c:pt idx="1">
                    <c:v>1139862.7482481254</c:v>
                  </c:pt>
                </c:numCache>
              </c:numRef>
            </c:plus>
            <c:minus>
              <c:numRef>
                <c:f>'WTP Main'!$M$162:$M$163</c:f>
                <c:numCache>
                  <c:formatCode>General</c:formatCode>
                  <c:ptCount val="2"/>
                  <c:pt idx="0">
                    <c:v>546490.68960725644</c:v>
                  </c:pt>
                  <c:pt idx="1">
                    <c:v>265233.74730880291</c:v>
                  </c:pt>
                </c:numCache>
              </c:numRef>
            </c:minus>
            <c:spPr>
              <a:noFill/>
              <a:ln w="9525" cap="flat" cmpd="sng" algn="ctr">
                <a:solidFill>
                  <a:srgbClr val="000000"/>
                </a:solidFill>
                <a:round/>
              </a:ln>
              <a:effectLst/>
            </c:spPr>
          </c:errBars>
          <c:cat>
            <c:strRef>
              <c:f>'WTP Main'!$A$162:$A$163</c:f>
              <c:strCache>
                <c:ptCount val="2"/>
                <c:pt idx="0">
                  <c:v>Drought restrictions</c:v>
                </c:pt>
                <c:pt idx="1">
                  <c:v>Temporary use ban</c:v>
                </c:pt>
              </c:strCache>
            </c:strRef>
          </c:cat>
          <c:val>
            <c:numRef>
              <c:f>'WTP Main'!$D$162:$D$163</c:f>
              <c:numCache>
                <c:formatCode>"£"#,##0</c:formatCode>
                <c:ptCount val="2"/>
                <c:pt idx="0">
                  <c:v>683113.36200907058</c:v>
                </c:pt>
                <c:pt idx="1">
                  <c:v>343001.96468984301</c:v>
                </c:pt>
              </c:numCache>
            </c:numRef>
          </c:val>
          <c:extLst xmlns:c16r2="http://schemas.microsoft.com/office/drawing/2015/06/chart">
            <c:ext xmlns:c16="http://schemas.microsoft.com/office/drawing/2014/chart" uri="{C3380CC4-5D6E-409C-BE32-E72D297353CC}">
              <c16:uniqueId val="{00000000-4708-4F09-9D1B-5BA35BD346AB}"/>
            </c:ext>
          </c:extLst>
        </c:ser>
        <c:ser>
          <c:idx val="1"/>
          <c:order val="1"/>
          <c:tx>
            <c:strRef>
              <c:f>'WTP Main'!$E$161</c:f>
              <c:strCache>
                <c:ptCount val="1"/>
                <c:pt idx="0">
                  <c:v>WTPCore_DCE</c:v>
                </c:pt>
              </c:strCache>
            </c:strRef>
          </c:tx>
          <c:spPr>
            <a:solidFill>
              <a:schemeClr val="accent4"/>
            </a:solidFill>
            <a:ln>
              <a:noFill/>
            </a:ln>
            <a:effectLst/>
          </c:spPr>
          <c:invertIfNegative val="0"/>
          <c:cat>
            <c:strRef>
              <c:f>'WTP Main'!$A$162:$A$163</c:f>
              <c:strCache>
                <c:ptCount val="2"/>
                <c:pt idx="0">
                  <c:v>Drought restrictions</c:v>
                </c:pt>
                <c:pt idx="1">
                  <c:v>Temporary use ban</c:v>
                </c:pt>
              </c:strCache>
            </c:strRef>
          </c:cat>
          <c:val>
            <c:numRef>
              <c:f>'WTP Main'!$E$162:$E$163</c:f>
              <c:numCache>
                <c:formatCode>"£"#,##0</c:formatCode>
                <c:ptCount val="2"/>
                <c:pt idx="0">
                  <c:v>392851.19999999995</c:v>
                </c:pt>
                <c:pt idx="1">
                  <c:v>196425.59999999998</c:v>
                </c:pt>
              </c:numCache>
            </c:numRef>
          </c:val>
          <c:extLst xmlns:c16r2="http://schemas.microsoft.com/office/drawing/2015/06/chart">
            <c:ext xmlns:c16="http://schemas.microsoft.com/office/drawing/2014/chart" uri="{C3380CC4-5D6E-409C-BE32-E72D297353CC}">
              <c16:uniqueId val="{00000001-4708-4F09-9D1B-5BA35BD346AB}"/>
            </c:ext>
          </c:extLst>
        </c:ser>
        <c:ser>
          <c:idx val="2"/>
          <c:order val="2"/>
          <c:tx>
            <c:strRef>
              <c:f>'WTP Main'!$F$161</c:f>
              <c:strCache>
                <c:ptCount val="1"/>
                <c:pt idx="0">
                  <c:v>WTPCore_DCE2</c:v>
                </c:pt>
              </c:strCache>
            </c:strRef>
          </c:tx>
          <c:spPr>
            <a:solidFill>
              <a:schemeClr val="accent6"/>
            </a:solidFill>
            <a:ln>
              <a:noFill/>
            </a:ln>
            <a:effectLst/>
          </c:spPr>
          <c:invertIfNegative val="0"/>
          <c:cat>
            <c:strRef>
              <c:f>'WTP Main'!$A$162:$A$163</c:f>
              <c:strCache>
                <c:ptCount val="2"/>
                <c:pt idx="0">
                  <c:v>Drought restrictions</c:v>
                </c:pt>
                <c:pt idx="1">
                  <c:v>Temporary use ban</c:v>
                </c:pt>
              </c:strCache>
            </c:strRef>
          </c:cat>
          <c:val>
            <c:numRef>
              <c:f>'WTP Main'!$F$162:$F$163</c:f>
              <c:numCache>
                <c:formatCode>"£"#,##0</c:formatCode>
                <c:ptCount val="2"/>
                <c:pt idx="1">
                  <c:v>326771.16833696596</c:v>
                </c:pt>
              </c:numCache>
            </c:numRef>
          </c:val>
          <c:extLst xmlns:c16r2="http://schemas.microsoft.com/office/drawing/2015/06/chart">
            <c:ext xmlns:c16="http://schemas.microsoft.com/office/drawing/2014/chart" uri="{C3380CC4-5D6E-409C-BE32-E72D297353CC}">
              <c16:uniqueId val="{00000002-4708-4F09-9D1B-5BA35BD346AB}"/>
            </c:ext>
          </c:extLst>
        </c:ser>
        <c:ser>
          <c:idx val="3"/>
          <c:order val="3"/>
          <c:tx>
            <c:strRef>
              <c:f>'WTP Main'!$G$161</c:f>
              <c:strCache>
                <c:ptCount val="1"/>
                <c:pt idx="0">
                  <c:v>WTP core_DCE_Private</c:v>
                </c:pt>
              </c:strCache>
            </c:strRef>
          </c:tx>
          <c:spPr>
            <a:solidFill>
              <a:schemeClr val="accent2">
                <a:lumMod val="60000"/>
              </a:schemeClr>
            </a:solidFill>
            <a:ln>
              <a:noFill/>
            </a:ln>
            <a:effectLst/>
          </c:spPr>
          <c:invertIfNegative val="0"/>
          <c:cat>
            <c:strRef>
              <c:f>'WTP Main'!$A$162:$A$163</c:f>
              <c:strCache>
                <c:ptCount val="2"/>
                <c:pt idx="0">
                  <c:v>Drought restrictions</c:v>
                </c:pt>
                <c:pt idx="1">
                  <c:v>Temporary use ban</c:v>
                </c:pt>
              </c:strCache>
            </c:strRef>
          </c:cat>
          <c:val>
            <c:numRef>
              <c:f>'WTP Main'!$G$162:$G$163</c:f>
              <c:numCache>
                <c:formatCode>"£"#,##0</c:formatCode>
                <c:ptCount val="2"/>
                <c:pt idx="0">
                  <c:v>392851.19999999995</c:v>
                </c:pt>
                <c:pt idx="1">
                  <c:v>1767830.3999999997</c:v>
                </c:pt>
              </c:numCache>
            </c:numRef>
          </c:val>
          <c:extLst xmlns:c16r2="http://schemas.microsoft.com/office/drawing/2015/06/chart">
            <c:ext xmlns:c16="http://schemas.microsoft.com/office/drawing/2014/chart" uri="{C3380CC4-5D6E-409C-BE32-E72D297353CC}">
              <c16:uniqueId val="{00000003-4708-4F09-9D1B-5BA35BD346AB}"/>
            </c:ext>
          </c:extLst>
        </c:ser>
        <c:ser>
          <c:idx val="4"/>
          <c:order val="4"/>
          <c:tx>
            <c:strRef>
              <c:f>'WTP Main'!$I$161</c:f>
              <c:strCache>
                <c:ptCount val="1"/>
                <c:pt idx="0">
                  <c:v>WTPPR14</c:v>
                </c:pt>
              </c:strCache>
            </c:strRef>
          </c:tx>
          <c:spPr>
            <a:solidFill>
              <a:schemeClr val="accent4">
                <a:lumMod val="60000"/>
              </a:schemeClr>
            </a:solidFill>
            <a:ln>
              <a:noFill/>
            </a:ln>
            <a:effectLst/>
          </c:spPr>
          <c:invertIfNegative val="0"/>
          <c:cat>
            <c:strRef>
              <c:f>'WTP Main'!$A$162:$A$163</c:f>
              <c:strCache>
                <c:ptCount val="2"/>
                <c:pt idx="0">
                  <c:v>Drought restrictions</c:v>
                </c:pt>
                <c:pt idx="1">
                  <c:v>Temporary use ban</c:v>
                </c:pt>
              </c:strCache>
            </c:strRef>
          </c:cat>
          <c:val>
            <c:numRef>
              <c:f>'WTP Main'!$I$162:$I$163</c:f>
              <c:numCache>
                <c:formatCode>"£"#,##0</c:formatCode>
                <c:ptCount val="2"/>
                <c:pt idx="0">
                  <c:v>0</c:v>
                </c:pt>
                <c:pt idx="1">
                  <c:v>11459.7805538394</c:v>
                </c:pt>
              </c:numCache>
            </c:numRef>
          </c:val>
          <c:extLst xmlns:c16r2="http://schemas.microsoft.com/office/drawing/2015/06/chart">
            <c:ext xmlns:c16="http://schemas.microsoft.com/office/drawing/2014/chart" uri="{C3380CC4-5D6E-409C-BE32-E72D297353CC}">
              <c16:uniqueId val="{00000004-4708-4F09-9D1B-5BA35BD346AB}"/>
            </c:ext>
          </c:extLst>
        </c:ser>
        <c:ser>
          <c:idx val="5"/>
          <c:order val="5"/>
          <c:tx>
            <c:strRef>
              <c:f>'WTP Main'!$J$161</c:f>
              <c:strCache>
                <c:ptCount val="1"/>
                <c:pt idx="0">
                  <c:v>ExternalWTP14</c:v>
                </c:pt>
              </c:strCache>
            </c:strRef>
          </c:tx>
          <c:spPr>
            <a:solidFill>
              <a:schemeClr val="accent6">
                <a:lumMod val="60000"/>
              </a:schemeClr>
            </a:solidFill>
            <a:ln>
              <a:noFill/>
            </a:ln>
            <a:effectLst/>
          </c:spPr>
          <c:invertIfNegative val="0"/>
          <c:cat>
            <c:strRef>
              <c:f>'WTP Main'!$A$162:$A$163</c:f>
              <c:strCache>
                <c:ptCount val="2"/>
                <c:pt idx="0">
                  <c:v>Drought restrictions</c:v>
                </c:pt>
                <c:pt idx="1">
                  <c:v>Temporary use ban</c:v>
                </c:pt>
              </c:strCache>
            </c:strRef>
          </c:cat>
          <c:val>
            <c:numRef>
              <c:f>'WTP Main'!$J$162:$J$163</c:f>
              <c:numCache>
                <c:formatCode>"£"#,##0</c:formatCode>
                <c:ptCount val="2"/>
                <c:pt idx="1">
                  <c:v>530914.86599481141</c:v>
                </c:pt>
              </c:numCache>
            </c:numRef>
          </c:val>
          <c:extLst xmlns:c16r2="http://schemas.microsoft.com/office/drawing/2015/06/chart">
            <c:ext xmlns:c16="http://schemas.microsoft.com/office/drawing/2014/chart" uri="{C3380CC4-5D6E-409C-BE32-E72D297353CC}">
              <c16:uniqueId val="{00000005-4708-4F09-9D1B-5BA35BD346AB}"/>
            </c:ext>
          </c:extLst>
        </c:ser>
        <c:ser>
          <c:idx val="6"/>
          <c:order val="6"/>
          <c:tx>
            <c:strRef>
              <c:f>'WTP Main'!$K$161</c:f>
              <c:strCache>
                <c:ptCount val="1"/>
                <c:pt idx="0">
                  <c:v>ExternalWTP19</c:v>
                </c:pt>
              </c:strCache>
            </c:strRef>
          </c:tx>
          <c:spPr>
            <a:solidFill>
              <a:schemeClr val="accent2">
                <a:lumMod val="80000"/>
                <a:lumOff val="20000"/>
              </a:schemeClr>
            </a:solidFill>
            <a:ln>
              <a:noFill/>
            </a:ln>
            <a:effectLst/>
          </c:spPr>
          <c:invertIfNegative val="0"/>
          <c:cat>
            <c:strRef>
              <c:f>'WTP Main'!$A$162:$A$163</c:f>
              <c:strCache>
                <c:ptCount val="2"/>
                <c:pt idx="0">
                  <c:v>Drought restrictions</c:v>
                </c:pt>
                <c:pt idx="1">
                  <c:v>Temporary use ban</c:v>
                </c:pt>
              </c:strCache>
            </c:strRef>
          </c:cat>
          <c:val>
            <c:numRef>
              <c:f>'WTP Main'!$K$162:$K$163</c:f>
              <c:numCache>
                <c:formatCode>"£"#,##0</c:formatCode>
                <c:ptCount val="2"/>
                <c:pt idx="0">
                  <c:v>556696.1664975218</c:v>
                </c:pt>
                <c:pt idx="1">
                  <c:v>298221.77063919511</c:v>
                </c:pt>
              </c:numCache>
            </c:numRef>
          </c:val>
          <c:extLst xmlns:c16r2="http://schemas.microsoft.com/office/drawing/2015/06/chart">
            <c:ext xmlns:c16="http://schemas.microsoft.com/office/drawing/2014/chart" uri="{C3380CC4-5D6E-409C-BE32-E72D297353CC}">
              <c16:uniqueId val="{00000006-4708-4F09-9D1B-5BA35BD346AB}"/>
            </c:ext>
          </c:extLst>
        </c:ser>
        <c:ser>
          <c:idx val="7"/>
          <c:order val="7"/>
          <c:tx>
            <c:strRef>
              <c:f>'WTP Main'!$L$161</c:f>
              <c:strCache>
                <c:ptCount val="1"/>
                <c:pt idx="0">
                  <c:v>WTPCore_MaxDiff</c:v>
                </c:pt>
              </c:strCache>
            </c:strRef>
          </c:tx>
          <c:spPr>
            <a:solidFill>
              <a:srgbClr val="FF0000"/>
            </a:solidFill>
            <a:ln>
              <a:noFill/>
            </a:ln>
            <a:effectLst/>
          </c:spPr>
          <c:invertIfNegative val="0"/>
          <c:cat>
            <c:strRef>
              <c:f>'WTP Main'!$A$162:$A$163</c:f>
              <c:strCache>
                <c:ptCount val="2"/>
                <c:pt idx="0">
                  <c:v>Drought restrictions</c:v>
                </c:pt>
                <c:pt idx="1">
                  <c:v>Temporary use ban</c:v>
                </c:pt>
              </c:strCache>
            </c:strRef>
          </c:cat>
          <c:val>
            <c:numRef>
              <c:f>'WTP Main'!$L$162:$L$163</c:f>
              <c:numCache>
                <c:formatCode>"£"#,##0</c:formatCode>
                <c:ptCount val="2"/>
                <c:pt idx="0">
                  <c:v>1326846.283782986</c:v>
                </c:pt>
                <c:pt idx="1">
                  <c:v>819194.89560761559</c:v>
                </c:pt>
              </c:numCache>
            </c:numRef>
          </c:val>
          <c:extLst xmlns:c16r2="http://schemas.microsoft.com/office/drawing/2015/06/chart">
            <c:ext xmlns:c16="http://schemas.microsoft.com/office/drawing/2014/chart" uri="{C3380CC4-5D6E-409C-BE32-E72D297353CC}">
              <c16:uniqueId val="{00000007-4708-4F09-9D1B-5BA35BD346AB}"/>
            </c:ext>
          </c:extLst>
        </c:ser>
        <c:dLbls>
          <c:showLegendKey val="0"/>
          <c:showVal val="0"/>
          <c:showCatName val="0"/>
          <c:showSerName val="0"/>
          <c:showPercent val="0"/>
          <c:showBubbleSize val="0"/>
        </c:dLbls>
        <c:gapWidth val="219"/>
        <c:overlap val="-27"/>
        <c:axId val="1364813472"/>
        <c:axId val="1364814016"/>
      </c:barChart>
      <c:catAx>
        <c:axId val="1364813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64814016"/>
        <c:crosses val="autoZero"/>
        <c:auto val="1"/>
        <c:lblAlgn val="ctr"/>
        <c:lblOffset val="100"/>
        <c:noMultiLvlLbl val="0"/>
      </c:catAx>
      <c:valAx>
        <c:axId val="1364814016"/>
        <c:scaling>
          <c:orientation val="minMax"/>
          <c:max val="25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64813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ysClr val="windowText" lastClr="000000"/>
                </a:solidFill>
                <a:effectLst/>
              </a:rPr>
              <a:t>SSW NHH WTP Unit Values and Range - Leakage (£/MLD/yr) </a:t>
            </a:r>
            <a:endParaRPr lang="en-GB">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Main'!$D$190</c:f>
              <c:strCache>
                <c:ptCount val="1"/>
                <c:pt idx="0">
                  <c:v>COMBINED</c:v>
                </c:pt>
              </c:strCache>
            </c:strRef>
          </c:tx>
          <c:spPr>
            <a:solidFill>
              <a:schemeClr val="accent2"/>
            </a:solidFill>
            <a:ln>
              <a:noFill/>
            </a:ln>
            <a:effectLst/>
          </c:spPr>
          <c:invertIfNegative val="0"/>
          <c:errBars>
            <c:errBarType val="both"/>
            <c:errValType val="cust"/>
            <c:noEndCap val="0"/>
            <c:plus>
              <c:numRef>
                <c:f>'WTP Main'!$R$191</c:f>
                <c:numCache>
                  <c:formatCode>General</c:formatCode>
                  <c:ptCount val="1"/>
                  <c:pt idx="0">
                    <c:v>101153.8559917552</c:v>
                  </c:pt>
                </c:numCache>
              </c:numRef>
            </c:plus>
            <c:minus>
              <c:numRef>
                <c:f>'WTP Main'!$Q$191</c:f>
                <c:numCache>
                  <c:formatCode>General</c:formatCode>
                  <c:ptCount val="1"/>
                  <c:pt idx="0">
                    <c:v>47442.342589805092</c:v>
                  </c:pt>
                </c:numCache>
              </c:numRef>
            </c:minus>
            <c:spPr>
              <a:noFill/>
              <a:ln w="9525" cap="flat" cmpd="sng" algn="ctr">
                <a:solidFill>
                  <a:srgbClr val="000000"/>
                </a:solidFill>
                <a:round/>
              </a:ln>
              <a:effectLst/>
            </c:spPr>
          </c:errBars>
          <c:cat>
            <c:strRef>
              <c:f>'WTP Main'!$A$191</c:f>
              <c:strCache>
                <c:ptCount val="1"/>
                <c:pt idx="0">
                  <c:v>Leakage</c:v>
                </c:pt>
              </c:strCache>
            </c:strRef>
          </c:cat>
          <c:val>
            <c:numRef>
              <c:f>'WTP Main'!$D$191</c:f>
              <c:numCache>
                <c:formatCode>"£"#,##0</c:formatCode>
                <c:ptCount val="1"/>
                <c:pt idx="0">
                  <c:v>59302.928237256368</c:v>
                </c:pt>
              </c:numCache>
            </c:numRef>
          </c:val>
          <c:extLst xmlns:c16r2="http://schemas.microsoft.com/office/drawing/2015/06/chart">
            <c:ext xmlns:c16="http://schemas.microsoft.com/office/drawing/2014/chart" uri="{C3380CC4-5D6E-409C-BE32-E72D297353CC}">
              <c16:uniqueId val="{00000000-9F42-4D92-ADEE-B5EEBDED40DE}"/>
            </c:ext>
          </c:extLst>
        </c:ser>
        <c:ser>
          <c:idx val="1"/>
          <c:order val="1"/>
          <c:tx>
            <c:strRef>
              <c:f>'WTP Main'!$E$190</c:f>
              <c:strCache>
                <c:ptCount val="1"/>
                <c:pt idx="0">
                  <c:v>WTPCore_DCE</c:v>
                </c:pt>
              </c:strCache>
            </c:strRef>
          </c:tx>
          <c:spPr>
            <a:solidFill>
              <a:schemeClr val="accent4"/>
            </a:solidFill>
            <a:ln>
              <a:noFill/>
            </a:ln>
            <a:effectLst/>
          </c:spPr>
          <c:invertIfNegative val="0"/>
          <c:cat>
            <c:strRef>
              <c:f>'WTP Main'!$A$191</c:f>
              <c:strCache>
                <c:ptCount val="1"/>
                <c:pt idx="0">
                  <c:v>Leakage</c:v>
                </c:pt>
              </c:strCache>
            </c:strRef>
          </c:cat>
          <c:val>
            <c:numRef>
              <c:f>'WTP Main'!$E$191</c:f>
              <c:numCache>
                <c:formatCode>"£"#,##0</c:formatCode>
                <c:ptCount val="1"/>
                <c:pt idx="0">
                  <c:v>23218.156028368794</c:v>
                </c:pt>
              </c:numCache>
            </c:numRef>
          </c:val>
          <c:extLst xmlns:c16r2="http://schemas.microsoft.com/office/drawing/2015/06/chart">
            <c:ext xmlns:c16="http://schemas.microsoft.com/office/drawing/2014/chart" uri="{C3380CC4-5D6E-409C-BE32-E72D297353CC}">
              <c16:uniqueId val="{00000001-9F42-4D92-ADEE-B5EEBDED40DE}"/>
            </c:ext>
          </c:extLst>
        </c:ser>
        <c:ser>
          <c:idx val="2"/>
          <c:order val="2"/>
          <c:tx>
            <c:strRef>
              <c:f>'WTP Main'!$F$190</c:f>
              <c:strCache>
                <c:ptCount val="1"/>
                <c:pt idx="0">
                  <c:v>WTPCore_DCE2</c:v>
                </c:pt>
              </c:strCache>
            </c:strRef>
          </c:tx>
          <c:spPr>
            <a:solidFill>
              <a:schemeClr val="accent6"/>
            </a:solidFill>
            <a:ln>
              <a:noFill/>
            </a:ln>
            <a:effectLst/>
          </c:spPr>
          <c:invertIfNegative val="0"/>
          <c:cat>
            <c:strRef>
              <c:f>'WTP Main'!$A$191</c:f>
              <c:strCache>
                <c:ptCount val="1"/>
                <c:pt idx="0">
                  <c:v>Leakage</c:v>
                </c:pt>
              </c:strCache>
            </c:strRef>
          </c:cat>
          <c:val>
            <c:numRef>
              <c:f>'WTP Main'!$F$191</c:f>
              <c:numCache>
                <c:formatCode>"£"#,##0</c:formatCode>
                <c:ptCount val="1"/>
                <c:pt idx="0">
                  <c:v>116341.56471501317</c:v>
                </c:pt>
              </c:numCache>
            </c:numRef>
          </c:val>
          <c:extLst xmlns:c16r2="http://schemas.microsoft.com/office/drawing/2015/06/chart">
            <c:ext xmlns:c16="http://schemas.microsoft.com/office/drawing/2014/chart" uri="{C3380CC4-5D6E-409C-BE32-E72D297353CC}">
              <c16:uniqueId val="{00000002-9F42-4D92-ADEE-B5EEBDED40DE}"/>
            </c:ext>
          </c:extLst>
        </c:ser>
        <c:ser>
          <c:idx val="3"/>
          <c:order val="3"/>
          <c:tx>
            <c:strRef>
              <c:f>'WTP Main'!$G$190</c:f>
              <c:strCache>
                <c:ptCount val="1"/>
                <c:pt idx="0">
                  <c:v>WTP core_DCE_Private</c:v>
                </c:pt>
              </c:strCache>
            </c:strRef>
          </c:tx>
          <c:spPr>
            <a:solidFill>
              <a:schemeClr val="accent2">
                <a:lumMod val="60000"/>
              </a:schemeClr>
            </a:solidFill>
            <a:ln>
              <a:noFill/>
            </a:ln>
            <a:effectLst/>
          </c:spPr>
          <c:invertIfNegative val="0"/>
          <c:cat>
            <c:strRef>
              <c:f>'WTP Main'!$A$191</c:f>
              <c:strCache>
                <c:ptCount val="1"/>
                <c:pt idx="0">
                  <c:v>Leakage</c:v>
                </c:pt>
              </c:strCache>
            </c:strRef>
          </c:cat>
          <c:val>
            <c:numRef>
              <c:f>'WTP Main'!$G$191</c:f>
              <c:numCache>
                <c:formatCode>"£"#,##0</c:formatCode>
                <c:ptCount val="1"/>
                <c:pt idx="0">
                  <c:v>185745.24822695035</c:v>
                </c:pt>
              </c:numCache>
            </c:numRef>
          </c:val>
          <c:extLst xmlns:c16r2="http://schemas.microsoft.com/office/drawing/2015/06/chart">
            <c:ext xmlns:c16="http://schemas.microsoft.com/office/drawing/2014/chart" uri="{C3380CC4-5D6E-409C-BE32-E72D297353CC}">
              <c16:uniqueId val="{00000003-9F42-4D92-ADEE-B5EEBDED40DE}"/>
            </c:ext>
          </c:extLst>
        </c:ser>
        <c:ser>
          <c:idx val="4"/>
          <c:order val="4"/>
          <c:tx>
            <c:strRef>
              <c:f>'WTP Main'!$J$190</c:f>
              <c:strCache>
                <c:ptCount val="1"/>
                <c:pt idx="0">
                  <c:v>ExternalWTP14</c:v>
                </c:pt>
              </c:strCache>
            </c:strRef>
          </c:tx>
          <c:spPr>
            <a:solidFill>
              <a:schemeClr val="accent4">
                <a:lumMod val="60000"/>
              </a:schemeClr>
            </a:solidFill>
            <a:ln>
              <a:noFill/>
            </a:ln>
            <a:effectLst/>
          </c:spPr>
          <c:invertIfNegative val="0"/>
          <c:cat>
            <c:strRef>
              <c:f>'WTP Main'!$A$191</c:f>
              <c:strCache>
                <c:ptCount val="1"/>
                <c:pt idx="0">
                  <c:v>Leakage</c:v>
                </c:pt>
              </c:strCache>
            </c:strRef>
          </c:cat>
          <c:val>
            <c:numRef>
              <c:f>'WTP Main'!$J$191</c:f>
              <c:numCache>
                <c:formatCode>"£"#,##0</c:formatCode>
                <c:ptCount val="1"/>
                <c:pt idx="0">
                  <c:v>22564.398505641631</c:v>
                </c:pt>
              </c:numCache>
            </c:numRef>
          </c:val>
          <c:extLst xmlns:c16r2="http://schemas.microsoft.com/office/drawing/2015/06/chart">
            <c:ext xmlns:c16="http://schemas.microsoft.com/office/drawing/2014/chart" uri="{C3380CC4-5D6E-409C-BE32-E72D297353CC}">
              <c16:uniqueId val="{00000004-9F42-4D92-ADEE-B5EEBDED40DE}"/>
            </c:ext>
          </c:extLst>
        </c:ser>
        <c:ser>
          <c:idx val="5"/>
          <c:order val="5"/>
          <c:tx>
            <c:strRef>
              <c:f>'WTP Main'!$K$190</c:f>
              <c:strCache>
                <c:ptCount val="1"/>
                <c:pt idx="0">
                  <c:v>ExternalWTP19</c:v>
                </c:pt>
              </c:strCache>
            </c:strRef>
          </c:tx>
          <c:spPr>
            <a:solidFill>
              <a:schemeClr val="accent6">
                <a:lumMod val="60000"/>
              </a:schemeClr>
            </a:solidFill>
            <a:ln>
              <a:noFill/>
            </a:ln>
            <a:effectLst/>
          </c:spPr>
          <c:invertIfNegative val="0"/>
          <c:cat>
            <c:strRef>
              <c:f>'WTP Main'!$A$191</c:f>
              <c:strCache>
                <c:ptCount val="1"/>
                <c:pt idx="0">
                  <c:v>Leakage</c:v>
                </c:pt>
              </c:strCache>
            </c:strRef>
          </c:cat>
          <c:val>
            <c:numRef>
              <c:f>'WTP Main'!$K$191</c:f>
              <c:numCache>
                <c:formatCode>"£"#,##0</c:formatCode>
                <c:ptCount val="1"/>
                <c:pt idx="0">
                  <c:v>57408.734497341567</c:v>
                </c:pt>
              </c:numCache>
            </c:numRef>
          </c:val>
          <c:extLst xmlns:c16r2="http://schemas.microsoft.com/office/drawing/2015/06/chart">
            <c:ext xmlns:c16="http://schemas.microsoft.com/office/drawing/2014/chart" uri="{C3380CC4-5D6E-409C-BE32-E72D297353CC}">
              <c16:uniqueId val="{00000005-9F42-4D92-ADEE-B5EEBDED40DE}"/>
            </c:ext>
          </c:extLst>
        </c:ser>
        <c:ser>
          <c:idx val="6"/>
          <c:order val="6"/>
          <c:tx>
            <c:strRef>
              <c:f>'WTP Main'!$L$190</c:f>
              <c:strCache>
                <c:ptCount val="1"/>
                <c:pt idx="0">
                  <c:v>WTPCore_MaxDiff</c:v>
                </c:pt>
              </c:strCache>
            </c:strRef>
          </c:tx>
          <c:spPr>
            <a:solidFill>
              <a:schemeClr val="accent2">
                <a:lumMod val="80000"/>
                <a:lumOff val="20000"/>
              </a:schemeClr>
            </a:solidFill>
            <a:ln>
              <a:noFill/>
            </a:ln>
            <a:effectLst/>
          </c:spPr>
          <c:invertIfNegative val="0"/>
          <c:cat>
            <c:strRef>
              <c:f>'WTP Main'!$A$191</c:f>
              <c:strCache>
                <c:ptCount val="1"/>
                <c:pt idx="0">
                  <c:v>Leakage</c:v>
                </c:pt>
              </c:strCache>
            </c:strRef>
          </c:cat>
          <c:val>
            <c:numRef>
              <c:f>'WTP Main'!$L$191</c:f>
              <c:numCache>
                <c:formatCode>"£"#,##0</c:formatCode>
                <c:ptCount val="1"/>
                <c:pt idx="0">
                  <c:v>25690.002515798245</c:v>
                </c:pt>
              </c:numCache>
            </c:numRef>
          </c:val>
          <c:extLst xmlns:c16r2="http://schemas.microsoft.com/office/drawing/2015/06/chart">
            <c:ext xmlns:c16="http://schemas.microsoft.com/office/drawing/2014/chart" uri="{C3380CC4-5D6E-409C-BE32-E72D297353CC}">
              <c16:uniqueId val="{00000006-9F42-4D92-ADEE-B5EEBDED40DE}"/>
            </c:ext>
          </c:extLst>
        </c:ser>
        <c:dLbls>
          <c:showLegendKey val="0"/>
          <c:showVal val="0"/>
          <c:showCatName val="0"/>
          <c:showSerName val="0"/>
          <c:showPercent val="0"/>
          <c:showBubbleSize val="0"/>
        </c:dLbls>
        <c:gapWidth val="219"/>
        <c:overlap val="-27"/>
        <c:axId val="1364816192"/>
        <c:axId val="1364817824"/>
      </c:barChart>
      <c:catAx>
        <c:axId val="1364816192"/>
        <c:scaling>
          <c:orientation val="minMax"/>
        </c:scaling>
        <c:delete val="0"/>
        <c:axPos val="b"/>
        <c:numFmt formatCode="General" sourceLinked="1"/>
        <c:majorTickMark val="none"/>
        <c:minorTickMark val="none"/>
        <c:tickLblPos val="nextTo"/>
        <c:spPr>
          <a:noFill/>
          <a:ln w="9525" cap="flat" cmpd="sng" algn="ctr">
            <a:solidFill>
              <a:srgbClr val="000000"/>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64817824"/>
        <c:crosses val="autoZero"/>
        <c:auto val="1"/>
        <c:lblAlgn val="ctr"/>
        <c:lblOffset val="100"/>
        <c:noMultiLvlLbl val="0"/>
      </c:catAx>
      <c:valAx>
        <c:axId val="1364817824"/>
        <c:scaling>
          <c:orientation val="minMax"/>
          <c:max val="25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64816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SSW NHH WTP Unit Values and Range - Environmental Protection (£/Hectare/yr)</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Main'!$D$254</c:f>
              <c:strCache>
                <c:ptCount val="1"/>
                <c:pt idx="0">
                  <c:v>COMBINED</c:v>
                </c:pt>
              </c:strCache>
            </c:strRef>
          </c:tx>
          <c:spPr>
            <a:solidFill>
              <a:schemeClr val="accent2"/>
            </a:solidFill>
            <a:ln>
              <a:noFill/>
            </a:ln>
            <a:effectLst/>
          </c:spPr>
          <c:invertIfNegative val="0"/>
          <c:errBars>
            <c:errBarType val="both"/>
            <c:errValType val="cust"/>
            <c:noEndCap val="0"/>
            <c:plus>
              <c:numRef>
                <c:f>'WTP Main'!$R$255:$R$256</c:f>
                <c:numCache>
                  <c:formatCode>General</c:formatCode>
                  <c:ptCount val="2"/>
                  <c:pt idx="0">
                    <c:v>6323.6151913784252</c:v>
                  </c:pt>
                  <c:pt idx="1">
                    <c:v>3732.2195849672798</c:v>
                  </c:pt>
                </c:numCache>
              </c:numRef>
            </c:plus>
            <c:minus>
              <c:numRef>
                <c:f>'WTP Main'!$Q$255:$Q$256</c:f>
                <c:numCache>
                  <c:formatCode>General</c:formatCode>
                  <c:ptCount val="2"/>
                  <c:pt idx="0">
                    <c:v>6771.4248086215757</c:v>
                  </c:pt>
                  <c:pt idx="1">
                    <c:v>3470.0524150327196</c:v>
                  </c:pt>
                </c:numCache>
              </c:numRef>
            </c:minus>
            <c:spPr>
              <a:noFill/>
              <a:ln w="9525" cap="flat" cmpd="sng" algn="ctr">
                <a:solidFill>
                  <a:srgbClr val="000000"/>
                </a:solidFill>
                <a:round/>
              </a:ln>
              <a:effectLst/>
            </c:spPr>
          </c:errBars>
          <c:cat>
            <c:strRef>
              <c:f>'WTP Main'!$A$255:$A$256</c:f>
              <c:strCache>
                <c:ptCount val="2"/>
                <c:pt idx="0">
                  <c:v>Protecting wildlife habitats</c:v>
                </c:pt>
                <c:pt idx="1">
                  <c:v>Managing impacts on rivers &amp; streams</c:v>
                </c:pt>
              </c:strCache>
            </c:strRef>
          </c:cat>
          <c:val>
            <c:numRef>
              <c:f>'WTP Main'!$D$255:$D$256</c:f>
              <c:numCache>
                <c:formatCode>"£"#,##0</c:formatCode>
                <c:ptCount val="2"/>
                <c:pt idx="0">
                  <c:v>8464.2810107769692</c:v>
                </c:pt>
                <c:pt idx="1">
                  <c:v>5974.4455187908998</c:v>
                </c:pt>
              </c:numCache>
            </c:numRef>
          </c:val>
          <c:extLst xmlns:c16r2="http://schemas.microsoft.com/office/drawing/2015/06/chart">
            <c:ext xmlns:c16="http://schemas.microsoft.com/office/drawing/2014/chart" uri="{C3380CC4-5D6E-409C-BE32-E72D297353CC}">
              <c16:uniqueId val="{00000000-6EEE-41FC-AF84-1CE1A1545388}"/>
            </c:ext>
          </c:extLst>
        </c:ser>
        <c:ser>
          <c:idx val="1"/>
          <c:order val="1"/>
          <c:tx>
            <c:strRef>
              <c:f>'WTP Main'!$E$254</c:f>
              <c:strCache>
                <c:ptCount val="1"/>
                <c:pt idx="0">
                  <c:v>WTPCore_DCE</c:v>
                </c:pt>
              </c:strCache>
            </c:strRef>
          </c:tx>
          <c:spPr>
            <a:solidFill>
              <a:schemeClr val="accent4"/>
            </a:solidFill>
            <a:ln>
              <a:noFill/>
            </a:ln>
            <a:effectLst/>
          </c:spPr>
          <c:invertIfNegative val="0"/>
          <c:cat>
            <c:strRef>
              <c:f>'WTP Main'!$A$255:$A$256</c:f>
              <c:strCache>
                <c:ptCount val="2"/>
                <c:pt idx="0">
                  <c:v>Protecting wildlife habitats</c:v>
                </c:pt>
                <c:pt idx="1">
                  <c:v>Managing impacts on rivers &amp; streams</c:v>
                </c:pt>
              </c:strCache>
            </c:strRef>
          </c:cat>
          <c:val>
            <c:numRef>
              <c:f>'WTP Main'!$E$255:$E$256</c:f>
              <c:numCache>
                <c:formatCode>"£"#,##0</c:formatCode>
                <c:ptCount val="2"/>
                <c:pt idx="0">
                  <c:v>8184.4</c:v>
                </c:pt>
                <c:pt idx="1">
                  <c:v>6547.52</c:v>
                </c:pt>
              </c:numCache>
            </c:numRef>
          </c:val>
          <c:extLst xmlns:c16r2="http://schemas.microsoft.com/office/drawing/2015/06/chart">
            <c:ext xmlns:c16="http://schemas.microsoft.com/office/drawing/2014/chart" uri="{C3380CC4-5D6E-409C-BE32-E72D297353CC}">
              <c16:uniqueId val="{00000001-6EEE-41FC-AF84-1CE1A1545388}"/>
            </c:ext>
          </c:extLst>
        </c:ser>
        <c:ser>
          <c:idx val="2"/>
          <c:order val="2"/>
          <c:tx>
            <c:strRef>
              <c:f>'WTP Main'!$F$254</c:f>
              <c:strCache>
                <c:ptCount val="1"/>
                <c:pt idx="0">
                  <c:v>WTPCore_DCE2</c:v>
                </c:pt>
              </c:strCache>
            </c:strRef>
          </c:tx>
          <c:spPr>
            <a:solidFill>
              <a:schemeClr val="accent6"/>
            </a:solidFill>
            <a:ln>
              <a:noFill/>
            </a:ln>
            <a:effectLst/>
          </c:spPr>
          <c:invertIfNegative val="0"/>
          <c:cat>
            <c:strRef>
              <c:f>'WTP Main'!$A$255:$A$256</c:f>
              <c:strCache>
                <c:ptCount val="2"/>
                <c:pt idx="0">
                  <c:v>Protecting wildlife habitats</c:v>
                </c:pt>
                <c:pt idx="1">
                  <c:v>Managing impacts on rivers &amp; streams</c:v>
                </c:pt>
              </c:strCache>
            </c:strRef>
          </c:cat>
          <c:val>
            <c:numRef>
              <c:f>'WTP Main'!$F$255:$F$256</c:f>
              <c:numCache>
                <c:formatCode>"£"#,##0</c:formatCode>
                <c:ptCount val="2"/>
                <c:pt idx="0">
                  <c:v>5978.637071618562</c:v>
                </c:pt>
                <c:pt idx="1">
                  <c:v>6298.8109000190461</c:v>
                </c:pt>
              </c:numCache>
            </c:numRef>
          </c:val>
          <c:extLst xmlns:c16r2="http://schemas.microsoft.com/office/drawing/2015/06/chart">
            <c:ext xmlns:c16="http://schemas.microsoft.com/office/drawing/2014/chart" uri="{C3380CC4-5D6E-409C-BE32-E72D297353CC}">
              <c16:uniqueId val="{00000002-6EEE-41FC-AF84-1CE1A1545388}"/>
            </c:ext>
          </c:extLst>
        </c:ser>
        <c:ser>
          <c:idx val="3"/>
          <c:order val="3"/>
          <c:tx>
            <c:strRef>
              <c:f>'WTP Main'!$G$254</c:f>
              <c:strCache>
                <c:ptCount val="1"/>
                <c:pt idx="0">
                  <c:v>WTP core_DCE_Private</c:v>
                </c:pt>
              </c:strCache>
            </c:strRef>
          </c:tx>
          <c:spPr>
            <a:solidFill>
              <a:schemeClr val="accent2">
                <a:lumMod val="60000"/>
              </a:schemeClr>
            </a:solidFill>
            <a:ln>
              <a:noFill/>
            </a:ln>
            <a:effectLst/>
          </c:spPr>
          <c:invertIfNegative val="0"/>
          <c:cat>
            <c:strRef>
              <c:f>'WTP Main'!$A$255:$A$256</c:f>
              <c:strCache>
                <c:ptCount val="2"/>
                <c:pt idx="0">
                  <c:v>Protecting wildlife habitats</c:v>
                </c:pt>
                <c:pt idx="1">
                  <c:v>Managing impacts on rivers &amp; streams</c:v>
                </c:pt>
              </c:strCache>
            </c:strRef>
          </c:cat>
          <c:val>
            <c:numRef>
              <c:f>'WTP Main'!$G$255:$G$256</c:f>
              <c:numCache>
                <c:formatCode>"£"#,##0</c:formatCode>
                <c:ptCount val="2"/>
                <c:pt idx="0">
                  <c:v>6547.52</c:v>
                </c:pt>
                <c:pt idx="1">
                  <c:v>6547.52</c:v>
                </c:pt>
              </c:numCache>
            </c:numRef>
          </c:val>
          <c:extLst xmlns:c16r2="http://schemas.microsoft.com/office/drawing/2015/06/chart">
            <c:ext xmlns:c16="http://schemas.microsoft.com/office/drawing/2014/chart" uri="{C3380CC4-5D6E-409C-BE32-E72D297353CC}">
              <c16:uniqueId val="{00000003-6EEE-41FC-AF84-1CE1A1545388}"/>
            </c:ext>
          </c:extLst>
        </c:ser>
        <c:ser>
          <c:idx val="4"/>
          <c:order val="4"/>
          <c:tx>
            <c:strRef>
              <c:f>'WTP Main'!$K$254</c:f>
              <c:strCache>
                <c:ptCount val="1"/>
                <c:pt idx="0">
                  <c:v>ExternalWTP19</c:v>
                </c:pt>
              </c:strCache>
            </c:strRef>
          </c:tx>
          <c:spPr>
            <a:solidFill>
              <a:schemeClr val="accent4">
                <a:lumMod val="60000"/>
              </a:schemeClr>
            </a:solidFill>
            <a:ln>
              <a:noFill/>
            </a:ln>
            <a:effectLst/>
          </c:spPr>
          <c:invertIfNegative val="0"/>
          <c:cat>
            <c:strRef>
              <c:f>'WTP Main'!$A$255:$A$256</c:f>
              <c:strCache>
                <c:ptCount val="2"/>
                <c:pt idx="0">
                  <c:v>Protecting wildlife habitats</c:v>
                </c:pt>
                <c:pt idx="1">
                  <c:v>Managing impacts on rivers &amp; streams</c:v>
                </c:pt>
              </c:strCache>
            </c:strRef>
          </c:cat>
          <c:val>
            <c:numRef>
              <c:f>'WTP Main'!$K$255:$K$256</c:f>
              <c:numCache>
                <c:formatCode>"£"#,##0</c:formatCode>
                <c:ptCount val="2"/>
                <c:pt idx="0">
                  <c:v>5247.5182374965852</c:v>
                </c:pt>
              </c:numCache>
            </c:numRef>
          </c:val>
          <c:extLst xmlns:c16r2="http://schemas.microsoft.com/office/drawing/2015/06/chart">
            <c:ext xmlns:c16="http://schemas.microsoft.com/office/drawing/2014/chart" uri="{C3380CC4-5D6E-409C-BE32-E72D297353CC}">
              <c16:uniqueId val="{00000004-6EEE-41FC-AF84-1CE1A1545388}"/>
            </c:ext>
          </c:extLst>
        </c:ser>
        <c:ser>
          <c:idx val="5"/>
          <c:order val="5"/>
          <c:tx>
            <c:strRef>
              <c:f>'WTP Main'!$L$254</c:f>
              <c:strCache>
                <c:ptCount val="1"/>
                <c:pt idx="0">
                  <c:v>WTPCore_MaxDiff</c:v>
                </c:pt>
              </c:strCache>
            </c:strRef>
          </c:tx>
          <c:spPr>
            <a:solidFill>
              <a:schemeClr val="accent6">
                <a:lumMod val="60000"/>
              </a:schemeClr>
            </a:solidFill>
            <a:ln>
              <a:noFill/>
            </a:ln>
            <a:effectLst/>
          </c:spPr>
          <c:invertIfNegative val="0"/>
          <c:cat>
            <c:strRef>
              <c:f>'WTP Main'!$A$255:$A$256</c:f>
              <c:strCache>
                <c:ptCount val="2"/>
                <c:pt idx="0">
                  <c:v>Protecting wildlife habitats</c:v>
                </c:pt>
                <c:pt idx="1">
                  <c:v>Managing impacts on rivers &amp; streams</c:v>
                </c:pt>
              </c:strCache>
            </c:strRef>
          </c:cat>
          <c:val>
            <c:numRef>
              <c:f>'WTP Main'!$L$255:$L$256</c:f>
              <c:numCache>
                <c:formatCode>"£"#,##0</c:formatCode>
                <c:ptCount val="2"/>
                <c:pt idx="0">
                  <c:v>15603.712297287921</c:v>
                </c:pt>
                <c:pt idx="1">
                  <c:v>4179.5657939164075</c:v>
                </c:pt>
              </c:numCache>
            </c:numRef>
          </c:val>
          <c:extLst xmlns:c16r2="http://schemas.microsoft.com/office/drawing/2015/06/chart">
            <c:ext xmlns:c16="http://schemas.microsoft.com/office/drawing/2014/chart" uri="{C3380CC4-5D6E-409C-BE32-E72D297353CC}">
              <c16:uniqueId val="{00000005-6EEE-41FC-AF84-1CE1A1545388}"/>
            </c:ext>
          </c:extLst>
        </c:ser>
        <c:dLbls>
          <c:showLegendKey val="0"/>
          <c:showVal val="0"/>
          <c:showCatName val="0"/>
          <c:showSerName val="0"/>
          <c:showPercent val="0"/>
          <c:showBubbleSize val="0"/>
        </c:dLbls>
        <c:gapWidth val="219"/>
        <c:overlap val="-27"/>
        <c:axId val="1355781504"/>
        <c:axId val="1355772256"/>
      </c:barChart>
      <c:catAx>
        <c:axId val="1355781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55772256"/>
        <c:crosses val="autoZero"/>
        <c:auto val="1"/>
        <c:lblAlgn val="ctr"/>
        <c:lblOffset val="100"/>
        <c:noMultiLvlLbl val="0"/>
      </c:catAx>
      <c:valAx>
        <c:axId val="1355772256"/>
        <c:scaling>
          <c:orientation val="minMax"/>
          <c:max val="4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55781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ysClr val="windowText" lastClr="000000"/>
                </a:solidFill>
                <a:effectLst/>
              </a:rPr>
              <a:t>SSW NHH WTP Unit Values and Range - Traffic Disruption (£/Roadworks/yr)</a:t>
            </a:r>
            <a:endParaRPr lang="en-GB">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Main'!$D$283</c:f>
              <c:strCache>
                <c:ptCount val="1"/>
                <c:pt idx="0">
                  <c:v>COMBINED</c:v>
                </c:pt>
              </c:strCache>
            </c:strRef>
          </c:tx>
          <c:spPr>
            <a:solidFill>
              <a:schemeClr val="accent2"/>
            </a:solidFill>
            <a:ln>
              <a:noFill/>
            </a:ln>
            <a:effectLst/>
          </c:spPr>
          <c:invertIfNegative val="0"/>
          <c:errBars>
            <c:errBarType val="both"/>
            <c:errValType val="cust"/>
            <c:noEndCap val="0"/>
            <c:plus>
              <c:numRef>
                <c:f>'WTP Main'!$Q$284</c:f>
                <c:numCache>
                  <c:formatCode>General</c:formatCode>
                  <c:ptCount val="1"/>
                  <c:pt idx="0">
                    <c:v>614.52715560523006</c:v>
                  </c:pt>
                </c:numCache>
              </c:numRef>
            </c:plus>
            <c:minus>
              <c:numRef>
                <c:f>'WTP Main'!$P$284</c:f>
                <c:numCache>
                  <c:formatCode>General</c:formatCode>
                  <c:ptCount val="1"/>
                  <c:pt idx="0">
                    <c:v>572.32314837026024</c:v>
                  </c:pt>
                </c:numCache>
              </c:numRef>
            </c:minus>
            <c:spPr>
              <a:noFill/>
              <a:ln w="9525" cap="flat" cmpd="sng" algn="ctr">
                <a:solidFill>
                  <a:srgbClr val="000000"/>
                </a:solidFill>
                <a:round/>
              </a:ln>
              <a:effectLst/>
            </c:spPr>
          </c:errBars>
          <c:cat>
            <c:strRef>
              <c:f>'WTP Main'!$A$284</c:f>
              <c:strCache>
                <c:ptCount val="1"/>
                <c:pt idx="0">
                  <c:v>Traffic disruption</c:v>
                </c:pt>
              </c:strCache>
            </c:strRef>
          </c:cat>
          <c:val>
            <c:numRef>
              <c:f>'WTP Main'!$D$284</c:f>
              <c:numCache>
                <c:formatCode>"£"#,##0</c:formatCode>
                <c:ptCount val="1"/>
                <c:pt idx="0">
                  <c:v>1102.149036332768</c:v>
                </c:pt>
              </c:numCache>
            </c:numRef>
          </c:val>
          <c:extLst xmlns:c16r2="http://schemas.microsoft.com/office/drawing/2015/06/chart">
            <c:ext xmlns:c16="http://schemas.microsoft.com/office/drawing/2014/chart" uri="{C3380CC4-5D6E-409C-BE32-E72D297353CC}">
              <c16:uniqueId val="{00000000-FDB0-4AFB-969D-E6BFF663A389}"/>
            </c:ext>
          </c:extLst>
        </c:ser>
        <c:ser>
          <c:idx val="1"/>
          <c:order val="1"/>
          <c:tx>
            <c:strRef>
              <c:f>'WTP Main'!$E$283</c:f>
              <c:strCache>
                <c:ptCount val="1"/>
                <c:pt idx="0">
                  <c:v>WTPCore_DCE</c:v>
                </c:pt>
              </c:strCache>
            </c:strRef>
          </c:tx>
          <c:spPr>
            <a:solidFill>
              <a:schemeClr val="accent4"/>
            </a:solidFill>
            <a:ln>
              <a:noFill/>
            </a:ln>
            <a:effectLst/>
          </c:spPr>
          <c:invertIfNegative val="0"/>
          <c:cat>
            <c:strRef>
              <c:f>'WTP Main'!$A$284</c:f>
              <c:strCache>
                <c:ptCount val="1"/>
                <c:pt idx="0">
                  <c:v>Traffic disruption</c:v>
                </c:pt>
              </c:strCache>
            </c:strRef>
          </c:cat>
          <c:val>
            <c:numRef>
              <c:f>'WTP Main'!$E$284</c:f>
              <c:numCache>
                <c:formatCode>"£"#,##0</c:formatCode>
                <c:ptCount val="1"/>
                <c:pt idx="0">
                  <c:v>896.9205479452055</c:v>
                </c:pt>
              </c:numCache>
            </c:numRef>
          </c:val>
          <c:extLst xmlns:c16r2="http://schemas.microsoft.com/office/drawing/2015/06/chart">
            <c:ext xmlns:c16="http://schemas.microsoft.com/office/drawing/2014/chart" uri="{C3380CC4-5D6E-409C-BE32-E72D297353CC}">
              <c16:uniqueId val="{00000001-FDB0-4AFB-969D-E6BFF663A389}"/>
            </c:ext>
          </c:extLst>
        </c:ser>
        <c:ser>
          <c:idx val="2"/>
          <c:order val="2"/>
          <c:tx>
            <c:strRef>
              <c:f>'WTP Main'!$K$283</c:f>
              <c:strCache>
                <c:ptCount val="1"/>
                <c:pt idx="0">
                  <c:v>ExternalWTP19</c:v>
                </c:pt>
              </c:strCache>
            </c:strRef>
          </c:tx>
          <c:spPr>
            <a:solidFill>
              <a:schemeClr val="accent6"/>
            </a:solidFill>
            <a:ln>
              <a:noFill/>
            </a:ln>
            <a:effectLst/>
          </c:spPr>
          <c:invertIfNegative val="0"/>
          <c:cat>
            <c:strRef>
              <c:f>'WTP Main'!$A$284</c:f>
              <c:strCache>
                <c:ptCount val="1"/>
                <c:pt idx="0">
                  <c:v>Traffic disruption</c:v>
                </c:pt>
              </c:strCache>
            </c:strRef>
          </c:cat>
          <c:val>
            <c:numRef>
              <c:f>'WTP Main'!$K$284</c:f>
              <c:numCache>
                <c:formatCode>"£"#,##0</c:formatCode>
                <c:ptCount val="1"/>
                <c:pt idx="0">
                  <c:v>386.74510086994275</c:v>
                </c:pt>
              </c:numCache>
            </c:numRef>
          </c:val>
          <c:extLst xmlns:c16r2="http://schemas.microsoft.com/office/drawing/2015/06/chart">
            <c:ext xmlns:c16="http://schemas.microsoft.com/office/drawing/2014/chart" uri="{C3380CC4-5D6E-409C-BE32-E72D297353CC}">
              <c16:uniqueId val="{00000002-FDB0-4AFB-969D-E6BFF663A389}"/>
            </c:ext>
          </c:extLst>
        </c:ser>
        <c:ser>
          <c:idx val="3"/>
          <c:order val="3"/>
          <c:tx>
            <c:strRef>
              <c:f>'WTP Main'!$L$283</c:f>
              <c:strCache>
                <c:ptCount val="1"/>
                <c:pt idx="0">
                  <c:v>WTPCore_MaxDiff</c:v>
                </c:pt>
              </c:strCache>
            </c:strRef>
          </c:tx>
          <c:spPr>
            <a:solidFill>
              <a:schemeClr val="accent2">
                <a:lumMod val="60000"/>
              </a:schemeClr>
            </a:solidFill>
            <a:ln>
              <a:noFill/>
            </a:ln>
            <a:effectLst/>
          </c:spPr>
          <c:invertIfNegative val="0"/>
          <c:cat>
            <c:strRef>
              <c:f>'WTP Main'!$A$284</c:f>
              <c:strCache>
                <c:ptCount val="1"/>
                <c:pt idx="0">
                  <c:v>Traffic disruption</c:v>
                </c:pt>
              </c:strCache>
            </c:strRef>
          </c:cat>
          <c:val>
            <c:numRef>
              <c:f>'WTP Main'!$L$284</c:f>
              <c:numCache>
                <c:formatCode>"£"#,##0</c:formatCode>
                <c:ptCount val="1"/>
                <c:pt idx="0">
                  <c:v>1870.3079808393054</c:v>
                </c:pt>
              </c:numCache>
            </c:numRef>
          </c:val>
          <c:extLst xmlns:c16r2="http://schemas.microsoft.com/office/drawing/2015/06/chart">
            <c:ext xmlns:c16="http://schemas.microsoft.com/office/drawing/2014/chart" uri="{C3380CC4-5D6E-409C-BE32-E72D297353CC}">
              <c16:uniqueId val="{00000003-FDB0-4AFB-969D-E6BFF663A389}"/>
            </c:ext>
          </c:extLst>
        </c:ser>
        <c:dLbls>
          <c:showLegendKey val="0"/>
          <c:showVal val="0"/>
          <c:showCatName val="0"/>
          <c:showSerName val="0"/>
          <c:showPercent val="0"/>
          <c:showBubbleSize val="0"/>
        </c:dLbls>
        <c:gapWidth val="219"/>
        <c:overlap val="-27"/>
        <c:axId val="1355776608"/>
        <c:axId val="1355778240"/>
      </c:barChart>
      <c:catAx>
        <c:axId val="135577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55778240"/>
        <c:crosses val="autoZero"/>
        <c:auto val="1"/>
        <c:lblAlgn val="ctr"/>
        <c:lblOffset val="100"/>
        <c:noMultiLvlLbl val="0"/>
      </c:catAx>
      <c:valAx>
        <c:axId val="1355778240"/>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5577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ysClr val="windowText" lastClr="000000"/>
                </a:solidFill>
                <a:effectLst/>
              </a:rPr>
              <a:t>CAM NHH WTP Unit Values and Range - Services at Property</a:t>
            </a:r>
            <a:endParaRPr lang="en-GB" sz="1400">
              <a:solidFill>
                <a:sysClr val="windowText" lastClr="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Main'!$BS$134</c:f>
              <c:strCache>
                <c:ptCount val="1"/>
                <c:pt idx="0">
                  <c:v>COMBINED</c:v>
                </c:pt>
              </c:strCache>
            </c:strRef>
          </c:tx>
          <c:spPr>
            <a:solidFill>
              <a:schemeClr val="accent2"/>
            </a:solidFill>
            <a:ln>
              <a:noFill/>
            </a:ln>
            <a:effectLst/>
          </c:spPr>
          <c:invertIfNegative val="0"/>
          <c:errBars>
            <c:errBarType val="both"/>
            <c:errValType val="cust"/>
            <c:noEndCap val="0"/>
            <c:plus>
              <c:numRef>
                <c:f>'WTP Main'!$CG$135:$CG$142</c:f>
                <c:numCache>
                  <c:formatCode>General</c:formatCode>
                  <c:ptCount val="8"/>
                  <c:pt idx="0">
                    <c:v>6386.4126232589679</c:v>
                  </c:pt>
                  <c:pt idx="1">
                    <c:v>754.57552104753358</c:v>
                  </c:pt>
                  <c:pt idx="2">
                    <c:v>430.70948388909653</c:v>
                  </c:pt>
                  <c:pt idx="3">
                    <c:v>1605.8100640954663</c:v>
                  </c:pt>
                  <c:pt idx="4">
                    <c:v>98716.435712830731</c:v>
                  </c:pt>
                  <c:pt idx="5">
                    <c:v>1878.1346536658039</c:v>
                  </c:pt>
                  <c:pt idx="6">
                    <c:v>78.714688721419392</c:v>
                  </c:pt>
                  <c:pt idx="7">
                    <c:v>122.99367491949921</c:v>
                  </c:pt>
                </c:numCache>
              </c:numRef>
            </c:plus>
            <c:minus>
              <c:numRef>
                <c:f>'WTP Main'!$CF$135:$CF$142</c:f>
                <c:numCache>
                  <c:formatCode>General</c:formatCode>
                  <c:ptCount val="8"/>
                  <c:pt idx="0">
                    <c:v>1212.9746107835831</c:v>
                  </c:pt>
                  <c:pt idx="1">
                    <c:v>1660.5978143251718</c:v>
                  </c:pt>
                  <c:pt idx="2">
                    <c:v>349.34249580482083</c:v>
                  </c:pt>
                  <c:pt idx="3">
                    <c:v>232.11412131806713</c:v>
                  </c:pt>
                  <c:pt idx="4">
                    <c:v>829.71583675138595</c:v>
                  </c:pt>
                  <c:pt idx="5">
                    <c:v>384.56976419390116</c:v>
                  </c:pt>
                  <c:pt idx="6">
                    <c:v>49.134339046719077</c:v>
                  </c:pt>
                  <c:pt idx="7">
                    <c:v>12.958665506032695</c:v>
                  </c:pt>
                </c:numCache>
              </c:numRef>
            </c:minus>
            <c:spPr>
              <a:noFill/>
              <a:ln w="9525" cap="flat" cmpd="sng" algn="ctr">
                <a:solidFill>
                  <a:srgbClr val="000000"/>
                </a:solidFill>
                <a:round/>
              </a:ln>
              <a:effectLst/>
            </c:spPr>
          </c:errBars>
          <c:cat>
            <c:strRef>
              <c:f>'WTP Main'!$A$135:$A$142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Main'!$BS$135:$BS$142</c:f>
              <c:numCache>
                <c:formatCode>"£"#,##0</c:formatCode>
                <c:ptCount val="8"/>
                <c:pt idx="0">
                  <c:v>1516.218263479479</c:v>
                </c:pt>
                <c:pt idx="1">
                  <c:v>2106.9933646480299</c:v>
                </c:pt>
                <c:pt idx="2">
                  <c:v>443.56568292257293</c:v>
                </c:pt>
                <c:pt idx="3">
                  <c:v>290.14397652794304</c:v>
                </c:pt>
                <c:pt idx="4">
                  <c:v>1182.393022889587</c:v>
                </c:pt>
                <c:pt idx="5">
                  <c:v>698.5845456679084</c:v>
                </c:pt>
                <c:pt idx="6">
                  <c:v>84.595832364306503</c:v>
                </c:pt>
                <c:pt idx="7">
                  <c:v>35.806842520838742</c:v>
                </c:pt>
              </c:numCache>
            </c:numRef>
          </c:val>
          <c:extLst xmlns:c16r2="http://schemas.microsoft.com/office/drawing/2015/06/chart">
            <c:ext xmlns:c16="http://schemas.microsoft.com/office/drawing/2014/chart" uri="{C3380CC4-5D6E-409C-BE32-E72D297353CC}">
              <c16:uniqueId val="{00000000-D848-4F9C-A389-19E0581BCA6C}"/>
            </c:ext>
          </c:extLst>
        </c:ser>
        <c:ser>
          <c:idx val="1"/>
          <c:order val="1"/>
          <c:tx>
            <c:strRef>
              <c:f>'WTP Main'!$BT$134</c:f>
              <c:strCache>
                <c:ptCount val="1"/>
                <c:pt idx="0">
                  <c:v>WTPCore_DCE</c:v>
                </c:pt>
              </c:strCache>
            </c:strRef>
          </c:tx>
          <c:spPr>
            <a:solidFill>
              <a:schemeClr val="accent4"/>
            </a:solidFill>
            <a:ln>
              <a:noFill/>
            </a:ln>
            <a:effectLst/>
          </c:spPr>
          <c:invertIfNegative val="0"/>
          <c:cat>
            <c:strRef>
              <c:f>'WTP Main'!$A$135:$A$142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Main'!$BT$135:$BT$142</c:f>
              <c:numCache>
                <c:formatCode>"£"#,##0</c:formatCode>
                <c:ptCount val="8"/>
                <c:pt idx="0">
                  <c:v>784.34042553191466</c:v>
                </c:pt>
                <c:pt idx="1">
                  <c:v>2614.4680851063827</c:v>
                </c:pt>
                <c:pt idx="2">
                  <c:v>90.78014184397162</c:v>
                </c:pt>
                <c:pt idx="3">
                  <c:v>5.8099290780141848</c:v>
                </c:pt>
                <c:pt idx="4">
                  <c:v>181.56028368794324</c:v>
                </c:pt>
                <c:pt idx="5">
                  <c:v>290.49645390070918</c:v>
                </c:pt>
                <c:pt idx="6">
                  <c:v>23.177908555907649</c:v>
                </c:pt>
                <c:pt idx="7">
                  <c:v>22.876595744680852</c:v>
                </c:pt>
              </c:numCache>
            </c:numRef>
          </c:val>
          <c:extLst xmlns:c16r2="http://schemas.microsoft.com/office/drawing/2015/06/chart">
            <c:ext xmlns:c16="http://schemas.microsoft.com/office/drawing/2014/chart" uri="{C3380CC4-5D6E-409C-BE32-E72D297353CC}">
              <c16:uniqueId val="{00000001-D848-4F9C-A389-19E0581BCA6C}"/>
            </c:ext>
          </c:extLst>
        </c:ser>
        <c:ser>
          <c:idx val="2"/>
          <c:order val="2"/>
          <c:tx>
            <c:strRef>
              <c:f>'WTP Main'!$BU$134</c:f>
              <c:strCache>
                <c:ptCount val="1"/>
                <c:pt idx="0">
                  <c:v>WTPCore_DCE2</c:v>
                </c:pt>
              </c:strCache>
            </c:strRef>
          </c:tx>
          <c:spPr>
            <a:solidFill>
              <a:schemeClr val="accent6"/>
            </a:solidFill>
            <a:ln>
              <a:noFill/>
            </a:ln>
            <a:effectLst/>
          </c:spPr>
          <c:invertIfNegative val="0"/>
          <c:cat>
            <c:strRef>
              <c:f>'WTP Main'!$A$135:$A$142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Main'!$BU$135:$BU$142</c:f>
              <c:numCache>
                <c:formatCode>"£"#,##0</c:formatCode>
                <c:ptCount val="8"/>
                <c:pt idx="0">
                  <c:v>146.33957182198631</c:v>
                </c:pt>
                <c:pt idx="1">
                  <c:v>55.166819369133727</c:v>
                </c:pt>
                <c:pt idx="2">
                  <c:v>12.15176348156276</c:v>
                </c:pt>
                <c:pt idx="3">
                  <c:v>2252.6034487450415</c:v>
                </c:pt>
                <c:pt idx="4">
                  <c:v>4536.682431842446</c:v>
                </c:pt>
                <c:pt idx="5">
                  <c:v>3003.7798612861075</c:v>
                </c:pt>
                <c:pt idx="6">
                  <c:v>71.767833306117126</c:v>
                </c:pt>
                <c:pt idx="7">
                  <c:v>146.88959917787989</c:v>
                </c:pt>
              </c:numCache>
            </c:numRef>
          </c:val>
          <c:extLst xmlns:c16r2="http://schemas.microsoft.com/office/drawing/2015/06/chart">
            <c:ext xmlns:c16="http://schemas.microsoft.com/office/drawing/2014/chart" uri="{C3380CC4-5D6E-409C-BE32-E72D297353CC}">
              <c16:uniqueId val="{00000002-D848-4F9C-A389-19E0581BCA6C}"/>
            </c:ext>
          </c:extLst>
        </c:ser>
        <c:ser>
          <c:idx val="3"/>
          <c:order val="3"/>
          <c:tx>
            <c:strRef>
              <c:f>'WTP Main'!$BV$134</c:f>
              <c:strCache>
                <c:ptCount val="1"/>
                <c:pt idx="0">
                  <c:v>WTP core_DCE_Private</c:v>
                </c:pt>
              </c:strCache>
            </c:strRef>
          </c:tx>
          <c:spPr>
            <a:solidFill>
              <a:schemeClr val="accent2">
                <a:lumMod val="60000"/>
              </a:schemeClr>
            </a:solidFill>
            <a:ln>
              <a:noFill/>
            </a:ln>
            <a:effectLst/>
          </c:spPr>
          <c:invertIfNegative val="0"/>
          <c:cat>
            <c:strRef>
              <c:f>'WTP Main'!$A$135:$A$142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Main'!$BV$135:$BV$142</c:f>
              <c:numCache>
                <c:formatCode>"£"#,##0</c:formatCode>
                <c:ptCount val="8"/>
                <c:pt idx="0">
                  <c:v>9499.2340425531893</c:v>
                </c:pt>
                <c:pt idx="1">
                  <c:v>1394.382978723404</c:v>
                </c:pt>
                <c:pt idx="2">
                  <c:v>261.44680851063822</c:v>
                </c:pt>
                <c:pt idx="3">
                  <c:v>51.563120567375883</c:v>
                </c:pt>
                <c:pt idx="4">
                  <c:v>1864.018912529551</c:v>
                </c:pt>
                <c:pt idx="5">
                  <c:v>1752.5106382978724</c:v>
                </c:pt>
                <c:pt idx="6">
                  <c:v>59.914893617021271</c:v>
                </c:pt>
                <c:pt idx="7">
                  <c:v>189.54893617021276</c:v>
                </c:pt>
              </c:numCache>
            </c:numRef>
          </c:val>
          <c:extLst xmlns:c16r2="http://schemas.microsoft.com/office/drawing/2015/06/chart">
            <c:ext xmlns:c16="http://schemas.microsoft.com/office/drawing/2014/chart" uri="{C3380CC4-5D6E-409C-BE32-E72D297353CC}">
              <c16:uniqueId val="{00000003-D848-4F9C-A389-19E0581BCA6C}"/>
            </c:ext>
          </c:extLst>
        </c:ser>
        <c:ser>
          <c:idx val="4"/>
          <c:order val="4"/>
          <c:tx>
            <c:strRef>
              <c:f>'WTP Main'!$BY$134</c:f>
              <c:strCache>
                <c:ptCount val="1"/>
                <c:pt idx="0">
                  <c:v>ExternalWTP14</c:v>
                </c:pt>
              </c:strCache>
            </c:strRef>
          </c:tx>
          <c:spPr>
            <a:solidFill>
              <a:schemeClr val="accent4">
                <a:lumMod val="60000"/>
              </a:schemeClr>
            </a:solidFill>
            <a:ln>
              <a:noFill/>
            </a:ln>
            <a:effectLst/>
          </c:spPr>
          <c:invertIfNegative val="0"/>
          <c:cat>
            <c:strRef>
              <c:f>'WTP Main'!$A$135:$A$142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Main'!$BY$135:$BY$142</c:f>
              <c:numCache>
                <c:formatCode>"£"#,##0</c:formatCode>
                <c:ptCount val="8"/>
                <c:pt idx="2">
                  <c:v>415.40639782147497</c:v>
                </c:pt>
                <c:pt idx="3" formatCode="&quot;£&quot;#,##0.000">
                  <c:v>1.3248803591268139E-3</c:v>
                </c:pt>
                <c:pt idx="4">
                  <c:v>1733.6259336177989</c:v>
                </c:pt>
                <c:pt idx="5">
                  <c:v>991.44746136180504</c:v>
                </c:pt>
                <c:pt idx="6">
                  <c:v>73.005098116450924</c:v>
                </c:pt>
              </c:numCache>
            </c:numRef>
          </c:val>
          <c:extLst xmlns:c16r2="http://schemas.microsoft.com/office/drawing/2015/06/chart">
            <c:ext xmlns:c16="http://schemas.microsoft.com/office/drawing/2014/chart" uri="{C3380CC4-5D6E-409C-BE32-E72D297353CC}">
              <c16:uniqueId val="{00000004-D848-4F9C-A389-19E0581BCA6C}"/>
            </c:ext>
          </c:extLst>
        </c:ser>
        <c:ser>
          <c:idx val="5"/>
          <c:order val="5"/>
          <c:tx>
            <c:strRef>
              <c:f>'WTP Main'!$BZ$134</c:f>
              <c:strCache>
                <c:ptCount val="1"/>
                <c:pt idx="0">
                  <c:v>ExternalWTP19</c:v>
                </c:pt>
              </c:strCache>
            </c:strRef>
          </c:tx>
          <c:spPr>
            <a:solidFill>
              <a:schemeClr val="accent6">
                <a:lumMod val="60000"/>
              </a:schemeClr>
            </a:solidFill>
            <a:ln>
              <a:noFill/>
            </a:ln>
            <a:effectLst/>
          </c:spPr>
          <c:invertIfNegative val="0"/>
          <c:cat>
            <c:strRef>
              <c:f>'WTP Main'!$A$135:$A$142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Main'!$BZ$135:$BZ$142</c:f>
              <c:numCache>
                <c:formatCode>"£"#,##0</c:formatCode>
                <c:ptCount val="8"/>
                <c:pt idx="0">
                  <c:v>1663.9180636415065</c:v>
                </c:pt>
                <c:pt idx="2">
                  <c:v>789.19785155467605</c:v>
                </c:pt>
                <c:pt idx="4">
                  <c:v>1821.9422844400433</c:v>
                </c:pt>
                <c:pt idx="5">
                  <c:v>482.08031748002361</c:v>
                </c:pt>
                <c:pt idx="6">
                  <c:v>182.98919326608075</c:v>
                </c:pt>
              </c:numCache>
            </c:numRef>
          </c:val>
          <c:extLst xmlns:c16r2="http://schemas.microsoft.com/office/drawing/2015/06/chart">
            <c:ext xmlns:c16="http://schemas.microsoft.com/office/drawing/2014/chart" uri="{C3380CC4-5D6E-409C-BE32-E72D297353CC}">
              <c16:uniqueId val="{00000005-D848-4F9C-A389-19E0581BCA6C}"/>
            </c:ext>
          </c:extLst>
        </c:ser>
        <c:ser>
          <c:idx val="6"/>
          <c:order val="6"/>
          <c:tx>
            <c:strRef>
              <c:f>'WTP Main'!$CA$134</c:f>
              <c:strCache>
                <c:ptCount val="1"/>
                <c:pt idx="0">
                  <c:v>WTPCore_MaxDiff</c:v>
                </c:pt>
              </c:strCache>
            </c:strRef>
          </c:tx>
          <c:spPr>
            <a:solidFill>
              <a:schemeClr val="accent2">
                <a:lumMod val="80000"/>
                <a:lumOff val="20000"/>
              </a:schemeClr>
            </a:solidFill>
            <a:ln>
              <a:noFill/>
            </a:ln>
            <a:effectLst/>
          </c:spPr>
          <c:invertIfNegative val="0"/>
          <c:cat>
            <c:strRef>
              <c:f>'WTP Main'!$A$135:$A$142</c:f>
              <c:strCache>
                <c:ptCount val="8"/>
                <c:pt idx="0">
                  <c:v>Water not safe to drink</c:v>
                </c:pt>
                <c:pt idx="1">
                  <c:v>Flooding from a burst pipe</c:v>
                </c:pt>
                <c:pt idx="2">
                  <c:v>Unexpected temporary loss of water supply</c:v>
                </c:pt>
                <c:pt idx="3">
                  <c:v>Water hardness</c:v>
                </c:pt>
                <c:pt idx="4">
                  <c:v>Taste and smell of water</c:v>
                </c:pt>
                <c:pt idx="5">
                  <c:v>Discoloured water</c:v>
                </c:pt>
                <c:pt idx="6">
                  <c:v>Low water pressure</c:v>
                </c:pt>
                <c:pt idx="7">
                  <c:v>Lead pipes</c:v>
                </c:pt>
              </c:strCache>
            </c:strRef>
          </c:cat>
          <c:val>
            <c:numRef>
              <c:f>'WTP Main'!$CA$135:$CA$142</c:f>
              <c:numCache>
                <c:formatCode>"£"#,##0</c:formatCode>
                <c:ptCount val="8"/>
                <c:pt idx="0">
                  <c:v>2906.1240392935943</c:v>
                </c:pt>
                <c:pt idx="1">
                  <c:v>1092.0439237313237</c:v>
                </c:pt>
                <c:pt idx="2">
                  <c:v>981.95253778394351</c:v>
                </c:pt>
                <c:pt idx="3" formatCode="&quot;£&quot;#,##0.000">
                  <c:v>916.84060175731759</c:v>
                </c:pt>
                <c:pt idx="4">
                  <c:v>2754.0372883720047</c:v>
                </c:pt>
                <c:pt idx="5">
                  <c:v>1564.4402601574698</c:v>
                </c:pt>
                <c:pt idx="6">
                  <c:v>160.55314637978825</c:v>
                </c:pt>
                <c:pt idx="7">
                  <c:v>61.667336073154523</c:v>
                </c:pt>
              </c:numCache>
            </c:numRef>
          </c:val>
          <c:extLst xmlns:c16r2="http://schemas.microsoft.com/office/drawing/2015/06/chart">
            <c:ext xmlns:c16="http://schemas.microsoft.com/office/drawing/2014/chart" uri="{C3380CC4-5D6E-409C-BE32-E72D297353CC}">
              <c16:uniqueId val="{00000006-D848-4F9C-A389-19E0581BCA6C}"/>
            </c:ext>
          </c:extLst>
        </c:ser>
        <c:dLbls>
          <c:showLegendKey val="0"/>
          <c:showVal val="0"/>
          <c:showCatName val="0"/>
          <c:showSerName val="0"/>
          <c:showPercent val="0"/>
          <c:showBubbleSize val="0"/>
        </c:dLbls>
        <c:gapWidth val="219"/>
        <c:overlap val="-27"/>
        <c:axId val="1355770080"/>
        <c:axId val="1355782048"/>
      </c:barChart>
      <c:catAx>
        <c:axId val="1355770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55782048"/>
        <c:crosses val="autoZero"/>
        <c:auto val="1"/>
        <c:lblAlgn val="ctr"/>
        <c:lblOffset val="100"/>
        <c:noMultiLvlLbl val="0"/>
      </c:catAx>
      <c:valAx>
        <c:axId val="1355782048"/>
        <c:scaling>
          <c:orientation val="minMax"/>
          <c:max val="1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55770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rgbClr val="000000"/>
                </a:solidFill>
                <a:effectLst/>
              </a:rPr>
              <a:t>CAM HH WTP Unit Values and Range - Drought Restrictions (£/1% Risk/yr)</a:t>
            </a:r>
            <a:endParaRPr lang="en-GB">
              <a:solidFill>
                <a:srgbClr val="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Main'!$BS$155</c:f>
              <c:strCache>
                <c:ptCount val="1"/>
                <c:pt idx="0">
                  <c:v>COMBINED</c:v>
                </c:pt>
              </c:strCache>
            </c:strRef>
          </c:tx>
          <c:spPr>
            <a:solidFill>
              <a:schemeClr val="accent2"/>
            </a:solidFill>
            <a:ln>
              <a:noFill/>
            </a:ln>
            <a:effectLst/>
          </c:spPr>
          <c:invertIfNegative val="0"/>
          <c:errBars>
            <c:errBarType val="both"/>
            <c:errValType val="cust"/>
            <c:noEndCap val="0"/>
            <c:plus>
              <c:numRef>
                <c:f>'WTP Main'!$CF$156:$CF$157</c:f>
                <c:numCache>
                  <c:formatCode>General</c:formatCode>
                  <c:ptCount val="2"/>
                  <c:pt idx="0">
                    <c:v>150987.26018763654</c:v>
                  </c:pt>
                  <c:pt idx="1">
                    <c:v>257856.01050091899</c:v>
                  </c:pt>
                </c:numCache>
              </c:numRef>
            </c:plus>
            <c:minus>
              <c:numRef>
                <c:f>'WTP Main'!$CE$156:$CE$157</c:f>
                <c:numCache>
                  <c:formatCode>General</c:formatCode>
                  <c:ptCount val="2"/>
                  <c:pt idx="0">
                    <c:v>181159.24636335531</c:v>
                  </c:pt>
                  <c:pt idx="1">
                    <c:v>135630.56706227738</c:v>
                  </c:pt>
                </c:numCache>
              </c:numRef>
            </c:minus>
            <c:spPr>
              <a:noFill/>
              <a:ln w="9525" cap="flat" cmpd="sng" algn="ctr">
                <a:solidFill>
                  <a:srgbClr val="000000"/>
                </a:solidFill>
                <a:round/>
              </a:ln>
              <a:effectLst/>
            </c:spPr>
          </c:errBars>
          <c:cat>
            <c:strRef>
              <c:f>'WTP Main'!$A$156:$A$157</c:f>
              <c:strCache>
                <c:ptCount val="2"/>
                <c:pt idx="0">
                  <c:v>Drought restrictions</c:v>
                </c:pt>
                <c:pt idx="1">
                  <c:v>Temporary use ban</c:v>
                </c:pt>
              </c:strCache>
            </c:strRef>
          </c:cat>
          <c:val>
            <c:numRef>
              <c:f>'WTP Main'!$BS$156:$BS$157</c:f>
              <c:numCache>
                <c:formatCode>"£"#,##0</c:formatCode>
                <c:ptCount val="2"/>
                <c:pt idx="0">
                  <c:v>357267.86651337566</c:v>
                </c:pt>
                <c:pt idx="1">
                  <c:v>183863.98687385119</c:v>
                </c:pt>
              </c:numCache>
            </c:numRef>
          </c:val>
          <c:extLst xmlns:c16r2="http://schemas.microsoft.com/office/drawing/2015/06/chart">
            <c:ext xmlns:c16="http://schemas.microsoft.com/office/drawing/2014/chart" uri="{C3380CC4-5D6E-409C-BE32-E72D297353CC}">
              <c16:uniqueId val="{00000000-B300-486A-BE69-C1B342F394CF}"/>
            </c:ext>
          </c:extLst>
        </c:ser>
        <c:ser>
          <c:idx val="1"/>
          <c:order val="1"/>
          <c:tx>
            <c:strRef>
              <c:f>'WTP Main'!$BT$155</c:f>
              <c:strCache>
                <c:ptCount val="1"/>
                <c:pt idx="0">
                  <c:v>WTPCore_DCE</c:v>
                </c:pt>
              </c:strCache>
            </c:strRef>
          </c:tx>
          <c:spPr>
            <a:solidFill>
              <a:schemeClr val="accent4"/>
            </a:solidFill>
            <a:ln>
              <a:noFill/>
            </a:ln>
            <a:effectLst/>
          </c:spPr>
          <c:invertIfNegative val="0"/>
          <c:cat>
            <c:strRef>
              <c:f>'WTP Main'!$A$156:$A$157</c:f>
              <c:strCache>
                <c:ptCount val="2"/>
                <c:pt idx="0">
                  <c:v>Drought restrictions</c:v>
                </c:pt>
                <c:pt idx="1">
                  <c:v>Temporary use ban</c:v>
                </c:pt>
              </c:strCache>
            </c:strRef>
          </c:cat>
          <c:val>
            <c:numRef>
              <c:f>'WTP Main'!$BT$156:$BT$157</c:f>
              <c:numCache>
                <c:formatCode>"£"#,##0</c:formatCode>
                <c:ptCount val="2"/>
                <c:pt idx="0">
                  <c:v>472540.17467639426</c:v>
                </c:pt>
                <c:pt idx="1">
                  <c:v>452735.99999999994</c:v>
                </c:pt>
              </c:numCache>
            </c:numRef>
          </c:val>
          <c:extLst xmlns:c16r2="http://schemas.microsoft.com/office/drawing/2015/06/chart">
            <c:ext xmlns:c16="http://schemas.microsoft.com/office/drawing/2014/chart" uri="{C3380CC4-5D6E-409C-BE32-E72D297353CC}">
              <c16:uniqueId val="{00000001-B300-486A-BE69-C1B342F394CF}"/>
            </c:ext>
          </c:extLst>
        </c:ser>
        <c:ser>
          <c:idx val="2"/>
          <c:order val="2"/>
          <c:tx>
            <c:strRef>
              <c:f>'WTP Main'!$BU$155</c:f>
              <c:strCache>
                <c:ptCount val="1"/>
                <c:pt idx="0">
                  <c:v>WTPCore_DCE2</c:v>
                </c:pt>
              </c:strCache>
            </c:strRef>
          </c:tx>
          <c:spPr>
            <a:solidFill>
              <a:schemeClr val="accent6"/>
            </a:solidFill>
            <a:ln>
              <a:noFill/>
            </a:ln>
            <a:effectLst/>
          </c:spPr>
          <c:invertIfNegative val="0"/>
          <c:cat>
            <c:strRef>
              <c:f>'WTP Main'!$A$156:$A$157</c:f>
              <c:strCache>
                <c:ptCount val="2"/>
                <c:pt idx="0">
                  <c:v>Drought restrictions</c:v>
                </c:pt>
                <c:pt idx="1">
                  <c:v>Temporary use ban</c:v>
                </c:pt>
              </c:strCache>
            </c:strRef>
          </c:cat>
          <c:val>
            <c:numRef>
              <c:f>'WTP Main'!$BU$156:$BU$157</c:f>
              <c:numCache>
                <c:formatCode>"£"#,##0</c:formatCode>
                <c:ptCount val="2"/>
                <c:pt idx="1">
                  <c:v>16195.097303778484</c:v>
                </c:pt>
              </c:numCache>
            </c:numRef>
          </c:val>
          <c:extLst xmlns:c16r2="http://schemas.microsoft.com/office/drawing/2015/06/chart">
            <c:ext xmlns:c16="http://schemas.microsoft.com/office/drawing/2014/chart" uri="{C3380CC4-5D6E-409C-BE32-E72D297353CC}">
              <c16:uniqueId val="{00000002-B300-486A-BE69-C1B342F394CF}"/>
            </c:ext>
          </c:extLst>
        </c:ser>
        <c:ser>
          <c:idx val="3"/>
          <c:order val="3"/>
          <c:tx>
            <c:strRef>
              <c:f>'WTP Main'!$BV$155</c:f>
              <c:strCache>
                <c:ptCount val="1"/>
                <c:pt idx="0">
                  <c:v>WTP core_DCE_Private</c:v>
                </c:pt>
              </c:strCache>
            </c:strRef>
          </c:tx>
          <c:spPr>
            <a:solidFill>
              <a:schemeClr val="accent2">
                <a:lumMod val="60000"/>
              </a:schemeClr>
            </a:solidFill>
            <a:ln>
              <a:noFill/>
            </a:ln>
            <a:effectLst/>
          </c:spPr>
          <c:invertIfNegative val="0"/>
          <c:cat>
            <c:strRef>
              <c:f>'WTP Main'!$A$156:$A$157</c:f>
              <c:strCache>
                <c:ptCount val="2"/>
                <c:pt idx="0">
                  <c:v>Drought restrictions</c:v>
                </c:pt>
                <c:pt idx="1">
                  <c:v>Temporary use ban</c:v>
                </c:pt>
              </c:strCache>
            </c:strRef>
          </c:cat>
          <c:val>
            <c:numRef>
              <c:f>'WTP Main'!$BV$156:$BV$157</c:f>
              <c:numCache>
                <c:formatCode>"£"#,##0</c:formatCode>
                <c:ptCount val="2"/>
                <c:pt idx="0">
                  <c:v>546001.94174792129</c:v>
                </c:pt>
                <c:pt idx="1">
                  <c:v>462167.99999999994</c:v>
                </c:pt>
              </c:numCache>
            </c:numRef>
          </c:val>
          <c:extLst xmlns:c16r2="http://schemas.microsoft.com/office/drawing/2015/06/chart">
            <c:ext xmlns:c16="http://schemas.microsoft.com/office/drawing/2014/chart" uri="{C3380CC4-5D6E-409C-BE32-E72D297353CC}">
              <c16:uniqueId val="{00000003-B300-486A-BE69-C1B342F394CF}"/>
            </c:ext>
          </c:extLst>
        </c:ser>
        <c:ser>
          <c:idx val="4"/>
          <c:order val="4"/>
          <c:tx>
            <c:strRef>
              <c:f>'WTP Main'!$BW$155</c:f>
              <c:strCache>
                <c:ptCount val="1"/>
                <c:pt idx="0">
                  <c:v>WTPCore_DCE2_LowBill</c:v>
                </c:pt>
              </c:strCache>
            </c:strRef>
          </c:tx>
          <c:spPr>
            <a:solidFill>
              <a:schemeClr val="accent4">
                <a:lumMod val="60000"/>
              </a:schemeClr>
            </a:solidFill>
            <a:ln>
              <a:noFill/>
            </a:ln>
            <a:effectLst/>
          </c:spPr>
          <c:invertIfNegative val="0"/>
          <c:cat>
            <c:strRef>
              <c:f>'WTP Main'!$A$156:$A$157</c:f>
              <c:strCache>
                <c:ptCount val="2"/>
                <c:pt idx="0">
                  <c:v>Drought restrictions</c:v>
                </c:pt>
                <c:pt idx="1">
                  <c:v>Temporary use ban</c:v>
                </c:pt>
              </c:strCache>
            </c:strRef>
          </c:cat>
          <c:val>
            <c:numRef>
              <c:f>'WTP Main'!$BW$156:$BW$157</c:f>
              <c:numCache>
                <c:formatCode>"£"#,##0</c:formatCode>
                <c:ptCount val="2"/>
                <c:pt idx="1">
                  <c:v>45807.190754027761</c:v>
                </c:pt>
              </c:numCache>
            </c:numRef>
          </c:val>
          <c:extLst xmlns:c16r2="http://schemas.microsoft.com/office/drawing/2015/06/chart">
            <c:ext xmlns:c16="http://schemas.microsoft.com/office/drawing/2014/chart" uri="{C3380CC4-5D6E-409C-BE32-E72D297353CC}">
              <c16:uniqueId val="{00000004-B300-486A-BE69-C1B342F394CF}"/>
            </c:ext>
          </c:extLst>
        </c:ser>
        <c:ser>
          <c:idx val="5"/>
          <c:order val="5"/>
          <c:tx>
            <c:strRef>
              <c:f>'WTP Main'!$BZ$155</c:f>
              <c:strCache>
                <c:ptCount val="1"/>
                <c:pt idx="0">
                  <c:v>ExternalWTP19</c:v>
                </c:pt>
              </c:strCache>
            </c:strRef>
          </c:tx>
          <c:spPr>
            <a:solidFill>
              <a:schemeClr val="accent6">
                <a:lumMod val="60000"/>
              </a:schemeClr>
            </a:solidFill>
            <a:ln>
              <a:noFill/>
            </a:ln>
            <a:effectLst/>
          </c:spPr>
          <c:invertIfNegative val="0"/>
          <c:cat>
            <c:strRef>
              <c:f>'WTP Main'!$A$156:$A$157</c:f>
              <c:strCache>
                <c:ptCount val="2"/>
                <c:pt idx="0">
                  <c:v>Drought restrictions</c:v>
                </c:pt>
                <c:pt idx="1">
                  <c:v>Temporary use ban</c:v>
                </c:pt>
              </c:strCache>
            </c:strRef>
          </c:cat>
          <c:val>
            <c:numRef>
              <c:f>'WTP Main'!$BZ$156:$BZ$157</c:f>
              <c:numCache>
                <c:formatCode>"£"#,##0</c:formatCode>
                <c:ptCount val="2"/>
                <c:pt idx="0">
                  <c:v>130818.80855918152</c:v>
                </c:pt>
                <c:pt idx="1">
                  <c:v>77526.582422134787</c:v>
                </c:pt>
              </c:numCache>
            </c:numRef>
          </c:val>
          <c:extLst xmlns:c16r2="http://schemas.microsoft.com/office/drawing/2015/06/chart">
            <c:ext xmlns:c16="http://schemas.microsoft.com/office/drawing/2014/chart" uri="{C3380CC4-5D6E-409C-BE32-E72D297353CC}">
              <c16:uniqueId val="{00000009-B300-486A-BE69-C1B342F394CF}"/>
            </c:ext>
          </c:extLst>
        </c:ser>
        <c:ser>
          <c:idx val="6"/>
          <c:order val="6"/>
          <c:tx>
            <c:strRef>
              <c:f>'WTP Main'!$CA$155</c:f>
              <c:strCache>
                <c:ptCount val="1"/>
                <c:pt idx="0">
                  <c:v>WTPCore_MaxDiff</c:v>
                </c:pt>
              </c:strCache>
            </c:strRef>
          </c:tx>
          <c:spPr>
            <a:solidFill>
              <a:schemeClr val="accent2">
                <a:lumMod val="80000"/>
                <a:lumOff val="20000"/>
              </a:schemeClr>
            </a:solidFill>
            <a:ln>
              <a:noFill/>
            </a:ln>
            <a:effectLst/>
          </c:spPr>
          <c:invertIfNegative val="0"/>
          <c:cat>
            <c:strRef>
              <c:f>'WTP Main'!$A$156:$A$157</c:f>
              <c:strCache>
                <c:ptCount val="2"/>
                <c:pt idx="0">
                  <c:v>Drought restrictions</c:v>
                </c:pt>
                <c:pt idx="1">
                  <c:v>Temporary use ban</c:v>
                </c:pt>
              </c:strCache>
            </c:strRef>
          </c:cat>
          <c:val>
            <c:numRef>
              <c:f>'WTP Main'!$CA$156:$CA$157</c:f>
              <c:numCache>
                <c:formatCode>"£"#,##0</c:formatCode>
                <c:ptCount val="2"/>
                <c:pt idx="0">
                  <c:v>239947.77916443557</c:v>
                </c:pt>
                <c:pt idx="1">
                  <c:v>61782.179908986211</c:v>
                </c:pt>
              </c:numCache>
            </c:numRef>
          </c:val>
          <c:extLst xmlns:c16r2="http://schemas.microsoft.com/office/drawing/2015/06/chart">
            <c:ext xmlns:c16="http://schemas.microsoft.com/office/drawing/2014/chart" uri="{C3380CC4-5D6E-409C-BE32-E72D297353CC}">
              <c16:uniqueId val="{0000000A-B300-486A-BE69-C1B342F394CF}"/>
            </c:ext>
          </c:extLst>
        </c:ser>
        <c:dLbls>
          <c:showLegendKey val="0"/>
          <c:showVal val="0"/>
          <c:showCatName val="0"/>
          <c:showSerName val="0"/>
          <c:showPercent val="0"/>
          <c:showBubbleSize val="0"/>
        </c:dLbls>
        <c:gapWidth val="219"/>
        <c:overlap val="-27"/>
        <c:axId val="1355771712"/>
        <c:axId val="1355769536"/>
      </c:barChart>
      <c:catAx>
        <c:axId val="1355771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55769536"/>
        <c:crosses val="autoZero"/>
        <c:auto val="1"/>
        <c:lblAlgn val="ctr"/>
        <c:lblOffset val="100"/>
        <c:noMultiLvlLbl val="0"/>
      </c:catAx>
      <c:valAx>
        <c:axId val="1355769536"/>
        <c:scaling>
          <c:orientation val="minMax"/>
          <c:max val="25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55771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solidFill>
                  <a:srgbClr val="000000"/>
                </a:solidFill>
                <a:effectLst/>
              </a:rPr>
              <a:t>CAM NHH WTP Unit Values and Range - Drought Restrictions (£/1% Risk/yr)</a:t>
            </a:r>
            <a:endParaRPr lang="en-GB">
              <a:solidFill>
                <a:srgbClr val="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Main'!$BS$161</c:f>
              <c:strCache>
                <c:ptCount val="1"/>
                <c:pt idx="0">
                  <c:v>COMBINED</c:v>
                </c:pt>
              </c:strCache>
            </c:strRef>
          </c:tx>
          <c:spPr>
            <a:solidFill>
              <a:schemeClr val="accent2"/>
            </a:solidFill>
            <a:ln>
              <a:noFill/>
            </a:ln>
            <a:effectLst/>
          </c:spPr>
          <c:invertIfNegative val="0"/>
          <c:errBars>
            <c:errBarType val="both"/>
            <c:errValType val="cust"/>
            <c:noEndCap val="0"/>
            <c:plus>
              <c:numRef>
                <c:f>'WTP Main'!$CF$162:$CF$163</c:f>
                <c:numCache>
                  <c:formatCode>General</c:formatCode>
                  <c:ptCount val="2"/>
                  <c:pt idx="0">
                    <c:v>256690.94809195027</c:v>
                  </c:pt>
                  <c:pt idx="1">
                    <c:v>263428.60067570652</c:v>
                  </c:pt>
                </c:numCache>
              </c:numRef>
            </c:plus>
            <c:minus>
              <c:numRef>
                <c:f>'WTP Main'!$CE$162:$CE$163</c:f>
                <c:numCache>
                  <c:formatCode>General</c:formatCode>
                  <c:ptCount val="2"/>
                  <c:pt idx="0">
                    <c:v>403990.77494651265</c:v>
                  </c:pt>
                  <c:pt idx="1">
                    <c:v>633422.52958769759</c:v>
                  </c:pt>
                </c:numCache>
              </c:numRef>
            </c:minus>
            <c:spPr>
              <a:noFill/>
              <a:ln w="9525" cap="flat" cmpd="sng" algn="ctr">
                <a:solidFill>
                  <a:srgbClr val="000000"/>
                </a:solidFill>
                <a:round/>
              </a:ln>
              <a:effectLst/>
            </c:spPr>
          </c:errBars>
          <c:cat>
            <c:strRef>
              <c:f>'WTP Main'!$A$162:$A$163</c:f>
              <c:strCache>
                <c:ptCount val="2"/>
                <c:pt idx="0">
                  <c:v>Drought restrictions</c:v>
                </c:pt>
                <c:pt idx="1">
                  <c:v>Temporary use ban</c:v>
                </c:pt>
              </c:strCache>
            </c:strRef>
          </c:cat>
          <c:val>
            <c:numRef>
              <c:f>'WTP Main'!$BS$162:$BS$163</c:f>
              <c:numCache>
                <c:formatCode>"£"#,##0</c:formatCode>
                <c:ptCount val="2"/>
                <c:pt idx="0">
                  <c:v>1154334.997884613</c:v>
                </c:pt>
                <c:pt idx="1">
                  <c:v>899514.24915536679</c:v>
                </c:pt>
              </c:numCache>
            </c:numRef>
          </c:val>
          <c:extLst xmlns:c16r2="http://schemas.microsoft.com/office/drawing/2015/06/chart">
            <c:ext xmlns:c16="http://schemas.microsoft.com/office/drawing/2014/chart" uri="{C3380CC4-5D6E-409C-BE32-E72D297353CC}">
              <c16:uniqueId val="{00000000-0D97-48DE-823F-2151C8E0129A}"/>
            </c:ext>
          </c:extLst>
        </c:ser>
        <c:ser>
          <c:idx val="1"/>
          <c:order val="1"/>
          <c:tx>
            <c:strRef>
              <c:f>'WTP Main'!$BT$161</c:f>
              <c:strCache>
                <c:ptCount val="1"/>
                <c:pt idx="0">
                  <c:v>WTPCore_DCE</c:v>
                </c:pt>
              </c:strCache>
            </c:strRef>
          </c:tx>
          <c:spPr>
            <a:solidFill>
              <a:schemeClr val="accent4"/>
            </a:solidFill>
            <a:ln>
              <a:noFill/>
            </a:ln>
            <a:effectLst/>
          </c:spPr>
          <c:invertIfNegative val="0"/>
          <c:cat>
            <c:strRef>
              <c:f>'WTP Main'!$A$162:$A$163</c:f>
              <c:strCache>
                <c:ptCount val="2"/>
                <c:pt idx="0">
                  <c:v>Drought restrictions</c:v>
                </c:pt>
                <c:pt idx="1">
                  <c:v>Temporary use ban</c:v>
                </c:pt>
              </c:strCache>
            </c:strRef>
          </c:cat>
          <c:val>
            <c:numRef>
              <c:f>'WTP Main'!$BT$162:$BT$163</c:f>
              <c:numCache>
                <c:formatCode>"£"#,##0</c:formatCode>
                <c:ptCount val="2"/>
                <c:pt idx="0">
                  <c:v>1120150.2724979296</c:v>
                </c:pt>
                <c:pt idx="1">
                  <c:v>1105919.9999999998</c:v>
                </c:pt>
              </c:numCache>
            </c:numRef>
          </c:val>
          <c:extLst xmlns:c16r2="http://schemas.microsoft.com/office/drawing/2015/06/chart">
            <c:ext xmlns:c16="http://schemas.microsoft.com/office/drawing/2014/chart" uri="{C3380CC4-5D6E-409C-BE32-E72D297353CC}">
              <c16:uniqueId val="{00000001-0D97-48DE-823F-2151C8E0129A}"/>
            </c:ext>
          </c:extLst>
        </c:ser>
        <c:ser>
          <c:idx val="2"/>
          <c:order val="2"/>
          <c:tx>
            <c:strRef>
              <c:f>'WTP Main'!$BU$161</c:f>
              <c:strCache>
                <c:ptCount val="1"/>
                <c:pt idx="0">
                  <c:v>WTPCore_DCE2</c:v>
                </c:pt>
              </c:strCache>
            </c:strRef>
          </c:tx>
          <c:spPr>
            <a:solidFill>
              <a:schemeClr val="accent6"/>
            </a:solidFill>
            <a:ln>
              <a:noFill/>
            </a:ln>
            <a:effectLst/>
          </c:spPr>
          <c:invertIfNegative val="0"/>
          <c:cat>
            <c:strRef>
              <c:f>'WTP Main'!$A$162:$A$163</c:f>
              <c:strCache>
                <c:ptCount val="2"/>
                <c:pt idx="0">
                  <c:v>Drought restrictions</c:v>
                </c:pt>
                <c:pt idx="1">
                  <c:v>Temporary use ban</c:v>
                </c:pt>
              </c:strCache>
            </c:strRef>
          </c:cat>
          <c:val>
            <c:numRef>
              <c:f>'WTP Main'!$BU$162:$BU$163</c:f>
              <c:numCache>
                <c:formatCode>"£"#,##0</c:formatCode>
                <c:ptCount val="2"/>
                <c:pt idx="1">
                  <c:v>190218.3179578204</c:v>
                </c:pt>
              </c:numCache>
            </c:numRef>
          </c:val>
          <c:extLst xmlns:c16r2="http://schemas.microsoft.com/office/drawing/2015/06/chart">
            <c:ext xmlns:c16="http://schemas.microsoft.com/office/drawing/2014/chart" uri="{C3380CC4-5D6E-409C-BE32-E72D297353CC}">
              <c16:uniqueId val="{00000005-0D97-48DE-823F-2151C8E0129A}"/>
            </c:ext>
          </c:extLst>
        </c:ser>
        <c:ser>
          <c:idx val="3"/>
          <c:order val="3"/>
          <c:tx>
            <c:strRef>
              <c:f>'WTP Main'!$BV$161</c:f>
              <c:strCache>
                <c:ptCount val="1"/>
                <c:pt idx="0">
                  <c:v>WTP core_DCE_Private</c:v>
                </c:pt>
              </c:strCache>
            </c:strRef>
          </c:tx>
          <c:spPr>
            <a:solidFill>
              <a:schemeClr val="accent2">
                <a:lumMod val="60000"/>
              </a:schemeClr>
            </a:solidFill>
            <a:ln>
              <a:noFill/>
            </a:ln>
            <a:effectLst/>
          </c:spPr>
          <c:invertIfNegative val="0"/>
          <c:cat>
            <c:strRef>
              <c:f>'WTP Main'!$A$162:$A$163</c:f>
              <c:strCache>
                <c:ptCount val="2"/>
                <c:pt idx="0">
                  <c:v>Drought restrictions</c:v>
                </c:pt>
                <c:pt idx="1">
                  <c:v>Temporary use ban</c:v>
                </c:pt>
              </c:strCache>
            </c:strRef>
          </c:cat>
          <c:val>
            <c:numRef>
              <c:f>'WTP Main'!$BV$162:$BV$163</c:f>
              <c:numCache>
                <c:formatCode>"£"#,##0</c:formatCode>
                <c:ptCount val="2"/>
                <c:pt idx="0">
                  <c:v>874138.17622452707</c:v>
                </c:pt>
                <c:pt idx="1">
                  <c:v>983039.99999999988</c:v>
                </c:pt>
              </c:numCache>
            </c:numRef>
          </c:val>
          <c:extLst xmlns:c16r2="http://schemas.microsoft.com/office/drawing/2015/06/chart">
            <c:ext xmlns:c16="http://schemas.microsoft.com/office/drawing/2014/chart" uri="{C3380CC4-5D6E-409C-BE32-E72D297353CC}">
              <c16:uniqueId val="{00000006-0D97-48DE-823F-2151C8E0129A}"/>
            </c:ext>
          </c:extLst>
        </c:ser>
        <c:ser>
          <c:idx val="4"/>
          <c:order val="4"/>
          <c:tx>
            <c:strRef>
              <c:f>'WTP Main'!$BZ$161</c:f>
              <c:strCache>
                <c:ptCount val="1"/>
                <c:pt idx="0">
                  <c:v>ExternalWTP19</c:v>
                </c:pt>
              </c:strCache>
            </c:strRef>
          </c:tx>
          <c:spPr>
            <a:solidFill>
              <a:schemeClr val="accent4">
                <a:lumMod val="60000"/>
              </a:schemeClr>
            </a:solidFill>
            <a:ln>
              <a:noFill/>
            </a:ln>
            <a:effectLst/>
          </c:spPr>
          <c:invertIfNegative val="0"/>
          <c:cat>
            <c:strRef>
              <c:f>'WTP Main'!$A$162:$A$163</c:f>
              <c:strCache>
                <c:ptCount val="2"/>
                <c:pt idx="0">
                  <c:v>Drought restrictions</c:v>
                </c:pt>
                <c:pt idx="1">
                  <c:v>Temporary use ban</c:v>
                </c:pt>
              </c:strCache>
            </c:strRef>
          </c:cat>
          <c:val>
            <c:numRef>
              <c:f>'WTP Main'!$BZ$162:$BZ$163</c:f>
              <c:numCache>
                <c:formatCode>"£"#,##0</c:formatCode>
                <c:ptCount val="2"/>
                <c:pt idx="0">
                  <c:v>649346.52920147206</c:v>
                </c:pt>
                <c:pt idx="1">
                  <c:v>326743.52086793364</c:v>
                </c:pt>
              </c:numCache>
            </c:numRef>
          </c:val>
          <c:extLst xmlns:c16r2="http://schemas.microsoft.com/office/drawing/2015/06/chart">
            <c:ext xmlns:c16="http://schemas.microsoft.com/office/drawing/2014/chart" uri="{C3380CC4-5D6E-409C-BE32-E72D297353CC}">
              <c16:uniqueId val="{00000007-0D97-48DE-823F-2151C8E0129A}"/>
            </c:ext>
          </c:extLst>
        </c:ser>
        <c:ser>
          <c:idx val="5"/>
          <c:order val="5"/>
          <c:tx>
            <c:strRef>
              <c:f>'WTP Main'!$CA$161</c:f>
              <c:strCache>
                <c:ptCount val="1"/>
                <c:pt idx="0">
                  <c:v>WTPCore_MaxDiff</c:v>
                </c:pt>
              </c:strCache>
            </c:strRef>
          </c:tx>
          <c:spPr>
            <a:solidFill>
              <a:schemeClr val="accent6">
                <a:lumMod val="60000"/>
              </a:schemeClr>
            </a:solidFill>
            <a:ln>
              <a:noFill/>
            </a:ln>
            <a:effectLst/>
          </c:spPr>
          <c:invertIfNegative val="0"/>
          <c:cat>
            <c:strRef>
              <c:f>'WTP Main'!$A$162:$A$163</c:f>
              <c:strCache>
                <c:ptCount val="2"/>
                <c:pt idx="0">
                  <c:v>Drought restrictions</c:v>
                </c:pt>
                <c:pt idx="1">
                  <c:v>Temporary use ban</c:v>
                </c:pt>
              </c:strCache>
            </c:strRef>
          </c:cat>
          <c:val>
            <c:numRef>
              <c:f>'WTP Main'!$CA$162:$CA$163</c:f>
              <c:numCache>
                <c:formatCode>"£"#,##0</c:formatCode>
                <c:ptCount val="2"/>
                <c:pt idx="0">
                  <c:v>1475198.6829995506</c:v>
                </c:pt>
                <c:pt idx="1">
                  <c:v>926599.62083814666</c:v>
                </c:pt>
              </c:numCache>
            </c:numRef>
          </c:val>
          <c:extLst xmlns:c16r2="http://schemas.microsoft.com/office/drawing/2015/06/chart">
            <c:ext xmlns:c16="http://schemas.microsoft.com/office/drawing/2014/chart" uri="{C3380CC4-5D6E-409C-BE32-E72D297353CC}">
              <c16:uniqueId val="{00000008-0D97-48DE-823F-2151C8E0129A}"/>
            </c:ext>
          </c:extLst>
        </c:ser>
        <c:dLbls>
          <c:showLegendKey val="0"/>
          <c:showVal val="0"/>
          <c:showCatName val="0"/>
          <c:showSerName val="0"/>
          <c:showPercent val="0"/>
          <c:showBubbleSize val="0"/>
        </c:dLbls>
        <c:gapWidth val="219"/>
        <c:overlap val="-27"/>
        <c:axId val="1355773344"/>
        <c:axId val="1355780416"/>
      </c:barChart>
      <c:catAx>
        <c:axId val="1355773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55780416"/>
        <c:crosses val="autoZero"/>
        <c:auto val="1"/>
        <c:lblAlgn val="ctr"/>
        <c:lblOffset val="100"/>
        <c:noMultiLvlLbl val="0"/>
      </c:catAx>
      <c:valAx>
        <c:axId val="1355780416"/>
        <c:scaling>
          <c:orientation val="minMax"/>
          <c:max val="25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55773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rgbClr val="000000"/>
                </a:solidFill>
                <a:effectLst/>
              </a:rPr>
              <a:t>CAM WTP Unit Values and Range - Leakage (£/MLD/yr) (HH and NHH)</a:t>
            </a:r>
            <a:endParaRPr lang="en-GB" sz="1400">
              <a:solidFill>
                <a:srgbClr val="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Main'!$BS$183</c:f>
              <c:strCache>
                <c:ptCount val="1"/>
                <c:pt idx="0">
                  <c:v>COMBINED</c:v>
                </c:pt>
              </c:strCache>
            </c:strRef>
          </c:tx>
          <c:spPr>
            <a:solidFill>
              <a:schemeClr val="accent2"/>
            </a:solidFill>
            <a:ln>
              <a:noFill/>
            </a:ln>
            <a:effectLst/>
          </c:spPr>
          <c:invertIfNegative val="0"/>
          <c:errBars>
            <c:errBarType val="both"/>
            <c:errValType val="cust"/>
            <c:noEndCap val="0"/>
            <c:plus>
              <c:numRef>
                <c:f>'WTP Main'!$BU$184</c:f>
                <c:numCache>
                  <c:formatCode>General</c:formatCode>
                  <c:ptCount val="1"/>
                  <c:pt idx="0">
                    <c:v>680510.47853966278</c:v>
                  </c:pt>
                </c:numCache>
              </c:numRef>
            </c:plus>
            <c:minus>
              <c:numRef>
                <c:f>'WTP Main'!$BT$184</c:f>
                <c:numCache>
                  <c:formatCode>General</c:formatCode>
                  <c:ptCount val="1"/>
                  <c:pt idx="0">
                    <c:v>140873.52065114293</c:v>
                  </c:pt>
                </c:numCache>
              </c:numRef>
            </c:minus>
            <c:spPr>
              <a:noFill/>
              <a:ln w="9525" cap="flat" cmpd="sng" algn="ctr">
                <a:solidFill>
                  <a:srgbClr val="000000"/>
                </a:solidFill>
                <a:round/>
              </a:ln>
              <a:effectLst/>
            </c:spPr>
          </c:errBars>
          <c:cat>
            <c:strRef>
              <c:f>'WTP Main'!$A$184</c:f>
              <c:strCache>
                <c:ptCount val="1"/>
                <c:pt idx="0">
                  <c:v>Leakage</c:v>
                </c:pt>
              </c:strCache>
            </c:strRef>
          </c:cat>
          <c:val>
            <c:numRef>
              <c:f>'WTP Main'!$BS$184</c:f>
              <c:numCache>
                <c:formatCode>"£"#,##0</c:formatCode>
                <c:ptCount val="1"/>
                <c:pt idx="0">
                  <c:v>216976.90315908345</c:v>
                </c:pt>
              </c:numCache>
            </c:numRef>
          </c:val>
          <c:extLst xmlns:c16r2="http://schemas.microsoft.com/office/drawing/2015/06/chart">
            <c:ext xmlns:c16="http://schemas.microsoft.com/office/drawing/2014/chart" uri="{C3380CC4-5D6E-409C-BE32-E72D297353CC}">
              <c16:uniqueId val="{00000000-365F-4FA9-B8D8-63EC1B4F0973}"/>
            </c:ext>
          </c:extLst>
        </c:ser>
        <c:dLbls>
          <c:showLegendKey val="0"/>
          <c:showVal val="0"/>
          <c:showCatName val="0"/>
          <c:showSerName val="0"/>
          <c:showPercent val="0"/>
          <c:showBubbleSize val="0"/>
        </c:dLbls>
        <c:gapWidth val="219"/>
        <c:overlap val="-27"/>
        <c:axId val="1355779872"/>
        <c:axId val="1355767904"/>
      </c:barChart>
      <c:catAx>
        <c:axId val="1355779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55767904"/>
        <c:crosses val="autoZero"/>
        <c:auto val="1"/>
        <c:lblAlgn val="ctr"/>
        <c:lblOffset val="100"/>
        <c:noMultiLvlLbl val="0"/>
      </c:catAx>
      <c:valAx>
        <c:axId val="1355767904"/>
        <c:scaling>
          <c:orientation val="minMax"/>
          <c:max val="10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55779872"/>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rgbClr val="000000"/>
                </a:solidFill>
                <a:effectLst/>
              </a:rPr>
              <a:t>CAM NHH WTP Unit Values and Range - Leakage (£/MLD/yr)</a:t>
            </a:r>
            <a:endParaRPr lang="en-GB" sz="1400">
              <a:solidFill>
                <a:srgbClr val="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Main'!$BS$190</c:f>
              <c:strCache>
                <c:ptCount val="1"/>
                <c:pt idx="0">
                  <c:v>COMBINED</c:v>
                </c:pt>
              </c:strCache>
            </c:strRef>
          </c:tx>
          <c:spPr>
            <a:solidFill>
              <a:schemeClr val="accent2"/>
            </a:solidFill>
            <a:ln>
              <a:noFill/>
            </a:ln>
            <a:effectLst/>
          </c:spPr>
          <c:invertIfNegative val="0"/>
          <c:errBars>
            <c:errBarType val="both"/>
            <c:errValType val="cust"/>
            <c:noEndCap val="0"/>
            <c:plus>
              <c:numRef>
                <c:f>'WTP Main'!$CG$191</c:f>
                <c:numCache>
                  <c:formatCode>General</c:formatCode>
                  <c:ptCount val="1"/>
                  <c:pt idx="0">
                    <c:v>610017.33789654309</c:v>
                  </c:pt>
                </c:numCache>
              </c:numRef>
            </c:plus>
            <c:minus>
              <c:numRef>
                <c:f>'WTP Main'!$CF$191</c:f>
                <c:numCache>
                  <c:formatCode>General</c:formatCode>
                  <c:ptCount val="1"/>
                  <c:pt idx="0">
                    <c:v>100092.27203939258</c:v>
                  </c:pt>
                </c:numCache>
              </c:numRef>
            </c:minus>
            <c:spPr>
              <a:noFill/>
              <a:ln w="9525" cap="flat" cmpd="sng" algn="ctr">
                <a:solidFill>
                  <a:srgbClr val="000000"/>
                </a:solidFill>
                <a:round/>
              </a:ln>
              <a:effectLst/>
            </c:spPr>
          </c:errBars>
          <c:cat>
            <c:strRef>
              <c:f>'WTP Main'!$A$191</c:f>
              <c:strCache>
                <c:ptCount val="1"/>
                <c:pt idx="0">
                  <c:v>Leakage</c:v>
                </c:pt>
              </c:strCache>
            </c:strRef>
          </c:cat>
          <c:val>
            <c:numRef>
              <c:f>'WTP Main'!$BS$191</c:f>
              <c:numCache>
                <c:formatCode>"£"#,##0</c:formatCode>
                <c:ptCount val="1"/>
                <c:pt idx="0">
                  <c:v>125115.34004924072</c:v>
                </c:pt>
              </c:numCache>
            </c:numRef>
          </c:val>
          <c:extLst xmlns:c16r2="http://schemas.microsoft.com/office/drawing/2015/06/chart">
            <c:ext xmlns:c16="http://schemas.microsoft.com/office/drawing/2014/chart" uri="{C3380CC4-5D6E-409C-BE32-E72D297353CC}">
              <c16:uniqueId val="{00000000-D9AF-4191-827D-1EA305D3AAB8}"/>
            </c:ext>
          </c:extLst>
        </c:ser>
        <c:ser>
          <c:idx val="1"/>
          <c:order val="1"/>
          <c:tx>
            <c:strRef>
              <c:f>'WTP Main'!$BT$190</c:f>
              <c:strCache>
                <c:ptCount val="1"/>
                <c:pt idx="0">
                  <c:v>WTPCore_DCE</c:v>
                </c:pt>
              </c:strCache>
            </c:strRef>
          </c:tx>
          <c:spPr>
            <a:solidFill>
              <a:schemeClr val="accent4"/>
            </a:solidFill>
            <a:ln>
              <a:noFill/>
            </a:ln>
            <a:effectLst/>
          </c:spPr>
          <c:invertIfNegative val="0"/>
          <c:cat>
            <c:strRef>
              <c:f>'WTP Main'!$A$191</c:f>
              <c:strCache>
                <c:ptCount val="1"/>
                <c:pt idx="0">
                  <c:v>Leakage</c:v>
                </c:pt>
              </c:strCache>
            </c:strRef>
          </c:cat>
          <c:val>
            <c:numRef>
              <c:f>'WTP Main'!$BT$191</c:f>
              <c:numCache>
                <c:formatCode>"£"#,##0</c:formatCode>
                <c:ptCount val="1"/>
                <c:pt idx="0">
                  <c:v>15170.37037037037</c:v>
                </c:pt>
              </c:numCache>
            </c:numRef>
          </c:val>
          <c:extLst xmlns:c16r2="http://schemas.microsoft.com/office/drawing/2015/06/chart">
            <c:ext xmlns:c16="http://schemas.microsoft.com/office/drawing/2014/chart" uri="{C3380CC4-5D6E-409C-BE32-E72D297353CC}">
              <c16:uniqueId val="{00000001-D9AF-4191-827D-1EA305D3AAB8}"/>
            </c:ext>
          </c:extLst>
        </c:ser>
        <c:ser>
          <c:idx val="2"/>
          <c:order val="2"/>
          <c:tx>
            <c:strRef>
              <c:f>'WTP Main'!$BU$190</c:f>
              <c:strCache>
                <c:ptCount val="1"/>
                <c:pt idx="0">
                  <c:v>WTPCore_DCE2</c:v>
                </c:pt>
              </c:strCache>
            </c:strRef>
          </c:tx>
          <c:spPr>
            <a:solidFill>
              <a:schemeClr val="accent6"/>
            </a:solidFill>
            <a:ln>
              <a:noFill/>
            </a:ln>
            <a:effectLst/>
          </c:spPr>
          <c:invertIfNegative val="0"/>
          <c:cat>
            <c:strRef>
              <c:f>'WTP Main'!$A$191</c:f>
              <c:strCache>
                <c:ptCount val="1"/>
                <c:pt idx="0">
                  <c:v>Leakage</c:v>
                </c:pt>
              </c:strCache>
            </c:strRef>
          </c:cat>
          <c:val>
            <c:numRef>
              <c:f>'WTP Main'!$BU$191</c:f>
              <c:numCache>
                <c:formatCode>"£"#,##0</c:formatCode>
                <c:ptCount val="1"/>
                <c:pt idx="0">
                  <c:v>810506.46593919117</c:v>
                </c:pt>
              </c:numCache>
            </c:numRef>
          </c:val>
          <c:extLst xmlns:c16r2="http://schemas.microsoft.com/office/drawing/2015/06/chart">
            <c:ext xmlns:c16="http://schemas.microsoft.com/office/drawing/2014/chart" uri="{C3380CC4-5D6E-409C-BE32-E72D297353CC}">
              <c16:uniqueId val="{00000002-D9AF-4191-827D-1EA305D3AAB8}"/>
            </c:ext>
          </c:extLst>
        </c:ser>
        <c:ser>
          <c:idx val="3"/>
          <c:order val="3"/>
          <c:tx>
            <c:strRef>
              <c:f>'WTP Main'!$BV$190</c:f>
              <c:strCache>
                <c:ptCount val="1"/>
                <c:pt idx="0">
                  <c:v>WTP core_DCE_Private</c:v>
                </c:pt>
              </c:strCache>
            </c:strRef>
          </c:tx>
          <c:spPr>
            <a:solidFill>
              <a:schemeClr val="accent2">
                <a:lumMod val="60000"/>
              </a:schemeClr>
            </a:solidFill>
            <a:ln>
              <a:noFill/>
            </a:ln>
            <a:effectLst/>
          </c:spPr>
          <c:invertIfNegative val="0"/>
          <c:cat>
            <c:strRef>
              <c:f>'WTP Main'!$A$191</c:f>
              <c:strCache>
                <c:ptCount val="1"/>
                <c:pt idx="0">
                  <c:v>Leakage</c:v>
                </c:pt>
              </c:strCache>
            </c:strRef>
          </c:cat>
          <c:val>
            <c:numRef>
              <c:f>'WTP Main'!$BV$191</c:f>
              <c:numCache>
                <c:formatCode>"£"#,##0</c:formatCode>
                <c:ptCount val="1"/>
                <c:pt idx="0">
                  <c:v>128948.14814814816</c:v>
                </c:pt>
              </c:numCache>
            </c:numRef>
          </c:val>
          <c:extLst xmlns:c16r2="http://schemas.microsoft.com/office/drawing/2015/06/chart">
            <c:ext xmlns:c16="http://schemas.microsoft.com/office/drawing/2014/chart" uri="{C3380CC4-5D6E-409C-BE32-E72D297353CC}">
              <c16:uniqueId val="{00000003-D9AF-4191-827D-1EA305D3AAB8}"/>
            </c:ext>
          </c:extLst>
        </c:ser>
        <c:ser>
          <c:idx val="4"/>
          <c:order val="4"/>
          <c:tx>
            <c:strRef>
              <c:f>'WTP Main'!$BY$190</c:f>
              <c:strCache>
                <c:ptCount val="1"/>
                <c:pt idx="0">
                  <c:v>ExternalWTP14</c:v>
                </c:pt>
              </c:strCache>
            </c:strRef>
          </c:tx>
          <c:spPr>
            <a:solidFill>
              <a:schemeClr val="accent4">
                <a:lumMod val="60000"/>
              </a:schemeClr>
            </a:solidFill>
            <a:ln>
              <a:noFill/>
            </a:ln>
            <a:effectLst/>
          </c:spPr>
          <c:invertIfNegative val="0"/>
          <c:cat>
            <c:strRef>
              <c:f>'WTP Main'!$A$191</c:f>
              <c:strCache>
                <c:ptCount val="1"/>
                <c:pt idx="0">
                  <c:v>Leakage</c:v>
                </c:pt>
              </c:strCache>
            </c:strRef>
          </c:cat>
          <c:val>
            <c:numRef>
              <c:f>'WTP Main'!$BY$191</c:f>
              <c:numCache>
                <c:formatCode>"£"#,##0</c:formatCode>
                <c:ptCount val="1"/>
                <c:pt idx="0">
                  <c:v>822265.85575040022</c:v>
                </c:pt>
              </c:numCache>
            </c:numRef>
          </c:val>
          <c:extLst xmlns:c16r2="http://schemas.microsoft.com/office/drawing/2015/06/chart">
            <c:ext xmlns:c16="http://schemas.microsoft.com/office/drawing/2014/chart" uri="{C3380CC4-5D6E-409C-BE32-E72D297353CC}">
              <c16:uniqueId val="{00000004-D9AF-4191-827D-1EA305D3AAB8}"/>
            </c:ext>
          </c:extLst>
        </c:ser>
        <c:ser>
          <c:idx val="5"/>
          <c:order val="5"/>
          <c:tx>
            <c:strRef>
              <c:f>'WTP Main'!$BZ$190</c:f>
              <c:strCache>
                <c:ptCount val="1"/>
                <c:pt idx="0">
                  <c:v>ExternalWTP19</c:v>
                </c:pt>
              </c:strCache>
            </c:strRef>
          </c:tx>
          <c:spPr>
            <a:solidFill>
              <a:schemeClr val="accent6">
                <a:lumMod val="60000"/>
              </a:schemeClr>
            </a:solidFill>
            <a:ln>
              <a:noFill/>
            </a:ln>
            <a:effectLst/>
          </c:spPr>
          <c:invertIfNegative val="0"/>
          <c:cat>
            <c:strRef>
              <c:f>'WTP Main'!$A$191</c:f>
              <c:strCache>
                <c:ptCount val="1"/>
                <c:pt idx="0">
                  <c:v>Leakage</c:v>
                </c:pt>
              </c:strCache>
            </c:strRef>
          </c:cat>
          <c:val>
            <c:numRef>
              <c:f>'WTP Main'!$BZ$191</c:f>
              <c:numCache>
                <c:formatCode>"£"#,##0</c:formatCode>
                <c:ptCount val="1"/>
                <c:pt idx="0">
                  <c:v>295451.01963248639</c:v>
                </c:pt>
              </c:numCache>
            </c:numRef>
          </c:val>
          <c:extLst xmlns:c16r2="http://schemas.microsoft.com/office/drawing/2015/06/chart">
            <c:ext xmlns:c16="http://schemas.microsoft.com/office/drawing/2014/chart" uri="{C3380CC4-5D6E-409C-BE32-E72D297353CC}">
              <c16:uniqueId val="{00000005-D9AF-4191-827D-1EA305D3AAB8}"/>
            </c:ext>
          </c:extLst>
        </c:ser>
        <c:ser>
          <c:idx val="6"/>
          <c:order val="6"/>
          <c:tx>
            <c:strRef>
              <c:f>'WTP Main'!$CA$190</c:f>
              <c:strCache>
                <c:ptCount val="1"/>
                <c:pt idx="0">
                  <c:v>WTPCore_MaxDiff</c:v>
                </c:pt>
              </c:strCache>
            </c:strRef>
          </c:tx>
          <c:spPr>
            <a:solidFill>
              <a:schemeClr val="accent2">
                <a:lumMod val="80000"/>
                <a:lumOff val="20000"/>
              </a:schemeClr>
            </a:solidFill>
            <a:ln>
              <a:noFill/>
            </a:ln>
            <a:effectLst/>
          </c:spPr>
          <c:invertIfNegative val="0"/>
          <c:cat>
            <c:strRef>
              <c:f>'WTP Main'!$A$191</c:f>
              <c:strCache>
                <c:ptCount val="1"/>
                <c:pt idx="0">
                  <c:v>Leakage</c:v>
                </c:pt>
              </c:strCache>
            </c:strRef>
          </c:cat>
          <c:val>
            <c:numRef>
              <c:f>'WTP Main'!$CA$191</c:f>
              <c:numCache>
                <c:formatCode>"£"#,##0</c:formatCode>
                <c:ptCount val="1"/>
                <c:pt idx="0">
                  <c:v>120407.33647512669</c:v>
                </c:pt>
              </c:numCache>
            </c:numRef>
          </c:val>
          <c:extLst xmlns:c16r2="http://schemas.microsoft.com/office/drawing/2015/06/chart">
            <c:ext xmlns:c16="http://schemas.microsoft.com/office/drawing/2014/chart" uri="{C3380CC4-5D6E-409C-BE32-E72D297353CC}">
              <c16:uniqueId val="{00000006-D9AF-4191-827D-1EA305D3AAB8}"/>
            </c:ext>
          </c:extLst>
        </c:ser>
        <c:dLbls>
          <c:showLegendKey val="0"/>
          <c:showVal val="0"/>
          <c:showCatName val="0"/>
          <c:showSerName val="0"/>
          <c:showPercent val="0"/>
          <c:showBubbleSize val="0"/>
        </c:dLbls>
        <c:gapWidth val="219"/>
        <c:overlap val="-27"/>
        <c:axId val="1355768448"/>
        <c:axId val="1355768992"/>
      </c:barChart>
      <c:catAx>
        <c:axId val="1355768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55768992"/>
        <c:crosses val="autoZero"/>
        <c:auto val="1"/>
        <c:lblAlgn val="ctr"/>
        <c:lblOffset val="100"/>
        <c:noMultiLvlLbl val="0"/>
      </c:catAx>
      <c:valAx>
        <c:axId val="1355768992"/>
        <c:scaling>
          <c:orientation val="minMax"/>
          <c:max val="10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557684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WRMP Priorities:  WRMP Workshops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extLst>
                <c:ext xmlns:c15="http://schemas.microsoft.com/office/drawing/2012/chart" uri="{02D57815-91ED-43cb-92C2-25804820EDAC}">
                  <c15:fullRef>
                    <c15:sqref>'WRMP Main'!$A$30:$A$38</c15:sqref>
                  </c15:fullRef>
                </c:ext>
              </c:extLst>
              <c:f>('WRMP Main'!$A$30,'WRMP Main'!$A$32:$A$38)</c:f>
              <c:strCache>
                <c:ptCount val="8"/>
                <c:pt idx="0">
                  <c:v>Reducing leakage</c:v>
                </c:pt>
                <c:pt idx="1">
                  <c:v>Increased metering (not smart meters)</c:v>
                </c:pt>
                <c:pt idx="2">
                  <c:v>Trading with another water company</c:v>
                </c:pt>
                <c:pt idx="3">
                  <c:v>Reducing customer water usage/More education campaigns</c:v>
                </c:pt>
                <c:pt idx="4">
                  <c:v>Installing smart meters</c:v>
                </c:pt>
                <c:pt idx="5">
                  <c:v>Increasing the amount of water in the Blithfield reservoir</c:v>
                </c:pt>
                <c:pt idx="6">
                  <c:v>Taking water from the River Trent</c:v>
                </c:pt>
                <c:pt idx="7">
                  <c:v>Taking more groundwater </c:v>
                </c:pt>
              </c:strCache>
            </c:strRef>
          </c:cat>
          <c:val>
            <c:numRef>
              <c:extLst>
                <c:ext xmlns:c15="http://schemas.microsoft.com/office/drawing/2012/chart" uri="{02D57815-91ED-43cb-92C2-25804820EDAC}">
                  <c15:fullRef>
                    <c15:sqref>'WRMP Main'!$B$30:$B$38</c15:sqref>
                  </c15:fullRef>
                </c:ext>
              </c:extLst>
              <c:f>('WRMP Main'!$B$30,'WRMP Main'!$B$32:$B$38)</c:f>
              <c:numCache>
                <c:formatCode>General</c:formatCode>
                <c:ptCount val="8"/>
                <c:pt idx="0" formatCode="0.0">
                  <c:v>15.236465736597351</c:v>
                </c:pt>
                <c:pt idx="1" formatCode="0.0">
                  <c:v>17.908221461788191</c:v>
                </c:pt>
                <c:pt idx="2" formatCode="0.0">
                  <c:v>14.402913047293147</c:v>
                </c:pt>
                <c:pt idx="3" formatCode="0.0">
                  <c:v>12.876195490041239</c:v>
                </c:pt>
                <c:pt idx="4" formatCode="0.0">
                  <c:v>16.763183293849259</c:v>
                </c:pt>
                <c:pt idx="5" formatCode="0.0">
                  <c:v>9.017723962446258</c:v>
                </c:pt>
                <c:pt idx="6" formatCode="0.0">
                  <c:v>8.5088181100289564</c:v>
                </c:pt>
                <c:pt idx="7" formatCode="0.0">
                  <c:v>5.2864788979556021</c:v>
                </c:pt>
              </c:numCache>
            </c:numRef>
          </c:val>
          <c:extLst xmlns:c16r2="http://schemas.microsoft.com/office/drawing/2015/06/chart">
            <c:ext xmlns:c16="http://schemas.microsoft.com/office/drawing/2014/chart" uri="{C3380CC4-5D6E-409C-BE32-E72D297353CC}">
              <c16:uniqueId val="{00000000-0B0A-4B05-8BF4-30D348FE8582}"/>
            </c:ext>
          </c:extLst>
        </c:ser>
        <c:dLbls>
          <c:showLegendKey val="0"/>
          <c:showVal val="0"/>
          <c:showCatName val="0"/>
          <c:showSerName val="0"/>
          <c:showPercent val="0"/>
          <c:showBubbleSize val="0"/>
        </c:dLbls>
        <c:gapWidth val="219"/>
        <c:overlap val="-27"/>
        <c:axId val="994368128"/>
        <c:axId val="994360512"/>
      </c:barChart>
      <c:catAx>
        <c:axId val="994368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994360512"/>
        <c:crosses val="autoZero"/>
        <c:auto val="1"/>
        <c:lblAlgn val="ctr"/>
        <c:lblOffset val="100"/>
        <c:noMultiLvlLbl val="0"/>
      </c:catAx>
      <c:valAx>
        <c:axId val="994360512"/>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99436812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rgbClr val="000000"/>
                </a:solidFill>
                <a:effectLst/>
              </a:rPr>
              <a:t>CAM WTP Unit Values and Range - Metering (£/HH metered/yr) (HH and NHH)</a:t>
            </a:r>
            <a:endParaRPr lang="en-GB" sz="1400">
              <a:solidFill>
                <a:srgbClr val="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Main'!$BS$215</c:f>
              <c:strCache>
                <c:ptCount val="1"/>
                <c:pt idx="0">
                  <c:v>COMBINED</c:v>
                </c:pt>
              </c:strCache>
            </c:strRef>
          </c:tx>
          <c:spPr>
            <a:solidFill>
              <a:schemeClr val="accent2"/>
            </a:solidFill>
            <a:ln>
              <a:noFill/>
            </a:ln>
            <a:effectLst/>
          </c:spPr>
          <c:invertIfNegative val="0"/>
          <c:errBars>
            <c:errBarType val="both"/>
            <c:errValType val="cust"/>
            <c:noEndCap val="0"/>
            <c:plus>
              <c:numRef>
                <c:f>'WTP Main'!$BU$216:$BU$217</c:f>
                <c:numCache>
                  <c:formatCode>General</c:formatCode>
                  <c:ptCount val="2"/>
                  <c:pt idx="0">
                    <c:v>2.6334281554866577</c:v>
                  </c:pt>
                  <c:pt idx="1">
                    <c:v>1.7872126174874032</c:v>
                  </c:pt>
                </c:numCache>
              </c:numRef>
            </c:plus>
            <c:minus>
              <c:numRef>
                <c:f>'WTP Main'!$BT$216:$BT$217</c:f>
                <c:numCache>
                  <c:formatCode>General</c:formatCode>
                  <c:ptCount val="2"/>
                  <c:pt idx="0">
                    <c:v>4.360599740740386</c:v>
                  </c:pt>
                  <c:pt idx="1">
                    <c:v>1.0601500590153006</c:v>
                  </c:pt>
                </c:numCache>
              </c:numRef>
            </c:minus>
            <c:spPr>
              <a:noFill/>
              <a:ln w="9525" cap="flat" cmpd="sng" algn="ctr">
                <a:solidFill>
                  <a:srgbClr val="000000"/>
                </a:solidFill>
                <a:round/>
              </a:ln>
              <a:effectLst/>
            </c:spPr>
          </c:errBars>
          <c:cat>
            <c:strRef>
              <c:f>'WTP Main'!$A$216:$A$217</c:f>
              <c:strCache>
                <c:ptCount val="2"/>
                <c:pt idx="0">
                  <c:v>Water metering</c:v>
                </c:pt>
                <c:pt idx="1">
                  <c:v>Giving customers control of their water usage</c:v>
                </c:pt>
              </c:strCache>
            </c:strRef>
          </c:cat>
          <c:val>
            <c:numRef>
              <c:f>'WTP Main'!$BS$216:$BS$217</c:f>
              <c:numCache>
                <c:formatCode>"£"#,##0</c:formatCode>
                <c:ptCount val="2"/>
                <c:pt idx="0">
                  <c:v>7.1076022792989635</c:v>
                </c:pt>
                <c:pt idx="1">
                  <c:v>1.6539842281407462</c:v>
                </c:pt>
              </c:numCache>
            </c:numRef>
          </c:val>
          <c:extLst xmlns:c16r2="http://schemas.microsoft.com/office/drawing/2015/06/chart">
            <c:ext xmlns:c16="http://schemas.microsoft.com/office/drawing/2014/chart" uri="{C3380CC4-5D6E-409C-BE32-E72D297353CC}">
              <c16:uniqueId val="{00000000-02E9-4B78-AEE8-82E2FA9E7FFA}"/>
            </c:ext>
          </c:extLst>
        </c:ser>
        <c:dLbls>
          <c:showLegendKey val="0"/>
          <c:showVal val="0"/>
          <c:showCatName val="0"/>
          <c:showSerName val="0"/>
          <c:showPercent val="0"/>
          <c:showBubbleSize val="0"/>
        </c:dLbls>
        <c:gapWidth val="219"/>
        <c:overlap val="-27"/>
        <c:axId val="1355774976"/>
        <c:axId val="1375636464"/>
      </c:barChart>
      <c:catAx>
        <c:axId val="1355774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75636464"/>
        <c:crosses val="autoZero"/>
        <c:auto val="1"/>
        <c:lblAlgn val="ctr"/>
        <c:lblOffset val="100"/>
        <c:noMultiLvlLbl val="0"/>
      </c:catAx>
      <c:valAx>
        <c:axId val="1375636464"/>
        <c:scaling>
          <c:orientation val="minMax"/>
          <c:max val="3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55774976"/>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rgbClr val="000000"/>
                </a:solidFill>
                <a:effectLst/>
              </a:rPr>
              <a:t>CAM WTP Unit Values and Range - Environmental Protection (£/Hectare/yr) (HH and NHH)</a:t>
            </a:r>
            <a:endParaRPr lang="en-GB" sz="1400">
              <a:solidFill>
                <a:srgbClr val="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Main'!$BS$247</c:f>
              <c:strCache>
                <c:ptCount val="1"/>
                <c:pt idx="0">
                  <c:v>COMBINED</c:v>
                </c:pt>
              </c:strCache>
            </c:strRef>
          </c:tx>
          <c:spPr>
            <a:solidFill>
              <a:schemeClr val="accent2"/>
            </a:solidFill>
            <a:ln>
              <a:noFill/>
            </a:ln>
            <a:effectLst/>
          </c:spPr>
          <c:invertIfNegative val="0"/>
          <c:errBars>
            <c:errBarType val="both"/>
            <c:errValType val="cust"/>
            <c:noEndCap val="0"/>
            <c:plus>
              <c:numRef>
                <c:f>'WTP Main'!$BU$248:$BU$249</c:f>
                <c:numCache>
                  <c:formatCode>General</c:formatCode>
                  <c:ptCount val="2"/>
                  <c:pt idx="0">
                    <c:v>689678.78116370377</c:v>
                  </c:pt>
                  <c:pt idx="1">
                    <c:v>22224.686503444576</c:v>
                  </c:pt>
                </c:numCache>
              </c:numRef>
            </c:plus>
            <c:minus>
              <c:numRef>
                <c:f>'WTP Main'!$BT$248:$BT$249</c:f>
                <c:numCache>
                  <c:formatCode>General</c:formatCode>
                  <c:ptCount val="2"/>
                  <c:pt idx="0">
                    <c:v>32706.864615649058</c:v>
                  </c:pt>
                  <c:pt idx="1">
                    <c:v>10348.350111587893</c:v>
                  </c:pt>
                </c:numCache>
              </c:numRef>
            </c:minus>
            <c:spPr>
              <a:noFill/>
              <a:ln w="9525" cap="flat" cmpd="sng" algn="ctr">
                <a:solidFill>
                  <a:srgbClr val="000000"/>
                </a:solidFill>
                <a:round/>
              </a:ln>
              <a:effectLst/>
            </c:spPr>
          </c:errBars>
          <c:cat>
            <c:strRef>
              <c:f>'WTP Main'!$A$248:$A$249</c:f>
              <c:strCache>
                <c:ptCount val="2"/>
                <c:pt idx="0">
                  <c:v>Protecting wildlife habitats</c:v>
                </c:pt>
                <c:pt idx="1">
                  <c:v>Managing impacts on rivers &amp; streams</c:v>
                </c:pt>
              </c:strCache>
            </c:strRef>
          </c:cat>
          <c:val>
            <c:numRef>
              <c:f>'WTP Main'!$BS$248:$BS$249</c:f>
              <c:numCache>
                <c:formatCode>"£"#,##0</c:formatCode>
                <c:ptCount val="2"/>
                <c:pt idx="0">
                  <c:v>42233.385537830625</c:v>
                </c:pt>
                <c:pt idx="1">
                  <c:v>13603.537639484868</c:v>
                </c:pt>
              </c:numCache>
            </c:numRef>
          </c:val>
          <c:extLst xmlns:c16r2="http://schemas.microsoft.com/office/drawing/2015/06/chart">
            <c:ext xmlns:c16="http://schemas.microsoft.com/office/drawing/2014/chart" uri="{C3380CC4-5D6E-409C-BE32-E72D297353CC}">
              <c16:uniqueId val="{00000000-C743-41D5-8831-DF5F77C91F2F}"/>
            </c:ext>
          </c:extLst>
        </c:ser>
        <c:dLbls>
          <c:showLegendKey val="0"/>
          <c:showVal val="0"/>
          <c:showCatName val="0"/>
          <c:showSerName val="0"/>
          <c:showPercent val="0"/>
          <c:showBubbleSize val="0"/>
        </c:dLbls>
        <c:gapWidth val="219"/>
        <c:overlap val="-27"/>
        <c:axId val="1375633200"/>
        <c:axId val="1375634288"/>
      </c:barChart>
      <c:catAx>
        <c:axId val="1375633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75634288"/>
        <c:crosses val="autoZero"/>
        <c:auto val="1"/>
        <c:lblAlgn val="ctr"/>
        <c:lblOffset val="100"/>
        <c:noMultiLvlLbl val="0"/>
      </c:catAx>
      <c:valAx>
        <c:axId val="1375634288"/>
        <c:scaling>
          <c:orientation val="minMax"/>
          <c:max val="2000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75633200"/>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rgbClr val="000000"/>
                </a:solidFill>
                <a:effectLst/>
              </a:rPr>
              <a:t>CAM NHH WTP Unit Values and Range - Environmental Protection (£/Hectare/yr)</a:t>
            </a:r>
            <a:endParaRPr lang="en-GB" sz="1400">
              <a:solidFill>
                <a:srgbClr val="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Main'!$BS$254</c:f>
              <c:strCache>
                <c:ptCount val="1"/>
                <c:pt idx="0">
                  <c:v>COMBINED</c:v>
                </c:pt>
              </c:strCache>
            </c:strRef>
          </c:tx>
          <c:spPr>
            <a:solidFill>
              <a:schemeClr val="accent2"/>
            </a:solidFill>
            <a:ln>
              <a:noFill/>
            </a:ln>
            <a:effectLst/>
          </c:spPr>
          <c:invertIfNegative val="0"/>
          <c:errBars>
            <c:errBarType val="both"/>
            <c:errValType val="cust"/>
            <c:noEndCap val="0"/>
            <c:plus>
              <c:numRef>
                <c:f>'WTP Main'!$CE$255:$CE$256</c:f>
                <c:numCache>
                  <c:formatCode>General</c:formatCode>
                  <c:ptCount val="2"/>
                  <c:pt idx="0">
                    <c:v>670989.1078352062</c:v>
                  </c:pt>
                  <c:pt idx="1">
                    <c:v>21263.358014338872</c:v>
                  </c:pt>
                </c:numCache>
              </c:numRef>
            </c:plus>
            <c:minus>
              <c:numRef>
                <c:f>'WTP Main'!$CD$255:$CD$256</c:f>
                <c:numCache>
                  <c:formatCode>General</c:formatCode>
                  <c:ptCount val="2"/>
                  <c:pt idx="0">
                    <c:v>24290.942861130439</c:v>
                  </c:pt>
                  <c:pt idx="1">
                    <c:v>9177.8053104528572</c:v>
                  </c:pt>
                </c:numCache>
              </c:numRef>
            </c:minus>
            <c:spPr>
              <a:noFill/>
              <a:ln w="9525" cap="flat" cmpd="sng" algn="ctr">
                <a:solidFill>
                  <a:srgbClr val="000000"/>
                </a:solidFill>
                <a:round/>
              </a:ln>
              <a:effectLst/>
            </c:spPr>
          </c:errBars>
          <c:cat>
            <c:strRef>
              <c:f>'WTP Main'!$A$255:$A$256</c:f>
              <c:strCache>
                <c:ptCount val="2"/>
                <c:pt idx="0">
                  <c:v>Protecting wildlife habitats</c:v>
                </c:pt>
                <c:pt idx="1">
                  <c:v>Managing impacts on rivers &amp; streams</c:v>
                </c:pt>
              </c:strCache>
            </c:strRef>
          </c:cat>
          <c:val>
            <c:numRef>
              <c:f>'WTP Main'!$BS$255:$BS$256</c:f>
              <c:numCache>
                <c:formatCode>"£"#,##0</c:formatCode>
                <c:ptCount val="2"/>
                <c:pt idx="0">
                  <c:v>30363.678576413047</c:v>
                </c:pt>
                <c:pt idx="1">
                  <c:v>11472.256638066072</c:v>
                </c:pt>
              </c:numCache>
            </c:numRef>
          </c:val>
          <c:extLst xmlns:c16r2="http://schemas.microsoft.com/office/drawing/2015/06/chart">
            <c:ext xmlns:c16="http://schemas.microsoft.com/office/drawing/2014/chart" uri="{C3380CC4-5D6E-409C-BE32-E72D297353CC}">
              <c16:uniqueId val="{00000000-811A-48E5-9F97-3B59D31494F6}"/>
            </c:ext>
          </c:extLst>
        </c:ser>
        <c:ser>
          <c:idx val="1"/>
          <c:order val="1"/>
          <c:tx>
            <c:strRef>
              <c:f>'WTP Main'!$BT$254</c:f>
              <c:strCache>
                <c:ptCount val="1"/>
                <c:pt idx="0">
                  <c:v>WTPCore_DCE</c:v>
                </c:pt>
              </c:strCache>
            </c:strRef>
          </c:tx>
          <c:spPr>
            <a:solidFill>
              <a:schemeClr val="accent4"/>
            </a:solidFill>
            <a:ln>
              <a:noFill/>
            </a:ln>
            <a:effectLst/>
          </c:spPr>
          <c:invertIfNegative val="0"/>
          <c:cat>
            <c:strRef>
              <c:f>'WTP Main'!$A$255:$A$256</c:f>
              <c:strCache>
                <c:ptCount val="2"/>
                <c:pt idx="0">
                  <c:v>Protecting wildlife habitats</c:v>
                </c:pt>
                <c:pt idx="1">
                  <c:v>Managing impacts on rivers &amp; streams</c:v>
                </c:pt>
              </c:strCache>
            </c:strRef>
          </c:cat>
          <c:val>
            <c:numRef>
              <c:f>'WTP Main'!$BT$255:$BT$256</c:f>
              <c:numCache>
                <c:formatCode>"£"#,##0</c:formatCode>
                <c:ptCount val="2"/>
                <c:pt idx="0">
                  <c:v>5120</c:v>
                </c:pt>
                <c:pt idx="1">
                  <c:v>13312</c:v>
                </c:pt>
              </c:numCache>
            </c:numRef>
          </c:val>
          <c:extLst xmlns:c16r2="http://schemas.microsoft.com/office/drawing/2015/06/chart">
            <c:ext xmlns:c16="http://schemas.microsoft.com/office/drawing/2014/chart" uri="{C3380CC4-5D6E-409C-BE32-E72D297353CC}">
              <c16:uniqueId val="{00000001-811A-48E5-9F97-3B59D31494F6}"/>
            </c:ext>
          </c:extLst>
        </c:ser>
        <c:ser>
          <c:idx val="2"/>
          <c:order val="2"/>
          <c:tx>
            <c:strRef>
              <c:f>'WTP Main'!$BU$254</c:f>
              <c:strCache>
                <c:ptCount val="1"/>
                <c:pt idx="0">
                  <c:v>WTPCore_DCE2</c:v>
                </c:pt>
              </c:strCache>
            </c:strRef>
          </c:tx>
          <c:spPr>
            <a:solidFill>
              <a:schemeClr val="accent6"/>
            </a:solidFill>
            <a:ln>
              <a:noFill/>
            </a:ln>
            <a:effectLst/>
          </c:spPr>
          <c:invertIfNegative val="0"/>
          <c:cat>
            <c:strRef>
              <c:f>'WTP Main'!$A$255:$A$256</c:f>
              <c:strCache>
                <c:ptCount val="2"/>
                <c:pt idx="0">
                  <c:v>Protecting wildlife habitats</c:v>
                </c:pt>
                <c:pt idx="1">
                  <c:v>Managing impacts on rivers &amp; streams</c:v>
                </c:pt>
              </c:strCache>
            </c:strRef>
          </c:cat>
          <c:val>
            <c:numRef>
              <c:f>'WTP Main'!$BU$255:$BU$256</c:f>
              <c:numCache>
                <c:formatCode>"£"#,##0</c:formatCode>
                <c:ptCount val="2"/>
                <c:pt idx="0">
                  <c:v>115707.47377785998</c:v>
                </c:pt>
                <c:pt idx="1">
                  <c:v>35976.184774612797</c:v>
                </c:pt>
              </c:numCache>
            </c:numRef>
          </c:val>
          <c:extLst xmlns:c16r2="http://schemas.microsoft.com/office/drawing/2015/06/chart">
            <c:ext xmlns:c16="http://schemas.microsoft.com/office/drawing/2014/chart" uri="{C3380CC4-5D6E-409C-BE32-E72D297353CC}">
              <c16:uniqueId val="{00000002-811A-48E5-9F97-3B59D31494F6}"/>
            </c:ext>
          </c:extLst>
        </c:ser>
        <c:ser>
          <c:idx val="3"/>
          <c:order val="3"/>
          <c:tx>
            <c:strRef>
              <c:f>'WTP Main'!$BV$254</c:f>
              <c:strCache>
                <c:ptCount val="1"/>
                <c:pt idx="0">
                  <c:v>WTP core_DCE_Private</c:v>
                </c:pt>
              </c:strCache>
            </c:strRef>
          </c:tx>
          <c:spPr>
            <a:solidFill>
              <a:schemeClr val="accent2">
                <a:lumMod val="60000"/>
              </a:schemeClr>
            </a:solidFill>
            <a:ln>
              <a:noFill/>
            </a:ln>
            <a:effectLst/>
          </c:spPr>
          <c:invertIfNegative val="0"/>
          <c:cat>
            <c:strRef>
              <c:f>'WTP Main'!$A$255:$A$256</c:f>
              <c:strCache>
                <c:ptCount val="2"/>
                <c:pt idx="0">
                  <c:v>Protecting wildlife habitats</c:v>
                </c:pt>
                <c:pt idx="1">
                  <c:v>Managing impacts on rivers &amp; streams</c:v>
                </c:pt>
              </c:strCache>
            </c:strRef>
          </c:cat>
          <c:val>
            <c:numRef>
              <c:f>'WTP Main'!$BV$255:$BV$256</c:f>
              <c:numCache>
                <c:formatCode>"£"#,##0</c:formatCode>
                <c:ptCount val="2"/>
                <c:pt idx="0">
                  <c:v>17920</c:v>
                </c:pt>
                <c:pt idx="1">
                  <c:v>17612.8</c:v>
                </c:pt>
              </c:numCache>
            </c:numRef>
          </c:val>
          <c:extLst xmlns:c16r2="http://schemas.microsoft.com/office/drawing/2015/06/chart">
            <c:ext xmlns:c16="http://schemas.microsoft.com/office/drawing/2014/chart" uri="{C3380CC4-5D6E-409C-BE32-E72D297353CC}">
              <c16:uniqueId val="{00000003-811A-48E5-9F97-3B59D31494F6}"/>
            </c:ext>
          </c:extLst>
        </c:ser>
        <c:ser>
          <c:idx val="4"/>
          <c:order val="4"/>
          <c:tx>
            <c:strRef>
              <c:f>'WTP Main'!$BZ$254</c:f>
              <c:strCache>
                <c:ptCount val="1"/>
                <c:pt idx="0">
                  <c:v>ExternalWTP19</c:v>
                </c:pt>
              </c:strCache>
            </c:strRef>
          </c:tx>
          <c:spPr>
            <a:solidFill>
              <a:schemeClr val="accent4">
                <a:lumMod val="60000"/>
              </a:schemeClr>
            </a:solidFill>
            <a:ln>
              <a:noFill/>
            </a:ln>
            <a:effectLst/>
          </c:spPr>
          <c:invertIfNegative val="0"/>
          <c:cat>
            <c:strRef>
              <c:f>'WTP Main'!$A$255:$A$256</c:f>
              <c:strCache>
                <c:ptCount val="2"/>
                <c:pt idx="0">
                  <c:v>Protecting wildlife habitats</c:v>
                </c:pt>
                <c:pt idx="1">
                  <c:v>Managing impacts on rivers &amp; streams</c:v>
                </c:pt>
              </c:strCache>
            </c:strRef>
          </c:cat>
          <c:val>
            <c:numRef>
              <c:f>'WTP Main'!$BZ$255:$BZ$256</c:f>
              <c:numCache>
                <c:formatCode>"£"#,##0</c:formatCode>
                <c:ptCount val="2"/>
                <c:pt idx="0">
                  <c:v>25165.264848875609</c:v>
                </c:pt>
              </c:numCache>
            </c:numRef>
          </c:val>
          <c:extLst xmlns:c16r2="http://schemas.microsoft.com/office/drawing/2015/06/chart">
            <c:ext xmlns:c16="http://schemas.microsoft.com/office/drawing/2014/chart" uri="{C3380CC4-5D6E-409C-BE32-E72D297353CC}">
              <c16:uniqueId val="{00000004-811A-48E5-9F97-3B59D31494F6}"/>
            </c:ext>
          </c:extLst>
        </c:ser>
        <c:ser>
          <c:idx val="5"/>
          <c:order val="5"/>
          <c:tx>
            <c:strRef>
              <c:f>'WTP Main'!$CA$254</c:f>
              <c:strCache>
                <c:ptCount val="1"/>
                <c:pt idx="0">
                  <c:v>WTPCore_MaxDiff</c:v>
                </c:pt>
              </c:strCache>
            </c:strRef>
          </c:tx>
          <c:spPr>
            <a:solidFill>
              <a:schemeClr val="accent6">
                <a:lumMod val="60000"/>
              </a:schemeClr>
            </a:solidFill>
            <a:ln>
              <a:noFill/>
            </a:ln>
            <a:effectLst/>
          </c:spPr>
          <c:invertIfNegative val="0"/>
          <c:cat>
            <c:strRef>
              <c:f>'WTP Main'!$A$255:$A$256</c:f>
              <c:strCache>
                <c:ptCount val="2"/>
                <c:pt idx="0">
                  <c:v>Protecting wildlife habitats</c:v>
                </c:pt>
                <c:pt idx="1">
                  <c:v>Managing impacts on rivers &amp; streams</c:v>
                </c:pt>
              </c:strCache>
            </c:strRef>
          </c:cat>
          <c:val>
            <c:numRef>
              <c:f>'WTP Main'!$CA$255:$CA$256</c:f>
              <c:numCache>
                <c:formatCode>"£"#,##0</c:formatCode>
                <c:ptCount val="2"/>
                <c:pt idx="0">
                  <c:v>83450.242593007861</c:v>
                </c:pt>
                <c:pt idx="1">
                  <c:v>7792.7699141982121</c:v>
                </c:pt>
              </c:numCache>
            </c:numRef>
          </c:val>
          <c:extLst xmlns:c16r2="http://schemas.microsoft.com/office/drawing/2015/06/chart">
            <c:ext xmlns:c16="http://schemas.microsoft.com/office/drawing/2014/chart" uri="{C3380CC4-5D6E-409C-BE32-E72D297353CC}">
              <c16:uniqueId val="{00000005-811A-48E5-9F97-3B59D31494F6}"/>
            </c:ext>
          </c:extLst>
        </c:ser>
        <c:dLbls>
          <c:showLegendKey val="0"/>
          <c:showVal val="0"/>
          <c:showCatName val="0"/>
          <c:showSerName val="0"/>
          <c:showPercent val="0"/>
          <c:showBubbleSize val="0"/>
        </c:dLbls>
        <c:gapWidth val="219"/>
        <c:overlap val="-27"/>
        <c:axId val="1375634832"/>
        <c:axId val="1375629392"/>
      </c:barChart>
      <c:catAx>
        <c:axId val="1375634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75629392"/>
        <c:crosses val="autoZero"/>
        <c:auto val="1"/>
        <c:lblAlgn val="ctr"/>
        <c:lblOffset val="100"/>
        <c:noMultiLvlLbl val="0"/>
      </c:catAx>
      <c:valAx>
        <c:axId val="1375629392"/>
        <c:scaling>
          <c:orientation val="minMax"/>
          <c:max val="20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75634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rgbClr val="000000"/>
                </a:solidFill>
                <a:effectLst/>
              </a:rPr>
              <a:t>CAM WTP Unit Values and Range - Traffic Disruption (£/Roadworks/yr) (HH and NHH)</a:t>
            </a:r>
            <a:endParaRPr lang="en-GB" sz="1400">
              <a:solidFill>
                <a:srgbClr val="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Main'!$BS$277</c:f>
              <c:strCache>
                <c:ptCount val="1"/>
                <c:pt idx="0">
                  <c:v>COMBINED</c:v>
                </c:pt>
              </c:strCache>
            </c:strRef>
          </c:tx>
          <c:spPr>
            <a:solidFill>
              <a:schemeClr val="accent2"/>
            </a:solidFill>
            <a:ln>
              <a:noFill/>
            </a:ln>
            <a:effectLst/>
          </c:spPr>
          <c:invertIfNegative val="0"/>
          <c:errBars>
            <c:errBarType val="both"/>
            <c:errValType val="cust"/>
            <c:noEndCap val="0"/>
            <c:plus>
              <c:numRef>
                <c:f>'WTP Main'!$BU$278</c:f>
                <c:numCache>
                  <c:formatCode>General</c:formatCode>
                  <c:ptCount val="1"/>
                  <c:pt idx="0">
                    <c:v>583.96887700108937</c:v>
                  </c:pt>
                </c:numCache>
              </c:numRef>
            </c:plus>
            <c:minus>
              <c:numRef>
                <c:f>'WTP Main'!$BT$278</c:f>
                <c:numCache>
                  <c:formatCode>General</c:formatCode>
                  <c:ptCount val="1"/>
                  <c:pt idx="0">
                    <c:v>765.05371745124125</c:v>
                  </c:pt>
                </c:numCache>
              </c:numRef>
            </c:minus>
            <c:spPr>
              <a:noFill/>
              <a:ln w="9525" cap="flat" cmpd="sng" algn="ctr">
                <a:solidFill>
                  <a:srgbClr val="000000"/>
                </a:solidFill>
                <a:round/>
              </a:ln>
              <a:effectLst/>
            </c:spPr>
          </c:errBars>
          <c:cat>
            <c:strRef>
              <c:f>'WTP Main'!$A$278</c:f>
              <c:strCache>
                <c:ptCount val="1"/>
                <c:pt idx="0">
                  <c:v>Traffic disruption</c:v>
                </c:pt>
              </c:strCache>
            </c:strRef>
          </c:cat>
          <c:val>
            <c:numRef>
              <c:f>'WTP Main'!$BS$278</c:f>
              <c:numCache>
                <c:formatCode>"£"#,##0</c:formatCode>
                <c:ptCount val="1"/>
                <c:pt idx="0">
                  <c:v>2259.1504125404981</c:v>
                </c:pt>
              </c:numCache>
            </c:numRef>
          </c:val>
          <c:extLst xmlns:c16r2="http://schemas.microsoft.com/office/drawing/2015/06/chart">
            <c:ext xmlns:c16="http://schemas.microsoft.com/office/drawing/2014/chart" uri="{C3380CC4-5D6E-409C-BE32-E72D297353CC}">
              <c16:uniqueId val="{00000000-7AC5-49C3-B8D6-83D09B2FDB4A}"/>
            </c:ext>
          </c:extLst>
        </c:ser>
        <c:dLbls>
          <c:showLegendKey val="0"/>
          <c:showVal val="0"/>
          <c:showCatName val="0"/>
          <c:showSerName val="0"/>
          <c:showPercent val="0"/>
          <c:showBubbleSize val="0"/>
        </c:dLbls>
        <c:gapWidth val="219"/>
        <c:overlap val="-27"/>
        <c:axId val="1375624496"/>
        <c:axId val="1375626672"/>
      </c:barChart>
      <c:catAx>
        <c:axId val="1375624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75626672"/>
        <c:crosses val="autoZero"/>
        <c:auto val="1"/>
        <c:lblAlgn val="ctr"/>
        <c:lblOffset val="100"/>
        <c:noMultiLvlLbl val="0"/>
      </c:catAx>
      <c:valAx>
        <c:axId val="1375626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75624496"/>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baseline="0">
                <a:solidFill>
                  <a:srgbClr val="000000"/>
                </a:solidFill>
                <a:effectLst/>
              </a:rPr>
              <a:t>CAM NHH WTP Unit Values and Range - Traffic Disruption (£/Roadworks/yr)</a:t>
            </a:r>
            <a:endParaRPr lang="en-GB" sz="1400">
              <a:solidFill>
                <a:srgbClr val="0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'WTP Main'!$BS$283</c:f>
              <c:strCache>
                <c:ptCount val="1"/>
                <c:pt idx="0">
                  <c:v>COMBINED</c:v>
                </c:pt>
              </c:strCache>
            </c:strRef>
          </c:tx>
          <c:spPr>
            <a:solidFill>
              <a:schemeClr val="accent2"/>
            </a:solidFill>
            <a:ln>
              <a:noFill/>
            </a:ln>
            <a:effectLst/>
          </c:spPr>
          <c:invertIfNegative val="0"/>
          <c:errBars>
            <c:errBarType val="both"/>
            <c:errValType val="cust"/>
            <c:noEndCap val="0"/>
            <c:plus>
              <c:numRef>
                <c:f>'WTP Main'!$CF$284</c:f>
                <c:numCache>
                  <c:formatCode>General</c:formatCode>
                  <c:ptCount val="1"/>
                  <c:pt idx="0">
                    <c:v>389.92299616014361</c:v>
                  </c:pt>
                </c:numCache>
              </c:numRef>
            </c:plus>
            <c:minus>
              <c:numRef>
                <c:f>'WTP Main'!$CE$284</c:f>
                <c:numCache>
                  <c:formatCode>General</c:formatCode>
                  <c:ptCount val="1"/>
                  <c:pt idx="0">
                    <c:v>528.17335487698483</c:v>
                  </c:pt>
                </c:numCache>
              </c:numRef>
            </c:minus>
            <c:spPr>
              <a:noFill/>
              <a:ln w="9525" cap="flat" cmpd="sng" algn="ctr">
                <a:solidFill>
                  <a:srgbClr val="000000"/>
                </a:solidFill>
                <a:round/>
              </a:ln>
              <a:effectLst/>
            </c:spPr>
          </c:errBars>
          <c:cat>
            <c:strRef>
              <c:f>'WTP Main'!$A$284</c:f>
              <c:strCache>
                <c:ptCount val="1"/>
                <c:pt idx="0">
                  <c:v>Traffic disruption</c:v>
                </c:pt>
              </c:strCache>
            </c:strRef>
          </c:cat>
          <c:val>
            <c:numRef>
              <c:f>'WTP Main'!$BS$284</c:f>
              <c:numCache>
                <c:formatCode>"£"#,##0</c:formatCode>
                <c:ptCount val="1"/>
                <c:pt idx="0">
                  <c:v>1922.6824470208885</c:v>
                </c:pt>
              </c:numCache>
            </c:numRef>
          </c:val>
          <c:extLst xmlns:c16r2="http://schemas.microsoft.com/office/drawing/2015/06/chart">
            <c:ext xmlns:c16="http://schemas.microsoft.com/office/drawing/2014/chart" uri="{C3380CC4-5D6E-409C-BE32-E72D297353CC}">
              <c16:uniqueId val="{00000000-08D1-4A66-A315-1647AD4F963C}"/>
            </c:ext>
          </c:extLst>
        </c:ser>
        <c:ser>
          <c:idx val="1"/>
          <c:order val="1"/>
          <c:tx>
            <c:strRef>
              <c:f>'WTP Main'!$BT$283</c:f>
              <c:strCache>
                <c:ptCount val="1"/>
                <c:pt idx="0">
                  <c:v>WTPCore_DCE</c:v>
                </c:pt>
              </c:strCache>
            </c:strRef>
          </c:tx>
          <c:spPr>
            <a:solidFill>
              <a:schemeClr val="accent4"/>
            </a:solidFill>
            <a:ln>
              <a:noFill/>
            </a:ln>
            <a:effectLst/>
          </c:spPr>
          <c:invertIfNegative val="0"/>
          <c:cat>
            <c:strRef>
              <c:f>'WTP Main'!$A$284</c:f>
              <c:strCache>
                <c:ptCount val="1"/>
                <c:pt idx="0">
                  <c:v>Traffic disruption</c:v>
                </c:pt>
              </c:strCache>
            </c:strRef>
          </c:cat>
          <c:val>
            <c:numRef>
              <c:f>'WTP Main'!$BT$284</c:f>
              <c:numCache>
                <c:formatCode>"£"#,##0</c:formatCode>
                <c:ptCount val="1"/>
                <c:pt idx="0">
                  <c:v>1683.2876712328768</c:v>
                </c:pt>
              </c:numCache>
            </c:numRef>
          </c:val>
          <c:extLst xmlns:c16r2="http://schemas.microsoft.com/office/drawing/2015/06/chart">
            <c:ext xmlns:c16="http://schemas.microsoft.com/office/drawing/2014/chart" uri="{C3380CC4-5D6E-409C-BE32-E72D297353CC}">
              <c16:uniqueId val="{00000001-08D1-4A66-A315-1647AD4F963C}"/>
            </c:ext>
          </c:extLst>
        </c:ser>
        <c:ser>
          <c:idx val="2"/>
          <c:order val="2"/>
          <c:tx>
            <c:strRef>
              <c:f>'WTP Main'!$BZ$283</c:f>
              <c:strCache>
                <c:ptCount val="1"/>
                <c:pt idx="0">
                  <c:v>ExternalWTP19</c:v>
                </c:pt>
              </c:strCache>
            </c:strRef>
          </c:tx>
          <c:spPr>
            <a:solidFill>
              <a:schemeClr val="accent6"/>
            </a:solidFill>
            <a:ln>
              <a:noFill/>
            </a:ln>
            <a:effectLst/>
          </c:spPr>
          <c:invertIfNegative val="0"/>
          <c:cat>
            <c:strRef>
              <c:f>'WTP Main'!$A$284</c:f>
              <c:strCache>
                <c:ptCount val="1"/>
                <c:pt idx="0">
                  <c:v>Traffic disruption</c:v>
                </c:pt>
              </c:strCache>
            </c:strRef>
          </c:cat>
          <c:val>
            <c:numRef>
              <c:f>'WTP Main'!$BZ$284</c:f>
              <c:numCache>
                <c:formatCode>"£"#,##0</c:formatCode>
                <c:ptCount val="1"/>
                <c:pt idx="0">
                  <c:v>1905.4540597725761</c:v>
                </c:pt>
              </c:numCache>
            </c:numRef>
          </c:val>
          <c:extLst xmlns:c16r2="http://schemas.microsoft.com/office/drawing/2015/06/chart">
            <c:ext xmlns:c16="http://schemas.microsoft.com/office/drawing/2014/chart" uri="{C3380CC4-5D6E-409C-BE32-E72D297353CC}">
              <c16:uniqueId val="{00000002-08D1-4A66-A315-1647AD4F963C}"/>
            </c:ext>
          </c:extLst>
        </c:ser>
        <c:ser>
          <c:idx val="3"/>
          <c:order val="3"/>
          <c:tx>
            <c:strRef>
              <c:f>'WTP Main'!$CA$283</c:f>
              <c:strCache>
                <c:ptCount val="1"/>
                <c:pt idx="0">
                  <c:v>WTPCore_MaxDiff</c:v>
                </c:pt>
              </c:strCache>
            </c:strRef>
          </c:tx>
          <c:spPr>
            <a:solidFill>
              <a:schemeClr val="accent2">
                <a:lumMod val="60000"/>
              </a:schemeClr>
            </a:solidFill>
            <a:ln>
              <a:noFill/>
            </a:ln>
            <a:effectLst/>
          </c:spPr>
          <c:invertIfNegative val="0"/>
          <c:cat>
            <c:strRef>
              <c:f>'WTP Main'!$A$284</c:f>
              <c:strCache>
                <c:ptCount val="1"/>
                <c:pt idx="0">
                  <c:v>Traffic disruption</c:v>
                </c:pt>
              </c:strCache>
            </c:strRef>
          </c:cat>
          <c:val>
            <c:numRef>
              <c:f>'WTP Main'!$CA$284</c:f>
              <c:numCache>
                <c:formatCode>"£"#,##0</c:formatCode>
                <c:ptCount val="1"/>
                <c:pt idx="0">
                  <c:v>2410.0861922210679</c:v>
                </c:pt>
              </c:numCache>
            </c:numRef>
          </c:val>
          <c:extLst xmlns:c16r2="http://schemas.microsoft.com/office/drawing/2015/06/chart">
            <c:ext xmlns:c16="http://schemas.microsoft.com/office/drawing/2014/chart" uri="{C3380CC4-5D6E-409C-BE32-E72D297353CC}">
              <c16:uniqueId val="{00000003-08D1-4A66-A315-1647AD4F963C}"/>
            </c:ext>
          </c:extLst>
        </c:ser>
        <c:dLbls>
          <c:showLegendKey val="0"/>
          <c:showVal val="0"/>
          <c:showCatName val="0"/>
          <c:showSerName val="0"/>
          <c:showPercent val="0"/>
          <c:showBubbleSize val="0"/>
        </c:dLbls>
        <c:gapWidth val="219"/>
        <c:overlap val="-27"/>
        <c:axId val="1375637008"/>
        <c:axId val="1375622864"/>
      </c:barChart>
      <c:catAx>
        <c:axId val="1375637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75622864"/>
        <c:crosses val="autoZero"/>
        <c:auto val="1"/>
        <c:lblAlgn val="ctr"/>
        <c:lblOffset val="100"/>
        <c:noMultiLvlLbl val="0"/>
      </c:catAx>
      <c:valAx>
        <c:axId val="13756228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crossAx val="1375637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i="0" baseline="0">
                <a:effectLst/>
              </a:rPr>
              <a:t>CAM WRMP Priorities:  WRMP Workshops</a:t>
            </a:r>
            <a:endParaRPr lang="en-GB" sz="1400">
              <a:effectLst/>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tx2"/>
            </a:solidFill>
            <a:ln>
              <a:noFill/>
            </a:ln>
            <a:effectLst/>
          </c:spPr>
          <c:invertIfNegative val="0"/>
          <c:cat>
            <c:strRef>
              <c:extLst>
                <c:ext xmlns:c15="http://schemas.microsoft.com/office/drawing/2012/chart" uri="{02D57815-91ED-43cb-92C2-25804820EDAC}">
                  <c15:fullRef>
                    <c15:sqref>'WRMP Main'!$A$30:$A$38</c15:sqref>
                  </c15:fullRef>
                </c:ext>
              </c:extLst>
              <c:f>('WRMP Main'!$A$30:$A$35,'WRMP Main'!$A$38)</c:f>
              <c:strCache>
                <c:ptCount val="7"/>
                <c:pt idx="0">
                  <c:v>Reducing leakage</c:v>
                </c:pt>
                <c:pt idx="1">
                  <c:v>Building a new water reservoir</c:v>
                </c:pt>
                <c:pt idx="2">
                  <c:v>Increased metering (not smart meters)</c:v>
                </c:pt>
                <c:pt idx="3">
                  <c:v>Trading with another water company</c:v>
                </c:pt>
                <c:pt idx="4">
                  <c:v>Reducing customer water usage/More education campaigns</c:v>
                </c:pt>
                <c:pt idx="5">
                  <c:v>Installing smart meters</c:v>
                </c:pt>
                <c:pt idx="6">
                  <c:v>Taking more groundwater </c:v>
                </c:pt>
              </c:strCache>
            </c:strRef>
          </c:cat>
          <c:val>
            <c:numRef>
              <c:extLst>
                <c:ext xmlns:c15="http://schemas.microsoft.com/office/drawing/2012/chart" uri="{02D57815-91ED-43cb-92C2-25804820EDAC}">
                  <c15:fullRef>
                    <c15:sqref>'WRMP Main'!$T$30:$T$38</c15:sqref>
                  </c15:fullRef>
                </c:ext>
              </c:extLst>
              <c:f>('WRMP Main'!$T$30:$T$35,'WRMP Main'!$T$38)</c:f>
              <c:numCache>
                <c:formatCode>0.0</c:formatCode>
                <c:ptCount val="7"/>
                <c:pt idx="0">
                  <c:v>14.579686912142376</c:v>
                </c:pt>
                <c:pt idx="1">
                  <c:v>20.124973418611876</c:v>
                </c:pt>
                <c:pt idx="2">
                  <c:v>13.470629610848478</c:v>
                </c:pt>
                <c:pt idx="3">
                  <c:v>12.129291871820456</c:v>
                </c:pt>
                <c:pt idx="4">
                  <c:v>14.288518476109465</c:v>
                </c:pt>
                <c:pt idx="5">
                  <c:v>21.049187836356797</c:v>
                </c:pt>
                <c:pt idx="6">
                  <c:v>4.3577118741105458</c:v>
                </c:pt>
              </c:numCache>
            </c:numRef>
          </c:val>
          <c:extLst xmlns:c16r2="http://schemas.microsoft.com/office/drawing/2015/06/chart">
            <c:ext xmlns:c16="http://schemas.microsoft.com/office/drawing/2014/chart" uri="{C3380CC4-5D6E-409C-BE32-E72D297353CC}">
              <c16:uniqueId val="{00000000-938A-4B16-A2BD-E808BB5B951A}"/>
            </c:ext>
          </c:extLst>
        </c:ser>
        <c:dLbls>
          <c:showLegendKey val="0"/>
          <c:showVal val="0"/>
          <c:showCatName val="0"/>
          <c:showSerName val="0"/>
          <c:showPercent val="0"/>
          <c:showBubbleSize val="0"/>
        </c:dLbls>
        <c:gapWidth val="219"/>
        <c:overlap val="-27"/>
        <c:axId val="994361600"/>
        <c:axId val="896613104"/>
      </c:barChart>
      <c:catAx>
        <c:axId val="994361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896613104"/>
        <c:crosses val="autoZero"/>
        <c:auto val="1"/>
        <c:lblAlgn val="ctr"/>
        <c:lblOffset val="100"/>
        <c:noMultiLvlLbl val="0"/>
      </c:catAx>
      <c:valAx>
        <c:axId val="896613104"/>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99436160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WRMP Priorities:  WRMP Online</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spPr>
            <a:solidFill>
              <a:schemeClr val="tx1"/>
            </a:solidFill>
            <a:ln>
              <a:noFill/>
            </a:ln>
            <a:effectLst/>
          </c:spPr>
          <c:invertIfNegative val="0"/>
          <c:cat>
            <c:strRef>
              <c:extLst>
                <c:ext xmlns:c15="http://schemas.microsoft.com/office/drawing/2012/chart" uri="{02D57815-91ED-43cb-92C2-25804820EDAC}">
                  <c15:fullRef>
                    <c15:sqref>'WRMP Main'!$A$30:$A$38</c15:sqref>
                  </c15:fullRef>
                </c:ext>
              </c:extLst>
              <c:f>('WRMP Main'!$A$30,'WRMP Main'!$A$32:$A$38)</c:f>
              <c:strCache>
                <c:ptCount val="8"/>
                <c:pt idx="0">
                  <c:v>Reducing leakage</c:v>
                </c:pt>
                <c:pt idx="1">
                  <c:v>Increased metering (not smart meters)</c:v>
                </c:pt>
                <c:pt idx="2">
                  <c:v>Trading with another water company</c:v>
                </c:pt>
                <c:pt idx="3">
                  <c:v>Reducing customer water usage/More education campaigns</c:v>
                </c:pt>
                <c:pt idx="4">
                  <c:v>Installing smart meters</c:v>
                </c:pt>
                <c:pt idx="5">
                  <c:v>Increasing the amount of water in the Blithfield reservoir</c:v>
                </c:pt>
                <c:pt idx="6">
                  <c:v>Taking water from the River Trent</c:v>
                </c:pt>
                <c:pt idx="7">
                  <c:v>Taking more groundwater </c:v>
                </c:pt>
              </c:strCache>
            </c:strRef>
          </c:cat>
          <c:val>
            <c:numRef>
              <c:extLst>
                <c:ext xmlns:c15="http://schemas.microsoft.com/office/drawing/2012/chart" uri="{02D57815-91ED-43cb-92C2-25804820EDAC}">
                  <c15:fullRef>
                    <c15:sqref>'WRMP Main'!$C$30:$C$38</c15:sqref>
                  </c15:fullRef>
                </c:ext>
              </c:extLst>
              <c:f>('WRMP Main'!$C$30,'WRMP Main'!$C$32:$C$38)</c:f>
              <c:numCache>
                <c:formatCode>0.0</c:formatCode>
                <c:ptCount val="8"/>
                <c:pt idx="0">
                  <c:v>12.361506713432764</c:v>
                </c:pt>
                <c:pt idx="2">
                  <c:v>7.6852012268324055</c:v>
                </c:pt>
                <c:pt idx="3">
                  <c:v>10.307977414978641</c:v>
                </c:pt>
                <c:pt idx="4">
                  <c:v>9.9859011438279932</c:v>
                </c:pt>
                <c:pt idx="5">
                  <c:v>9.3779540022360752</c:v>
                </c:pt>
                <c:pt idx="6">
                  <c:v>8.3248900895941844</c:v>
                </c:pt>
                <c:pt idx="7">
                  <c:v>7.4119661765017222</c:v>
                </c:pt>
              </c:numCache>
            </c:numRef>
          </c:val>
          <c:extLst xmlns:c16r2="http://schemas.microsoft.com/office/drawing/2015/06/chart">
            <c:ext xmlns:c16="http://schemas.microsoft.com/office/drawing/2014/chart" uri="{C3380CC4-5D6E-409C-BE32-E72D297353CC}">
              <c16:uniqueId val="{00000001-0F4F-4D2F-8AC1-8B5BABC5CEC0}"/>
            </c:ext>
          </c:extLst>
        </c:ser>
        <c:dLbls>
          <c:showLegendKey val="0"/>
          <c:showVal val="0"/>
          <c:showCatName val="0"/>
          <c:showSerName val="0"/>
          <c:showPercent val="0"/>
          <c:showBubbleSize val="0"/>
        </c:dLbls>
        <c:gapWidth val="219"/>
        <c:overlap val="-27"/>
        <c:axId val="1301280224"/>
        <c:axId val="1301264992"/>
      </c:barChart>
      <c:catAx>
        <c:axId val="1301280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01264992"/>
        <c:crosses val="autoZero"/>
        <c:auto val="1"/>
        <c:lblAlgn val="ctr"/>
        <c:lblOffset val="100"/>
        <c:noMultiLvlLbl val="0"/>
      </c:catAx>
      <c:valAx>
        <c:axId val="1301264992"/>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01280224"/>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CAM WRMP Priorities:  WRMP Online</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spPr>
            <a:solidFill>
              <a:schemeClr val="tx1"/>
            </a:solidFill>
            <a:ln>
              <a:noFill/>
            </a:ln>
            <a:effectLst/>
          </c:spPr>
          <c:invertIfNegative val="0"/>
          <c:cat>
            <c:strRef>
              <c:extLst>
                <c:ext xmlns:c15="http://schemas.microsoft.com/office/drawing/2012/chart" uri="{02D57815-91ED-43cb-92C2-25804820EDAC}">
                  <c15:fullRef>
                    <c15:sqref>'WRMP Main'!$A$30:$A$38</c15:sqref>
                  </c15:fullRef>
                </c:ext>
              </c:extLst>
              <c:f>('WRMP Main'!$A$30:$A$35,'WRMP Main'!$A$38)</c:f>
              <c:strCache>
                <c:ptCount val="7"/>
                <c:pt idx="0">
                  <c:v>Reducing leakage</c:v>
                </c:pt>
                <c:pt idx="1">
                  <c:v>Building a new water reservoir</c:v>
                </c:pt>
                <c:pt idx="2">
                  <c:v>Increased metering (not smart meters)</c:v>
                </c:pt>
                <c:pt idx="3">
                  <c:v>Trading with another water company</c:v>
                </c:pt>
                <c:pt idx="4">
                  <c:v>Reducing customer water usage/More education campaigns</c:v>
                </c:pt>
                <c:pt idx="5">
                  <c:v>Installing smart meters</c:v>
                </c:pt>
                <c:pt idx="6">
                  <c:v>Taking more groundwater </c:v>
                </c:pt>
              </c:strCache>
            </c:strRef>
          </c:cat>
          <c:val>
            <c:numRef>
              <c:extLst>
                <c:ext xmlns:c15="http://schemas.microsoft.com/office/drawing/2012/chart" uri="{02D57815-91ED-43cb-92C2-25804820EDAC}">
                  <c15:fullRef>
                    <c15:sqref>'WRMP Main'!$U$30:$U$38</c15:sqref>
                  </c15:fullRef>
                </c:ext>
              </c:extLst>
              <c:f>('WRMP Main'!$U$30:$U$35,'WRMP Main'!$U$38)</c:f>
              <c:numCache>
                <c:formatCode>0.0</c:formatCode>
                <c:ptCount val="7"/>
                <c:pt idx="0">
                  <c:v>16.656263040662612</c:v>
                </c:pt>
                <c:pt idx="1">
                  <c:v>14.374880862012846</c:v>
                </c:pt>
                <c:pt idx="3">
                  <c:v>10.33544292927688</c:v>
                </c:pt>
                <c:pt idx="4">
                  <c:v>13.08341053889769</c:v>
                </c:pt>
                <c:pt idx="5">
                  <c:v>14.618823599171531</c:v>
                </c:pt>
                <c:pt idx="6">
                  <c:v>8.7945274921734136</c:v>
                </c:pt>
              </c:numCache>
            </c:numRef>
          </c:val>
          <c:extLst xmlns:c16r2="http://schemas.microsoft.com/office/drawing/2015/06/chart">
            <c:ext xmlns:c16="http://schemas.microsoft.com/office/drawing/2014/chart" uri="{C3380CC4-5D6E-409C-BE32-E72D297353CC}">
              <c16:uniqueId val="{00000000-F888-4FE8-87CF-A350DBA2FEC3}"/>
            </c:ext>
          </c:extLst>
        </c:ser>
        <c:dLbls>
          <c:showLegendKey val="0"/>
          <c:showVal val="0"/>
          <c:showCatName val="0"/>
          <c:showSerName val="0"/>
          <c:showPercent val="0"/>
          <c:showBubbleSize val="0"/>
        </c:dLbls>
        <c:gapWidth val="219"/>
        <c:overlap val="-27"/>
        <c:axId val="1301279136"/>
        <c:axId val="1301274240"/>
      </c:barChart>
      <c:catAx>
        <c:axId val="1301279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01274240"/>
        <c:crosses val="autoZero"/>
        <c:auto val="1"/>
        <c:lblAlgn val="ctr"/>
        <c:lblOffset val="100"/>
        <c:noMultiLvlLbl val="0"/>
      </c:catAx>
      <c:valAx>
        <c:axId val="1301274240"/>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0127913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t>SSW WRMP Priorities:  Customer Priorities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spPr>
            <a:solidFill>
              <a:schemeClr val="accent3"/>
            </a:solidFill>
            <a:ln>
              <a:noFill/>
            </a:ln>
            <a:effectLst/>
          </c:spPr>
          <c:invertIfNegative val="0"/>
          <c:cat>
            <c:strRef>
              <c:extLst>
                <c:ext xmlns:c15="http://schemas.microsoft.com/office/drawing/2012/chart" uri="{02D57815-91ED-43cb-92C2-25804820EDAC}">
                  <c15:fullRef>
                    <c15:sqref>'WRMP Main'!$A$30:$A$38</c15:sqref>
                  </c15:fullRef>
                </c:ext>
              </c:extLst>
              <c:f>('WRMP Main'!$A$30,'WRMP Main'!$A$32:$A$38)</c:f>
              <c:strCache>
                <c:ptCount val="8"/>
                <c:pt idx="0">
                  <c:v>Reducing leakage</c:v>
                </c:pt>
                <c:pt idx="1">
                  <c:v>Increased metering (not smart meters)</c:v>
                </c:pt>
                <c:pt idx="2">
                  <c:v>Trading with another water company</c:v>
                </c:pt>
                <c:pt idx="3">
                  <c:v>Reducing customer water usage/More education campaigns</c:v>
                </c:pt>
                <c:pt idx="4">
                  <c:v>Installing smart meters</c:v>
                </c:pt>
                <c:pt idx="5">
                  <c:v>Increasing the amount of water in the Blithfield reservoir</c:v>
                </c:pt>
                <c:pt idx="6">
                  <c:v>Taking water from the River Trent</c:v>
                </c:pt>
                <c:pt idx="7">
                  <c:v>Taking more groundwater </c:v>
                </c:pt>
              </c:strCache>
            </c:strRef>
          </c:cat>
          <c:val>
            <c:numRef>
              <c:extLst>
                <c:ext xmlns:c15="http://schemas.microsoft.com/office/drawing/2012/chart" uri="{02D57815-91ED-43cb-92C2-25804820EDAC}">
                  <c15:fullRef>
                    <c15:sqref>'WRMP Main'!$D$30:$D$38</c15:sqref>
                  </c15:fullRef>
                </c:ext>
              </c:extLst>
              <c:f>('WRMP Main'!$D$30,'WRMP Main'!$D$32:$D$38)</c:f>
              <c:numCache>
                <c:formatCode>General</c:formatCode>
                <c:ptCount val="8"/>
                <c:pt idx="0" formatCode="0.0">
                  <c:v>11.635601262671834</c:v>
                </c:pt>
                <c:pt idx="3" formatCode="0.0">
                  <c:v>3.4359225821701931</c:v>
                </c:pt>
                <c:pt idx="4" formatCode="0.0">
                  <c:v>6.7206674497733641</c:v>
                </c:pt>
              </c:numCache>
            </c:numRef>
          </c:val>
          <c:extLst xmlns:c16r2="http://schemas.microsoft.com/office/drawing/2015/06/chart">
            <c:ext xmlns:c16="http://schemas.microsoft.com/office/drawing/2014/chart" uri="{C3380CC4-5D6E-409C-BE32-E72D297353CC}">
              <c16:uniqueId val="{00000000-6A54-4FB3-A96D-0FD0DC8997A7}"/>
            </c:ext>
          </c:extLst>
        </c:ser>
        <c:dLbls>
          <c:showLegendKey val="0"/>
          <c:showVal val="0"/>
          <c:showCatName val="0"/>
          <c:showSerName val="0"/>
          <c:showPercent val="0"/>
          <c:showBubbleSize val="0"/>
        </c:dLbls>
        <c:gapWidth val="219"/>
        <c:overlap val="-27"/>
        <c:axId val="1301270976"/>
        <c:axId val="1301271520"/>
      </c:barChart>
      <c:catAx>
        <c:axId val="1301270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01271520"/>
        <c:crosses val="autoZero"/>
        <c:auto val="1"/>
        <c:lblAlgn val="ctr"/>
        <c:lblOffset val="100"/>
        <c:noMultiLvlLbl val="0"/>
      </c:catAx>
      <c:valAx>
        <c:axId val="1301271520"/>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130127097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13" Type="http://schemas.openxmlformats.org/officeDocument/2006/relationships/chart" Target="../charts/chart27.xml"/><Relationship Id="rId18" Type="http://schemas.openxmlformats.org/officeDocument/2006/relationships/chart" Target="../charts/chart32.xml"/><Relationship Id="rId26" Type="http://schemas.openxmlformats.org/officeDocument/2006/relationships/chart" Target="../charts/chart40.xml"/><Relationship Id="rId39" Type="http://schemas.openxmlformats.org/officeDocument/2006/relationships/chart" Target="../charts/chart53.xml"/><Relationship Id="rId21" Type="http://schemas.openxmlformats.org/officeDocument/2006/relationships/chart" Target="../charts/chart35.xml"/><Relationship Id="rId34" Type="http://schemas.openxmlformats.org/officeDocument/2006/relationships/chart" Target="../charts/chart48.xml"/><Relationship Id="rId7" Type="http://schemas.openxmlformats.org/officeDocument/2006/relationships/chart" Target="../charts/chart21.xml"/><Relationship Id="rId12" Type="http://schemas.openxmlformats.org/officeDocument/2006/relationships/chart" Target="../charts/chart26.xml"/><Relationship Id="rId17" Type="http://schemas.openxmlformats.org/officeDocument/2006/relationships/chart" Target="../charts/chart31.xml"/><Relationship Id="rId25" Type="http://schemas.openxmlformats.org/officeDocument/2006/relationships/chart" Target="../charts/chart39.xml"/><Relationship Id="rId33" Type="http://schemas.openxmlformats.org/officeDocument/2006/relationships/chart" Target="../charts/chart47.xml"/><Relationship Id="rId38" Type="http://schemas.openxmlformats.org/officeDocument/2006/relationships/chart" Target="../charts/chart52.xml"/><Relationship Id="rId2" Type="http://schemas.openxmlformats.org/officeDocument/2006/relationships/chart" Target="../charts/chart16.xml"/><Relationship Id="rId16" Type="http://schemas.openxmlformats.org/officeDocument/2006/relationships/chart" Target="../charts/chart30.xml"/><Relationship Id="rId20" Type="http://schemas.openxmlformats.org/officeDocument/2006/relationships/chart" Target="../charts/chart34.xml"/><Relationship Id="rId29" Type="http://schemas.openxmlformats.org/officeDocument/2006/relationships/chart" Target="../charts/chart43.xml"/><Relationship Id="rId1" Type="http://schemas.openxmlformats.org/officeDocument/2006/relationships/chart" Target="../charts/chart15.xml"/><Relationship Id="rId6" Type="http://schemas.openxmlformats.org/officeDocument/2006/relationships/chart" Target="../charts/chart20.xml"/><Relationship Id="rId11" Type="http://schemas.openxmlformats.org/officeDocument/2006/relationships/chart" Target="../charts/chart25.xml"/><Relationship Id="rId24" Type="http://schemas.openxmlformats.org/officeDocument/2006/relationships/chart" Target="../charts/chart38.xml"/><Relationship Id="rId32" Type="http://schemas.openxmlformats.org/officeDocument/2006/relationships/chart" Target="../charts/chart46.xml"/><Relationship Id="rId37" Type="http://schemas.openxmlformats.org/officeDocument/2006/relationships/chart" Target="../charts/chart51.xml"/><Relationship Id="rId40" Type="http://schemas.openxmlformats.org/officeDocument/2006/relationships/chart" Target="../charts/chart54.xml"/><Relationship Id="rId5" Type="http://schemas.openxmlformats.org/officeDocument/2006/relationships/chart" Target="../charts/chart19.xml"/><Relationship Id="rId15" Type="http://schemas.openxmlformats.org/officeDocument/2006/relationships/chart" Target="../charts/chart29.xml"/><Relationship Id="rId23" Type="http://schemas.openxmlformats.org/officeDocument/2006/relationships/chart" Target="../charts/chart37.xml"/><Relationship Id="rId28" Type="http://schemas.openxmlformats.org/officeDocument/2006/relationships/chart" Target="../charts/chart42.xml"/><Relationship Id="rId36" Type="http://schemas.openxmlformats.org/officeDocument/2006/relationships/chart" Target="../charts/chart50.xml"/><Relationship Id="rId10" Type="http://schemas.openxmlformats.org/officeDocument/2006/relationships/chart" Target="../charts/chart24.xml"/><Relationship Id="rId19" Type="http://schemas.openxmlformats.org/officeDocument/2006/relationships/chart" Target="../charts/chart33.xml"/><Relationship Id="rId31" Type="http://schemas.openxmlformats.org/officeDocument/2006/relationships/chart" Target="../charts/chart45.xml"/><Relationship Id="rId4" Type="http://schemas.openxmlformats.org/officeDocument/2006/relationships/chart" Target="../charts/chart18.xml"/><Relationship Id="rId9" Type="http://schemas.openxmlformats.org/officeDocument/2006/relationships/chart" Target="../charts/chart23.xml"/><Relationship Id="rId14" Type="http://schemas.openxmlformats.org/officeDocument/2006/relationships/chart" Target="../charts/chart28.xml"/><Relationship Id="rId22" Type="http://schemas.openxmlformats.org/officeDocument/2006/relationships/chart" Target="../charts/chart36.xml"/><Relationship Id="rId27" Type="http://schemas.openxmlformats.org/officeDocument/2006/relationships/chart" Target="../charts/chart41.xml"/><Relationship Id="rId30" Type="http://schemas.openxmlformats.org/officeDocument/2006/relationships/chart" Target="../charts/chart44.xml"/><Relationship Id="rId35" Type="http://schemas.openxmlformats.org/officeDocument/2006/relationships/chart" Target="../charts/chart49.xml"/><Relationship Id="rId8" Type="http://schemas.openxmlformats.org/officeDocument/2006/relationships/chart" Target="../charts/chart22.xml"/><Relationship Id="rId3"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editAs="oneCell">
    <xdr:from>
      <xdr:col>1</xdr:col>
      <xdr:colOff>900952</xdr:colOff>
      <xdr:row>29</xdr:row>
      <xdr:rowOff>94572</xdr:rowOff>
    </xdr:from>
    <xdr:to>
      <xdr:col>3</xdr:col>
      <xdr:colOff>621862</xdr:colOff>
      <xdr:row>32</xdr:row>
      <xdr:rowOff>51005</xdr:rowOff>
    </xdr:to>
    <xdr:pic>
      <xdr:nvPicPr>
        <xdr:cNvPr id="2" name="Picture 1" descr="PJM logo FINAL CMYK Low RES.jpg">
          <a:extLst>
            <a:ext uri="{FF2B5EF4-FFF2-40B4-BE49-F238E27FC236}">
              <a16:creationId xmlns="" xmlns:a16="http://schemas.microsoft.com/office/drawing/2014/main" id="{A170A8F6-28B2-4515-AD3D-9C230961810B}"/>
            </a:ext>
          </a:extLst>
        </xdr:cNvPr>
        <xdr:cNvPicPr>
          <a:picLocks noChangeAspect="1"/>
        </xdr:cNvPicPr>
      </xdr:nvPicPr>
      <xdr:blipFill>
        <a:blip xmlns:r="http://schemas.openxmlformats.org/officeDocument/2006/relationships" r:embed="rId1" cstate="print"/>
        <a:stretch>
          <a:fillRect/>
        </a:stretch>
      </xdr:blipFill>
      <xdr:spPr>
        <a:xfrm>
          <a:off x="1491502" y="4818972"/>
          <a:ext cx="1682002" cy="575559"/>
        </a:xfrm>
        <a:prstGeom prst="rect">
          <a:avLst/>
        </a:prstGeom>
      </xdr:spPr>
    </xdr:pic>
    <xdr:clientData/>
  </xdr:twoCellAnchor>
  <xdr:twoCellAnchor editAs="oneCell">
    <xdr:from>
      <xdr:col>1</xdr:col>
      <xdr:colOff>0</xdr:colOff>
      <xdr:row>30</xdr:row>
      <xdr:rowOff>9525</xdr:rowOff>
    </xdr:from>
    <xdr:to>
      <xdr:col>1</xdr:col>
      <xdr:colOff>733425</xdr:colOff>
      <xdr:row>31</xdr:row>
      <xdr:rowOff>142875</xdr:rowOff>
    </xdr:to>
    <xdr:pic>
      <xdr:nvPicPr>
        <xdr:cNvPr id="3" name="Picture 2" descr="ACCENT">
          <a:extLst>
            <a:ext uri="{FF2B5EF4-FFF2-40B4-BE49-F238E27FC236}">
              <a16:creationId xmlns="" xmlns:a16="http://schemas.microsoft.com/office/drawing/2014/main" id="{CB9E2958-C955-4B6A-A478-772580247663}"/>
            </a:ext>
          </a:extLst>
        </xdr:cNvPr>
        <xdr:cNvPicPr/>
      </xdr:nvPicPr>
      <xdr:blipFill>
        <a:blip xmlns:r="http://schemas.openxmlformats.org/officeDocument/2006/relationships" r:embed="rId2" cstate="print"/>
        <a:srcRect/>
        <a:stretch>
          <a:fillRect/>
        </a:stretch>
      </xdr:blipFill>
      <xdr:spPr bwMode="auto">
        <a:xfrm>
          <a:off x="590550" y="4924425"/>
          <a:ext cx="733425" cy="3238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40820</xdr:colOff>
      <xdr:row>44</xdr:row>
      <xdr:rowOff>0</xdr:rowOff>
    </xdr:from>
    <xdr:to>
      <xdr:col>11</xdr:col>
      <xdr:colOff>571498</xdr:colOff>
      <xdr:row>68</xdr:row>
      <xdr:rowOff>122464</xdr:rowOff>
    </xdr:to>
    <xdr:graphicFrame macro="">
      <xdr:nvGraphicFramePr>
        <xdr:cNvPr id="2" name="Chart 1">
          <a:extLst>
            <a:ext uri="{FF2B5EF4-FFF2-40B4-BE49-F238E27FC236}">
              <a16:creationId xmlns="" xmlns:a16="http://schemas.microsoft.com/office/drawing/2014/main" id="{D00C1783-EAEA-43D2-ACE3-61F2A7C093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44</xdr:row>
      <xdr:rowOff>0</xdr:rowOff>
    </xdr:from>
    <xdr:to>
      <xdr:col>29</xdr:col>
      <xdr:colOff>530679</xdr:colOff>
      <xdr:row>68</xdr:row>
      <xdr:rowOff>122464</xdr:rowOff>
    </xdr:to>
    <xdr:graphicFrame macro="">
      <xdr:nvGraphicFramePr>
        <xdr:cNvPr id="3" name="Chart 2">
          <a:extLst>
            <a:ext uri="{FF2B5EF4-FFF2-40B4-BE49-F238E27FC236}">
              <a16:creationId xmlns="" xmlns:a16="http://schemas.microsoft.com/office/drawing/2014/main" id="{B31CCA93-1022-4680-85FA-97A5512D5D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54428</xdr:colOff>
      <xdr:row>70</xdr:row>
      <xdr:rowOff>0</xdr:rowOff>
    </xdr:from>
    <xdr:to>
      <xdr:col>11</xdr:col>
      <xdr:colOff>571500</xdr:colOff>
      <xdr:row>93</xdr:row>
      <xdr:rowOff>27214</xdr:rowOff>
    </xdr:to>
    <xdr:graphicFrame macro="">
      <xdr:nvGraphicFramePr>
        <xdr:cNvPr id="4" name="Chart 3">
          <a:extLst>
            <a:ext uri="{FF2B5EF4-FFF2-40B4-BE49-F238E27FC236}">
              <a16:creationId xmlns="" xmlns:a16="http://schemas.microsoft.com/office/drawing/2014/main" id="{2B963FD6-4428-4867-A81B-0A2CEEB498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0</xdr:colOff>
      <xdr:row>70</xdr:row>
      <xdr:rowOff>0</xdr:rowOff>
    </xdr:from>
    <xdr:to>
      <xdr:col>29</xdr:col>
      <xdr:colOff>517072</xdr:colOff>
      <xdr:row>93</xdr:row>
      <xdr:rowOff>27214</xdr:rowOff>
    </xdr:to>
    <xdr:graphicFrame macro="">
      <xdr:nvGraphicFramePr>
        <xdr:cNvPr id="5" name="Chart 4">
          <a:extLst>
            <a:ext uri="{FF2B5EF4-FFF2-40B4-BE49-F238E27FC236}">
              <a16:creationId xmlns="" xmlns:a16="http://schemas.microsoft.com/office/drawing/2014/main" id="{41E65CA6-E4D2-478C-BC23-866007A5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54428</xdr:colOff>
      <xdr:row>94</xdr:row>
      <xdr:rowOff>95251</xdr:rowOff>
    </xdr:from>
    <xdr:to>
      <xdr:col>11</xdr:col>
      <xdr:colOff>585106</xdr:colOff>
      <xdr:row>119</xdr:row>
      <xdr:rowOff>27215</xdr:rowOff>
    </xdr:to>
    <xdr:graphicFrame macro="">
      <xdr:nvGraphicFramePr>
        <xdr:cNvPr id="6" name="Chart 5">
          <a:extLst>
            <a:ext uri="{FF2B5EF4-FFF2-40B4-BE49-F238E27FC236}">
              <a16:creationId xmlns="" xmlns:a16="http://schemas.microsoft.com/office/drawing/2014/main" id="{846E0BF1-4AB1-47B0-BE26-B467AFB91D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81643</xdr:colOff>
      <xdr:row>94</xdr:row>
      <xdr:rowOff>108858</xdr:rowOff>
    </xdr:from>
    <xdr:to>
      <xdr:col>29</xdr:col>
      <xdr:colOff>612321</xdr:colOff>
      <xdr:row>119</xdr:row>
      <xdr:rowOff>40822</xdr:rowOff>
    </xdr:to>
    <xdr:graphicFrame macro="">
      <xdr:nvGraphicFramePr>
        <xdr:cNvPr id="7" name="Chart 6">
          <a:extLst>
            <a:ext uri="{FF2B5EF4-FFF2-40B4-BE49-F238E27FC236}">
              <a16:creationId xmlns="" xmlns:a16="http://schemas.microsoft.com/office/drawing/2014/main" id="{CAF33A69-FDF5-4AD9-97E3-4CC53EAAA9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81642</xdr:colOff>
      <xdr:row>120</xdr:row>
      <xdr:rowOff>149681</xdr:rowOff>
    </xdr:from>
    <xdr:to>
      <xdr:col>11</xdr:col>
      <xdr:colOff>612320</xdr:colOff>
      <xdr:row>145</xdr:row>
      <xdr:rowOff>81645</xdr:rowOff>
    </xdr:to>
    <xdr:graphicFrame macro="">
      <xdr:nvGraphicFramePr>
        <xdr:cNvPr id="8" name="Chart 7">
          <a:extLst>
            <a:ext uri="{FF2B5EF4-FFF2-40B4-BE49-F238E27FC236}">
              <a16:creationId xmlns="" xmlns:a16="http://schemas.microsoft.com/office/drawing/2014/main" id="{9F852E5E-0F16-458B-BD5C-88FF5F9917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81642</xdr:colOff>
      <xdr:row>120</xdr:row>
      <xdr:rowOff>149678</xdr:rowOff>
    </xdr:from>
    <xdr:to>
      <xdr:col>29</xdr:col>
      <xdr:colOff>612320</xdr:colOff>
      <xdr:row>145</xdr:row>
      <xdr:rowOff>81642</xdr:rowOff>
    </xdr:to>
    <xdr:graphicFrame macro="">
      <xdr:nvGraphicFramePr>
        <xdr:cNvPr id="9" name="Chart 8">
          <a:extLst>
            <a:ext uri="{FF2B5EF4-FFF2-40B4-BE49-F238E27FC236}">
              <a16:creationId xmlns="" xmlns:a16="http://schemas.microsoft.com/office/drawing/2014/main" id="{31CD7A66-42B6-442D-A795-30EB7FAE1A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147</xdr:row>
      <xdr:rowOff>3</xdr:rowOff>
    </xdr:from>
    <xdr:to>
      <xdr:col>11</xdr:col>
      <xdr:colOff>530678</xdr:colOff>
      <xdr:row>171</xdr:row>
      <xdr:rowOff>122467</xdr:rowOff>
    </xdr:to>
    <xdr:graphicFrame macro="">
      <xdr:nvGraphicFramePr>
        <xdr:cNvPr id="10" name="Chart 9">
          <a:extLst>
            <a:ext uri="{FF2B5EF4-FFF2-40B4-BE49-F238E27FC236}">
              <a16:creationId xmlns="" xmlns:a16="http://schemas.microsoft.com/office/drawing/2014/main" id="{C0F70D92-4AE8-460D-8A61-D316556271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0</xdr:colOff>
      <xdr:row>147</xdr:row>
      <xdr:rowOff>0</xdr:rowOff>
    </xdr:from>
    <xdr:to>
      <xdr:col>29</xdr:col>
      <xdr:colOff>530678</xdr:colOff>
      <xdr:row>171</xdr:row>
      <xdr:rowOff>122464</xdr:rowOff>
    </xdr:to>
    <xdr:graphicFrame macro="">
      <xdr:nvGraphicFramePr>
        <xdr:cNvPr id="11" name="Chart 10">
          <a:extLst>
            <a:ext uri="{FF2B5EF4-FFF2-40B4-BE49-F238E27FC236}">
              <a16:creationId xmlns="" xmlns:a16="http://schemas.microsoft.com/office/drawing/2014/main" id="{E33D7E80-AD06-43F8-8EC8-8F99409543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172</xdr:row>
      <xdr:rowOff>3</xdr:rowOff>
    </xdr:from>
    <xdr:to>
      <xdr:col>11</xdr:col>
      <xdr:colOff>530678</xdr:colOff>
      <xdr:row>196</xdr:row>
      <xdr:rowOff>122467</xdr:rowOff>
    </xdr:to>
    <xdr:graphicFrame macro="">
      <xdr:nvGraphicFramePr>
        <xdr:cNvPr id="12" name="Chart 11">
          <a:extLst>
            <a:ext uri="{FF2B5EF4-FFF2-40B4-BE49-F238E27FC236}">
              <a16:creationId xmlns="" xmlns:a16="http://schemas.microsoft.com/office/drawing/2014/main" id="{9E4D002E-514A-4C5E-A17D-C3978CAE3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19</xdr:col>
      <xdr:colOff>0</xdr:colOff>
      <xdr:row>172</xdr:row>
      <xdr:rowOff>0</xdr:rowOff>
    </xdr:from>
    <xdr:to>
      <xdr:col>29</xdr:col>
      <xdr:colOff>530678</xdr:colOff>
      <xdr:row>196</xdr:row>
      <xdr:rowOff>122464</xdr:rowOff>
    </xdr:to>
    <xdr:graphicFrame macro="">
      <xdr:nvGraphicFramePr>
        <xdr:cNvPr id="13" name="Chart 12">
          <a:extLst>
            <a:ext uri="{FF2B5EF4-FFF2-40B4-BE49-F238E27FC236}">
              <a16:creationId xmlns="" xmlns:a16="http://schemas.microsoft.com/office/drawing/2014/main" id="{C2D31629-0FCC-4FBA-B8B1-19A693E796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0</xdr:colOff>
      <xdr:row>198</xdr:row>
      <xdr:rowOff>3</xdr:rowOff>
    </xdr:from>
    <xdr:to>
      <xdr:col>11</xdr:col>
      <xdr:colOff>530678</xdr:colOff>
      <xdr:row>222</xdr:row>
      <xdr:rowOff>122467</xdr:rowOff>
    </xdr:to>
    <xdr:graphicFrame macro="">
      <xdr:nvGraphicFramePr>
        <xdr:cNvPr id="14" name="Chart 13">
          <a:extLst>
            <a:ext uri="{FF2B5EF4-FFF2-40B4-BE49-F238E27FC236}">
              <a16:creationId xmlns="" xmlns:a16="http://schemas.microsoft.com/office/drawing/2014/main" id="{D8147C54-9085-4589-B04C-8760546EDC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19</xdr:col>
      <xdr:colOff>0</xdr:colOff>
      <xdr:row>198</xdr:row>
      <xdr:rowOff>0</xdr:rowOff>
    </xdr:from>
    <xdr:to>
      <xdr:col>29</xdr:col>
      <xdr:colOff>530678</xdr:colOff>
      <xdr:row>222</xdr:row>
      <xdr:rowOff>122464</xdr:rowOff>
    </xdr:to>
    <xdr:graphicFrame macro="">
      <xdr:nvGraphicFramePr>
        <xdr:cNvPr id="15" name="Chart 14">
          <a:extLst>
            <a:ext uri="{FF2B5EF4-FFF2-40B4-BE49-F238E27FC236}">
              <a16:creationId xmlns="" xmlns:a16="http://schemas.microsoft.com/office/drawing/2014/main" id="{FA3A77E0-83C4-4DF8-AA4C-2CA41BF8EA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19</xdr:col>
      <xdr:colOff>476249</xdr:colOff>
      <xdr:row>121</xdr:row>
      <xdr:rowOff>174625</xdr:rowOff>
    </xdr:from>
    <xdr:to>
      <xdr:col>33</xdr:col>
      <xdr:colOff>754024</xdr:colOff>
      <xdr:row>145</xdr:row>
      <xdr:rowOff>34825</xdr:rowOff>
    </xdr:to>
    <xdr:graphicFrame macro="">
      <xdr:nvGraphicFramePr>
        <xdr:cNvPr id="2" name="Chart 1">
          <a:extLst>
            <a:ext uri="{FF2B5EF4-FFF2-40B4-BE49-F238E27FC236}">
              <a16:creationId xmlns="" xmlns:a16="http://schemas.microsoft.com/office/drawing/2014/main" id="{4D10E7EB-AED4-44EB-BC19-0DA1B5658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95248</xdr:colOff>
      <xdr:row>121</xdr:row>
      <xdr:rowOff>170089</xdr:rowOff>
    </xdr:from>
    <xdr:to>
      <xdr:col>48</xdr:col>
      <xdr:colOff>325398</xdr:colOff>
      <xdr:row>145</xdr:row>
      <xdr:rowOff>102289</xdr:rowOff>
    </xdr:to>
    <xdr:graphicFrame macro="">
      <xdr:nvGraphicFramePr>
        <xdr:cNvPr id="4" name="Chart 3">
          <a:extLst>
            <a:ext uri="{FF2B5EF4-FFF2-40B4-BE49-F238E27FC236}">
              <a16:creationId xmlns="" xmlns:a16="http://schemas.microsoft.com/office/drawing/2014/main" id="{B32B9051-06B9-45C7-8DDE-488D85F21D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117473</xdr:colOff>
      <xdr:row>146</xdr:row>
      <xdr:rowOff>154214</xdr:rowOff>
    </xdr:from>
    <xdr:to>
      <xdr:col>48</xdr:col>
      <xdr:colOff>293623</xdr:colOff>
      <xdr:row>169</xdr:row>
      <xdr:rowOff>44214</xdr:rowOff>
    </xdr:to>
    <xdr:graphicFrame macro="">
      <xdr:nvGraphicFramePr>
        <xdr:cNvPr id="8" name="Chart 7">
          <a:extLst>
            <a:ext uri="{FF2B5EF4-FFF2-40B4-BE49-F238E27FC236}">
              <a16:creationId xmlns="" xmlns:a16="http://schemas.microsoft.com/office/drawing/2014/main" id="{F2381DA7-48ED-4BBA-A138-B6800F3B55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361154</xdr:colOff>
      <xdr:row>171</xdr:row>
      <xdr:rowOff>118496</xdr:rowOff>
    </xdr:from>
    <xdr:to>
      <xdr:col>48</xdr:col>
      <xdr:colOff>904</xdr:colOff>
      <xdr:row>195</xdr:row>
      <xdr:rowOff>8496</xdr:rowOff>
    </xdr:to>
    <xdr:graphicFrame macro="">
      <xdr:nvGraphicFramePr>
        <xdr:cNvPr id="12" name="Chart 11">
          <a:extLst>
            <a:ext uri="{FF2B5EF4-FFF2-40B4-BE49-F238E27FC236}">
              <a16:creationId xmlns="" xmlns:a16="http://schemas.microsoft.com/office/drawing/2014/main" id="{FDA46E8B-73D0-4785-9D73-BD4801A3D5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341311</xdr:colOff>
      <xdr:row>198</xdr:row>
      <xdr:rowOff>0</xdr:rowOff>
    </xdr:from>
    <xdr:to>
      <xdr:col>48</xdr:col>
      <xdr:colOff>9861</xdr:colOff>
      <xdr:row>220</xdr:row>
      <xdr:rowOff>80500</xdr:rowOff>
    </xdr:to>
    <xdr:graphicFrame macro="">
      <xdr:nvGraphicFramePr>
        <xdr:cNvPr id="16" name="Chart 15">
          <a:extLst>
            <a:ext uri="{FF2B5EF4-FFF2-40B4-BE49-F238E27FC236}">
              <a16:creationId xmlns="" xmlns:a16="http://schemas.microsoft.com/office/drawing/2014/main" id="{B12CCAD5-421D-46CD-BDEC-68ABCF4039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198437</xdr:colOff>
      <xdr:row>232</xdr:row>
      <xdr:rowOff>182562</xdr:rowOff>
    </xdr:from>
    <xdr:to>
      <xdr:col>48</xdr:col>
      <xdr:colOff>68587</xdr:colOff>
      <xdr:row>255</xdr:row>
      <xdr:rowOff>72562</xdr:rowOff>
    </xdr:to>
    <xdr:graphicFrame macro="">
      <xdr:nvGraphicFramePr>
        <xdr:cNvPr id="18" name="Chart 17">
          <a:extLst>
            <a:ext uri="{FF2B5EF4-FFF2-40B4-BE49-F238E27FC236}">
              <a16:creationId xmlns="" xmlns:a16="http://schemas.microsoft.com/office/drawing/2014/main" id="{BCDA6563-6615-4E7D-B20B-238174E331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240391</xdr:colOff>
      <xdr:row>261</xdr:row>
      <xdr:rowOff>0</xdr:rowOff>
    </xdr:from>
    <xdr:to>
      <xdr:col>48</xdr:col>
      <xdr:colOff>101016</xdr:colOff>
      <xdr:row>283</xdr:row>
      <xdr:rowOff>80500</xdr:rowOff>
    </xdr:to>
    <xdr:graphicFrame macro="">
      <xdr:nvGraphicFramePr>
        <xdr:cNvPr id="20" name="Chart 19">
          <a:extLst>
            <a:ext uri="{FF2B5EF4-FFF2-40B4-BE49-F238E27FC236}">
              <a16:creationId xmlns="" xmlns:a16="http://schemas.microsoft.com/office/drawing/2014/main" id="{7A6942BE-0557-4E24-B73A-ABA6906D5E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86</xdr:col>
      <xdr:colOff>721183</xdr:colOff>
      <xdr:row>121</xdr:row>
      <xdr:rowOff>163287</xdr:rowOff>
    </xdr:from>
    <xdr:to>
      <xdr:col>100</xdr:col>
      <xdr:colOff>326571</xdr:colOff>
      <xdr:row>145</xdr:row>
      <xdr:rowOff>27215</xdr:rowOff>
    </xdr:to>
    <xdr:graphicFrame macro="">
      <xdr:nvGraphicFramePr>
        <xdr:cNvPr id="19" name="Chart 18">
          <a:extLst>
            <a:ext uri="{FF2B5EF4-FFF2-40B4-BE49-F238E27FC236}">
              <a16:creationId xmlns="" xmlns:a16="http://schemas.microsoft.com/office/drawing/2014/main" id="{EDE2E92C-7915-4C74-B3E1-55DEC4A618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100</xdr:col>
      <xdr:colOff>877662</xdr:colOff>
      <xdr:row>121</xdr:row>
      <xdr:rowOff>149678</xdr:rowOff>
    </xdr:from>
    <xdr:to>
      <xdr:col>114</xdr:col>
      <xdr:colOff>864054</xdr:colOff>
      <xdr:row>145</xdr:row>
      <xdr:rowOff>81642</xdr:rowOff>
    </xdr:to>
    <xdr:graphicFrame macro="">
      <xdr:nvGraphicFramePr>
        <xdr:cNvPr id="21" name="Chart 20">
          <a:extLst>
            <a:ext uri="{FF2B5EF4-FFF2-40B4-BE49-F238E27FC236}">
              <a16:creationId xmlns="" xmlns:a16="http://schemas.microsoft.com/office/drawing/2014/main" id="{E8DC7BD1-264F-4420-A83B-254F30623D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86</xdr:col>
      <xdr:colOff>249465</xdr:colOff>
      <xdr:row>149</xdr:row>
      <xdr:rowOff>240393</xdr:rowOff>
    </xdr:from>
    <xdr:to>
      <xdr:col>100</xdr:col>
      <xdr:colOff>510416</xdr:colOff>
      <xdr:row>172</xdr:row>
      <xdr:rowOff>139464</xdr:rowOff>
    </xdr:to>
    <xdr:graphicFrame macro="">
      <xdr:nvGraphicFramePr>
        <xdr:cNvPr id="22" name="Chart 21">
          <a:extLst>
            <a:ext uri="{FF2B5EF4-FFF2-40B4-BE49-F238E27FC236}">
              <a16:creationId xmlns="" xmlns:a16="http://schemas.microsoft.com/office/drawing/2014/main" id="{CF7D6000-C206-499E-8DDF-D3D90F7A0C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101</xdr:col>
      <xdr:colOff>27210</xdr:colOff>
      <xdr:row>176</xdr:row>
      <xdr:rowOff>20205</xdr:rowOff>
    </xdr:from>
    <xdr:to>
      <xdr:col>114</xdr:col>
      <xdr:colOff>281582</xdr:colOff>
      <xdr:row>199</xdr:row>
      <xdr:rowOff>100705</xdr:rowOff>
    </xdr:to>
    <xdr:graphicFrame macro="">
      <xdr:nvGraphicFramePr>
        <xdr:cNvPr id="23" name="Chart 22">
          <a:extLst>
            <a:ext uri="{FF2B5EF4-FFF2-40B4-BE49-F238E27FC236}">
              <a16:creationId xmlns="" xmlns:a16="http://schemas.microsoft.com/office/drawing/2014/main" id="{C6D264A1-715D-4FB9-9874-D42E48ED8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101</xdr:col>
      <xdr:colOff>4534</xdr:colOff>
      <xdr:row>232</xdr:row>
      <xdr:rowOff>179161</xdr:rowOff>
    </xdr:from>
    <xdr:to>
      <xdr:col>114</xdr:col>
      <xdr:colOff>550506</xdr:colOff>
      <xdr:row>255</xdr:row>
      <xdr:rowOff>69161</xdr:rowOff>
    </xdr:to>
    <xdr:graphicFrame macro="">
      <xdr:nvGraphicFramePr>
        <xdr:cNvPr id="24" name="Chart 23">
          <a:extLst>
            <a:ext uri="{FF2B5EF4-FFF2-40B4-BE49-F238E27FC236}">
              <a16:creationId xmlns="" xmlns:a16="http://schemas.microsoft.com/office/drawing/2014/main" id="{454887D2-ECC8-41F3-A307-702387514A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100</xdr:col>
      <xdr:colOff>826635</xdr:colOff>
      <xdr:row>259</xdr:row>
      <xdr:rowOff>15875</xdr:rowOff>
    </xdr:from>
    <xdr:to>
      <xdr:col>114</xdr:col>
      <xdr:colOff>434110</xdr:colOff>
      <xdr:row>282</xdr:row>
      <xdr:rowOff>286875</xdr:rowOff>
    </xdr:to>
    <xdr:graphicFrame macro="">
      <xdr:nvGraphicFramePr>
        <xdr:cNvPr id="25" name="Chart 24">
          <a:extLst>
            <a:ext uri="{FF2B5EF4-FFF2-40B4-BE49-F238E27FC236}">
              <a16:creationId xmlns="" xmlns:a16="http://schemas.microsoft.com/office/drawing/2014/main" id="{94066158-9D5D-4A6A-BE0F-47D7D198E5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100</xdr:col>
      <xdr:colOff>898073</xdr:colOff>
      <xdr:row>203</xdr:row>
      <xdr:rowOff>4534</xdr:rowOff>
    </xdr:from>
    <xdr:to>
      <xdr:col>114</xdr:col>
      <xdr:colOff>806187</xdr:colOff>
      <xdr:row>228</xdr:row>
      <xdr:rowOff>15377</xdr:rowOff>
    </xdr:to>
    <xdr:graphicFrame macro="">
      <xdr:nvGraphicFramePr>
        <xdr:cNvPr id="26" name="Chart 25">
          <a:extLst>
            <a:ext uri="{FF2B5EF4-FFF2-40B4-BE49-F238E27FC236}">
              <a16:creationId xmlns="" xmlns:a16="http://schemas.microsoft.com/office/drawing/2014/main" id="{E5CF07A8-A88A-4895-96A2-2D3FBFA469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141</xdr:col>
      <xdr:colOff>23812</xdr:colOff>
      <xdr:row>108</xdr:row>
      <xdr:rowOff>184149</xdr:rowOff>
    </xdr:from>
    <xdr:to>
      <xdr:col>150</xdr:col>
      <xdr:colOff>713612</xdr:colOff>
      <xdr:row>131</xdr:row>
      <xdr:rowOff>116049</xdr:rowOff>
    </xdr:to>
    <xdr:graphicFrame macro="">
      <xdr:nvGraphicFramePr>
        <xdr:cNvPr id="3" name="Chart 2">
          <a:extLst>
            <a:ext uri="{FF2B5EF4-FFF2-40B4-BE49-F238E27FC236}">
              <a16:creationId xmlns="" xmlns:a16="http://schemas.microsoft.com/office/drawing/2014/main" id="{20E9C27F-C8F3-4B65-BD2B-47C5765547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141</xdr:col>
      <xdr:colOff>7936</xdr:colOff>
      <xdr:row>154</xdr:row>
      <xdr:rowOff>549274</xdr:rowOff>
    </xdr:from>
    <xdr:to>
      <xdr:col>149</xdr:col>
      <xdr:colOff>365124</xdr:colOff>
      <xdr:row>177</xdr:row>
      <xdr:rowOff>47625</xdr:rowOff>
    </xdr:to>
    <xdr:graphicFrame macro="">
      <xdr:nvGraphicFramePr>
        <xdr:cNvPr id="5" name="Chart 4">
          <a:extLst>
            <a:ext uri="{FF2B5EF4-FFF2-40B4-BE49-F238E27FC236}">
              <a16:creationId xmlns="" xmlns:a16="http://schemas.microsoft.com/office/drawing/2014/main" id="{F3046428-1100-485C-9BD3-19B4B33442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140</xdr:col>
      <xdr:colOff>777873</xdr:colOff>
      <xdr:row>218</xdr:row>
      <xdr:rowOff>25400</xdr:rowOff>
    </xdr:from>
    <xdr:to>
      <xdr:col>150</xdr:col>
      <xdr:colOff>704848</xdr:colOff>
      <xdr:row>242</xdr:row>
      <xdr:rowOff>147800</xdr:rowOff>
    </xdr:to>
    <xdr:graphicFrame macro="">
      <xdr:nvGraphicFramePr>
        <xdr:cNvPr id="7" name="Chart 6">
          <a:extLst>
            <a:ext uri="{FF2B5EF4-FFF2-40B4-BE49-F238E27FC236}">
              <a16:creationId xmlns="" xmlns:a16="http://schemas.microsoft.com/office/drawing/2014/main" id="{A7B8172B-9513-4F6B-A189-848E16899F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140</xdr:col>
      <xdr:colOff>777873</xdr:colOff>
      <xdr:row>249</xdr:row>
      <xdr:rowOff>279399</xdr:rowOff>
    </xdr:from>
    <xdr:to>
      <xdr:col>150</xdr:col>
      <xdr:colOff>769648</xdr:colOff>
      <xdr:row>273</xdr:row>
      <xdr:rowOff>42399</xdr:rowOff>
    </xdr:to>
    <xdr:graphicFrame macro="">
      <xdr:nvGraphicFramePr>
        <xdr:cNvPr id="9" name="Chart 8">
          <a:extLst>
            <a:ext uri="{FF2B5EF4-FFF2-40B4-BE49-F238E27FC236}">
              <a16:creationId xmlns="" xmlns:a16="http://schemas.microsoft.com/office/drawing/2014/main" id="{FF593ABC-F3F7-4B11-840F-57D175C018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141</xdr:col>
      <xdr:colOff>7937</xdr:colOff>
      <xdr:row>185</xdr:row>
      <xdr:rowOff>549274</xdr:rowOff>
    </xdr:from>
    <xdr:to>
      <xdr:col>149</xdr:col>
      <xdr:colOff>444500</xdr:colOff>
      <xdr:row>210</xdr:row>
      <xdr:rowOff>127000</xdr:rowOff>
    </xdr:to>
    <xdr:graphicFrame macro="">
      <xdr:nvGraphicFramePr>
        <xdr:cNvPr id="11" name="Chart 10">
          <a:extLst>
            <a:ext uri="{FF2B5EF4-FFF2-40B4-BE49-F238E27FC236}">
              <a16:creationId xmlns="" xmlns:a16="http://schemas.microsoft.com/office/drawing/2014/main" id="{75735702-8387-42ED-8821-FB9B91FEBE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140</xdr:col>
      <xdr:colOff>809621</xdr:colOff>
      <xdr:row>278</xdr:row>
      <xdr:rowOff>215898</xdr:rowOff>
    </xdr:from>
    <xdr:to>
      <xdr:col>151</xdr:col>
      <xdr:colOff>245284</xdr:colOff>
      <xdr:row>303</xdr:row>
      <xdr:rowOff>37398</xdr:rowOff>
    </xdr:to>
    <xdr:graphicFrame macro="">
      <xdr:nvGraphicFramePr>
        <xdr:cNvPr id="13" name="Chart 12">
          <a:extLst>
            <a:ext uri="{FF2B5EF4-FFF2-40B4-BE49-F238E27FC236}">
              <a16:creationId xmlns="" xmlns:a16="http://schemas.microsoft.com/office/drawing/2014/main" id="{A94C33BD-5FF7-4A00-A6F5-18D4CA6070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19</xdr:col>
      <xdr:colOff>460375</xdr:colOff>
      <xdr:row>147</xdr:row>
      <xdr:rowOff>9525</xdr:rowOff>
    </xdr:from>
    <xdr:to>
      <xdr:col>33</xdr:col>
      <xdr:colOff>730950</xdr:colOff>
      <xdr:row>170</xdr:row>
      <xdr:rowOff>68725</xdr:rowOff>
    </xdr:to>
    <xdr:graphicFrame macro="">
      <xdr:nvGraphicFramePr>
        <xdr:cNvPr id="6" name="Chart 5">
          <a:extLst>
            <a:ext uri="{FF2B5EF4-FFF2-40B4-BE49-F238E27FC236}">
              <a16:creationId xmlns="" xmlns:a16="http://schemas.microsoft.com/office/drawing/2014/main" id="{026F44EE-1825-4E9A-94ED-6F1A4B6608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19</xdr:col>
      <xdr:colOff>523875</xdr:colOff>
      <xdr:row>171</xdr:row>
      <xdr:rowOff>184150</xdr:rowOff>
    </xdr:from>
    <xdr:to>
      <xdr:col>34</xdr:col>
      <xdr:colOff>23775</xdr:colOff>
      <xdr:row>194</xdr:row>
      <xdr:rowOff>22275</xdr:rowOff>
    </xdr:to>
    <xdr:graphicFrame macro="">
      <xdr:nvGraphicFramePr>
        <xdr:cNvPr id="14" name="Chart 13">
          <a:extLst>
            <a:ext uri="{FF2B5EF4-FFF2-40B4-BE49-F238E27FC236}">
              <a16:creationId xmlns="" xmlns:a16="http://schemas.microsoft.com/office/drawing/2014/main" id="{C30FB280-2D6E-472A-8462-F9282450AF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19</xdr:col>
      <xdr:colOff>476250</xdr:colOff>
      <xdr:row>198</xdr:row>
      <xdr:rowOff>25400</xdr:rowOff>
    </xdr:from>
    <xdr:to>
      <xdr:col>33</xdr:col>
      <xdr:colOff>754025</xdr:colOff>
      <xdr:row>220</xdr:row>
      <xdr:rowOff>54025</xdr:rowOff>
    </xdr:to>
    <xdr:graphicFrame macro="">
      <xdr:nvGraphicFramePr>
        <xdr:cNvPr id="15" name="Chart 14">
          <a:extLst>
            <a:ext uri="{FF2B5EF4-FFF2-40B4-BE49-F238E27FC236}">
              <a16:creationId xmlns="" xmlns:a16="http://schemas.microsoft.com/office/drawing/2014/main" id="{9DA9B633-A0CE-4776-8635-6B4D9C6088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19</xdr:col>
      <xdr:colOff>523875</xdr:colOff>
      <xdr:row>232</xdr:row>
      <xdr:rowOff>184150</xdr:rowOff>
    </xdr:from>
    <xdr:to>
      <xdr:col>34</xdr:col>
      <xdr:colOff>23775</xdr:colOff>
      <xdr:row>255</xdr:row>
      <xdr:rowOff>22275</xdr:rowOff>
    </xdr:to>
    <xdr:graphicFrame macro="">
      <xdr:nvGraphicFramePr>
        <xdr:cNvPr id="17" name="Chart 16">
          <a:extLst>
            <a:ext uri="{FF2B5EF4-FFF2-40B4-BE49-F238E27FC236}">
              <a16:creationId xmlns="" xmlns:a16="http://schemas.microsoft.com/office/drawing/2014/main" id="{EF5D4A34-2BEA-4AE5-844E-F9C8018797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19</xdr:col>
      <xdr:colOff>508000</xdr:colOff>
      <xdr:row>261</xdr:row>
      <xdr:rowOff>9525</xdr:rowOff>
    </xdr:from>
    <xdr:to>
      <xdr:col>34</xdr:col>
      <xdr:colOff>7900</xdr:colOff>
      <xdr:row>283</xdr:row>
      <xdr:rowOff>54025</xdr:rowOff>
    </xdr:to>
    <xdr:graphicFrame macro="">
      <xdr:nvGraphicFramePr>
        <xdr:cNvPr id="27" name="Chart 26">
          <a:extLst>
            <a:ext uri="{FF2B5EF4-FFF2-40B4-BE49-F238E27FC236}">
              <a16:creationId xmlns="" xmlns:a16="http://schemas.microsoft.com/office/drawing/2014/main" id="{40D0B4CF-26D3-49D0-9ECA-BB91DF6DA0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48</xdr:col>
      <xdr:colOff>730249</xdr:colOff>
      <xdr:row>122</xdr:row>
      <xdr:rowOff>9525</xdr:rowOff>
    </xdr:from>
    <xdr:to>
      <xdr:col>61</xdr:col>
      <xdr:colOff>55524</xdr:colOff>
      <xdr:row>145</xdr:row>
      <xdr:rowOff>132825</xdr:rowOff>
    </xdr:to>
    <xdr:graphicFrame macro="">
      <xdr:nvGraphicFramePr>
        <xdr:cNvPr id="29" name="Chart 28">
          <a:extLst>
            <a:ext uri="{FF2B5EF4-FFF2-40B4-BE49-F238E27FC236}">
              <a16:creationId xmlns="" xmlns:a16="http://schemas.microsoft.com/office/drawing/2014/main" id="{F367DB3B-3666-4A04-8476-C1DA677840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48</xdr:col>
      <xdr:colOff>762000</xdr:colOff>
      <xdr:row>146</xdr:row>
      <xdr:rowOff>184150</xdr:rowOff>
    </xdr:from>
    <xdr:to>
      <xdr:col>61</xdr:col>
      <xdr:colOff>87275</xdr:colOff>
      <xdr:row>169</xdr:row>
      <xdr:rowOff>176850</xdr:rowOff>
    </xdr:to>
    <xdr:graphicFrame macro="">
      <xdr:nvGraphicFramePr>
        <xdr:cNvPr id="30" name="Chart 29">
          <a:extLst>
            <a:ext uri="{FF2B5EF4-FFF2-40B4-BE49-F238E27FC236}">
              <a16:creationId xmlns="" xmlns:a16="http://schemas.microsoft.com/office/drawing/2014/main" id="{3ECEE641-8416-48E4-98D2-6E19C1F9A6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49</xdr:col>
      <xdr:colOff>15875</xdr:colOff>
      <xdr:row>172</xdr:row>
      <xdr:rowOff>9525</xdr:rowOff>
    </xdr:from>
    <xdr:to>
      <xdr:col>61</xdr:col>
      <xdr:colOff>119025</xdr:colOff>
      <xdr:row>195</xdr:row>
      <xdr:rowOff>49850</xdr:rowOff>
    </xdr:to>
    <xdr:graphicFrame macro="">
      <xdr:nvGraphicFramePr>
        <xdr:cNvPr id="31" name="Chart 30">
          <a:extLst>
            <a:ext uri="{FF2B5EF4-FFF2-40B4-BE49-F238E27FC236}">
              <a16:creationId xmlns="" xmlns:a16="http://schemas.microsoft.com/office/drawing/2014/main" id="{8792EE4B-8024-4CEF-AA39-BD51851EC8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48</xdr:col>
      <xdr:colOff>730250</xdr:colOff>
      <xdr:row>232</xdr:row>
      <xdr:rowOff>184150</xdr:rowOff>
    </xdr:from>
    <xdr:to>
      <xdr:col>61</xdr:col>
      <xdr:colOff>55525</xdr:colOff>
      <xdr:row>256</xdr:row>
      <xdr:rowOff>33975</xdr:rowOff>
    </xdr:to>
    <xdr:graphicFrame macro="">
      <xdr:nvGraphicFramePr>
        <xdr:cNvPr id="32" name="Chart 31">
          <a:extLst>
            <a:ext uri="{FF2B5EF4-FFF2-40B4-BE49-F238E27FC236}">
              <a16:creationId xmlns="" xmlns:a16="http://schemas.microsoft.com/office/drawing/2014/main" id="{D3450896-106F-4289-9A20-EB6859678C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49</xdr:col>
      <xdr:colOff>15875</xdr:colOff>
      <xdr:row>260</xdr:row>
      <xdr:rowOff>168275</xdr:rowOff>
    </xdr:from>
    <xdr:to>
      <xdr:col>61</xdr:col>
      <xdr:colOff>119025</xdr:colOff>
      <xdr:row>284</xdr:row>
      <xdr:rowOff>33975</xdr:rowOff>
    </xdr:to>
    <xdr:graphicFrame macro="">
      <xdr:nvGraphicFramePr>
        <xdr:cNvPr id="33" name="Chart 32">
          <a:extLst>
            <a:ext uri="{FF2B5EF4-FFF2-40B4-BE49-F238E27FC236}">
              <a16:creationId xmlns="" xmlns:a16="http://schemas.microsoft.com/office/drawing/2014/main" id="{44A15026-6277-4759-AEE9-1F911C19AB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115</xdr:col>
      <xdr:colOff>796019</xdr:colOff>
      <xdr:row>121</xdr:row>
      <xdr:rowOff>166009</xdr:rowOff>
    </xdr:from>
    <xdr:to>
      <xdr:col>128</xdr:col>
      <xdr:colOff>64598</xdr:colOff>
      <xdr:row>145</xdr:row>
      <xdr:rowOff>95209</xdr:rowOff>
    </xdr:to>
    <xdr:graphicFrame macro="">
      <xdr:nvGraphicFramePr>
        <xdr:cNvPr id="34" name="Chart 33">
          <a:extLst>
            <a:ext uri="{FF2B5EF4-FFF2-40B4-BE49-F238E27FC236}">
              <a16:creationId xmlns="" xmlns:a16="http://schemas.microsoft.com/office/drawing/2014/main" id="{59B0CDB7-79D1-405E-9C5B-5D4E0C4ED2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101</xdr:col>
      <xdr:colOff>6803</xdr:colOff>
      <xdr:row>149</xdr:row>
      <xdr:rowOff>220436</xdr:rowOff>
    </xdr:from>
    <xdr:to>
      <xdr:col>114</xdr:col>
      <xdr:colOff>840203</xdr:colOff>
      <xdr:row>173</xdr:row>
      <xdr:rowOff>40779</xdr:rowOff>
    </xdr:to>
    <xdr:graphicFrame macro="">
      <xdr:nvGraphicFramePr>
        <xdr:cNvPr id="10" name="Chart 9">
          <a:extLst>
            <a:ext uri="{FF2B5EF4-FFF2-40B4-BE49-F238E27FC236}">
              <a16:creationId xmlns="" xmlns:a16="http://schemas.microsoft.com/office/drawing/2014/main" id="{41FB81F3-A26B-4AAA-ACEB-732AC4FF46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115</xdr:col>
      <xdr:colOff>727982</xdr:colOff>
      <xdr:row>149</xdr:row>
      <xdr:rowOff>152401</xdr:rowOff>
    </xdr:from>
    <xdr:to>
      <xdr:col>127</xdr:col>
      <xdr:colOff>908239</xdr:colOff>
      <xdr:row>172</xdr:row>
      <xdr:rowOff>163244</xdr:rowOff>
    </xdr:to>
    <xdr:graphicFrame macro="">
      <xdr:nvGraphicFramePr>
        <xdr:cNvPr id="28" name="Chart 27">
          <a:extLst>
            <a:ext uri="{FF2B5EF4-FFF2-40B4-BE49-F238E27FC236}">
              <a16:creationId xmlns="" xmlns:a16="http://schemas.microsoft.com/office/drawing/2014/main" id="{BFA1BA2D-5059-4D61-BFC1-2C743D2ECE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86</xdr:col>
      <xdr:colOff>170088</xdr:colOff>
      <xdr:row>176</xdr:row>
      <xdr:rowOff>16328</xdr:rowOff>
    </xdr:from>
    <xdr:to>
      <xdr:col>100</xdr:col>
      <xdr:colOff>581667</xdr:colOff>
      <xdr:row>199</xdr:row>
      <xdr:rowOff>81599</xdr:rowOff>
    </xdr:to>
    <xdr:graphicFrame macro="">
      <xdr:nvGraphicFramePr>
        <xdr:cNvPr id="35" name="Chart 34">
          <a:extLst>
            <a:ext uri="{FF2B5EF4-FFF2-40B4-BE49-F238E27FC236}">
              <a16:creationId xmlns="" xmlns:a16="http://schemas.microsoft.com/office/drawing/2014/main" id="{4DA5D87A-03B6-475C-9AEB-E598C8C3D8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115</xdr:col>
      <xdr:colOff>755197</xdr:colOff>
      <xdr:row>176</xdr:row>
      <xdr:rowOff>2722</xdr:rowOff>
    </xdr:from>
    <xdr:to>
      <xdr:col>128</xdr:col>
      <xdr:colOff>23775</xdr:colOff>
      <xdr:row>199</xdr:row>
      <xdr:rowOff>67993</xdr:rowOff>
    </xdr:to>
    <xdr:graphicFrame macro="">
      <xdr:nvGraphicFramePr>
        <xdr:cNvPr id="36" name="Chart 35">
          <a:extLst>
            <a:ext uri="{FF2B5EF4-FFF2-40B4-BE49-F238E27FC236}">
              <a16:creationId xmlns="" xmlns:a16="http://schemas.microsoft.com/office/drawing/2014/main" id="{70F9FFFB-1662-47AF-BC91-6504115396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85</xdr:col>
      <xdr:colOff>727982</xdr:colOff>
      <xdr:row>203</xdr:row>
      <xdr:rowOff>16329</xdr:rowOff>
    </xdr:from>
    <xdr:to>
      <xdr:col>100</xdr:col>
      <xdr:colOff>404775</xdr:colOff>
      <xdr:row>228</xdr:row>
      <xdr:rowOff>27172</xdr:rowOff>
    </xdr:to>
    <xdr:graphicFrame macro="">
      <xdr:nvGraphicFramePr>
        <xdr:cNvPr id="37" name="Chart 36">
          <a:extLst>
            <a:ext uri="{FF2B5EF4-FFF2-40B4-BE49-F238E27FC236}">
              <a16:creationId xmlns="" xmlns:a16="http://schemas.microsoft.com/office/drawing/2014/main" id="{C3373D33-B6DF-45BC-8350-3C86525C4C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86</xdr:col>
      <xdr:colOff>20409</xdr:colOff>
      <xdr:row>232</xdr:row>
      <xdr:rowOff>179615</xdr:rowOff>
    </xdr:from>
    <xdr:to>
      <xdr:col>100</xdr:col>
      <xdr:colOff>431988</xdr:colOff>
      <xdr:row>256</xdr:row>
      <xdr:rowOff>54386</xdr:rowOff>
    </xdr:to>
    <xdr:graphicFrame macro="">
      <xdr:nvGraphicFramePr>
        <xdr:cNvPr id="38" name="Chart 37">
          <a:extLst>
            <a:ext uri="{FF2B5EF4-FFF2-40B4-BE49-F238E27FC236}">
              <a16:creationId xmlns="" xmlns:a16="http://schemas.microsoft.com/office/drawing/2014/main" id="{98C22746-F9E3-4F26-BFB3-A9901400CE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115</xdr:col>
      <xdr:colOff>306161</xdr:colOff>
      <xdr:row>232</xdr:row>
      <xdr:rowOff>166008</xdr:rowOff>
    </xdr:from>
    <xdr:to>
      <xdr:col>127</xdr:col>
      <xdr:colOff>486418</xdr:colOff>
      <xdr:row>256</xdr:row>
      <xdr:rowOff>40779</xdr:rowOff>
    </xdr:to>
    <xdr:graphicFrame macro="">
      <xdr:nvGraphicFramePr>
        <xdr:cNvPr id="39" name="Chart 38">
          <a:extLst>
            <a:ext uri="{FF2B5EF4-FFF2-40B4-BE49-F238E27FC236}">
              <a16:creationId xmlns="" xmlns:a16="http://schemas.microsoft.com/office/drawing/2014/main" id="{42AFCE80-E7A4-4064-9759-1000D38206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86</xdr:col>
      <xdr:colOff>29764</xdr:colOff>
      <xdr:row>258</xdr:row>
      <xdr:rowOff>170258</xdr:rowOff>
    </xdr:from>
    <xdr:to>
      <xdr:col>100</xdr:col>
      <xdr:colOff>410726</xdr:colOff>
      <xdr:row>282</xdr:row>
      <xdr:rowOff>420927</xdr:rowOff>
    </xdr:to>
    <xdr:graphicFrame macro="">
      <xdr:nvGraphicFramePr>
        <xdr:cNvPr id="40" name="Chart 39">
          <a:extLst>
            <a:ext uri="{FF2B5EF4-FFF2-40B4-BE49-F238E27FC236}">
              <a16:creationId xmlns="" xmlns:a16="http://schemas.microsoft.com/office/drawing/2014/main" id="{0421FC8D-5025-44DB-85CE-6F65B7A259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115</xdr:col>
      <xdr:colOff>244077</xdr:colOff>
      <xdr:row>259</xdr:row>
      <xdr:rowOff>3571</xdr:rowOff>
    </xdr:from>
    <xdr:to>
      <xdr:col>127</xdr:col>
      <xdr:colOff>363102</xdr:colOff>
      <xdr:row>282</xdr:row>
      <xdr:rowOff>444740</xdr:rowOff>
    </xdr:to>
    <xdr:graphicFrame macro="">
      <xdr:nvGraphicFramePr>
        <xdr:cNvPr id="41" name="Chart 40">
          <a:extLst>
            <a:ext uri="{FF2B5EF4-FFF2-40B4-BE49-F238E27FC236}">
              <a16:creationId xmlns="" xmlns:a16="http://schemas.microsoft.com/office/drawing/2014/main" id="{FA2516CE-2919-449F-8804-0038D2D5D9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PJM1">
  <a:themeElements>
    <a:clrScheme name="Accentpresentation">
      <a:dk1>
        <a:srgbClr val="00769E"/>
      </a:dk1>
      <a:lt1>
        <a:srgbClr val="FFFFFF"/>
      </a:lt1>
      <a:dk2>
        <a:srgbClr val="022B3A"/>
      </a:dk2>
      <a:lt2>
        <a:srgbClr val="EFEAFF"/>
      </a:lt2>
      <a:accent1>
        <a:srgbClr val="022B3A"/>
      </a:accent1>
      <a:accent2>
        <a:srgbClr val="00769E"/>
      </a:accent2>
      <a:accent3>
        <a:srgbClr val="0CA6C9"/>
      </a:accent3>
      <a:accent4>
        <a:srgbClr val="CFCFEA"/>
      </a:accent4>
      <a:accent5>
        <a:srgbClr val="EFEAFF"/>
      </a:accent5>
      <a:accent6>
        <a:srgbClr val="C00000"/>
      </a:accent6>
      <a:hlink>
        <a:srgbClr val="00769E"/>
      </a:hlink>
      <a:folHlink>
        <a:srgbClr val="0CA6C9"/>
      </a:folHlink>
    </a:clrScheme>
    <a:fontScheme name="AccentX">
      <a:majorFont>
        <a:latin typeface="Calibri Light"/>
        <a:ea typeface=""/>
        <a:cs typeface=""/>
      </a:majorFont>
      <a:minorFont>
        <a:latin typeface="Calibri"/>
        <a:ea typeface=""/>
        <a:cs typeface=""/>
      </a:minorFont>
    </a:fontScheme>
    <a:fmtScheme name="Median">
      <a:fillStyleLst>
        <a:solidFill>
          <a:schemeClr val="phClr"/>
        </a:solidFill>
        <a:solidFill>
          <a:schemeClr val="phClr">
            <a:tint val="50000"/>
          </a:schemeClr>
        </a:solidFill>
        <a:solidFill>
          <a:schemeClr val="phClr"/>
        </a:solidFill>
      </a:fillStyleLst>
      <a:lnStyleLst>
        <a:ln w="10000" cap="flat" cmpd="sng" algn="ctr">
          <a:solidFill>
            <a:schemeClr val="phClr"/>
          </a:solidFill>
          <a:prstDash val="solid"/>
        </a:ln>
        <a:ln w="19050" cap="flat" cmpd="sng" algn="ctr">
          <a:solidFill>
            <a:schemeClr val="phClr"/>
          </a:solidFill>
          <a:prstDash val="solid"/>
        </a:ln>
        <a:ln w="47625" cap="flat" cmpd="dbl" algn="ctr">
          <a:solidFill>
            <a:schemeClr val="phClr"/>
          </a:solidFill>
          <a:prstDash val="solid"/>
        </a:ln>
      </a:lnStyleLst>
      <a:effectStyleLst>
        <a:effectStyle>
          <a:effectLst>
            <a:outerShdw blurRad="38100" dist="30000" dir="5400000" rotWithShape="0">
              <a:srgbClr val="000000">
                <a:alpha val="45000"/>
              </a:srgbClr>
            </a:outerShdw>
          </a:effectLst>
        </a:effectStyle>
        <a:effectStyle>
          <a:effectLst>
            <a:outerShdw blurRad="38100" dist="30000" dir="5400000" rotWithShape="0">
              <a:srgbClr val="000000">
                <a:alpha val="45000"/>
              </a:srgbClr>
            </a:outerShdw>
          </a:effectLst>
        </a:effectStyle>
        <a:effectStyle>
          <a:effectLst>
            <a:outerShdw blurRad="38100" dist="25400" dir="5400000" rotWithShape="0">
              <a:srgbClr val="000000">
                <a:alpha val="35000"/>
              </a:srgbClr>
            </a:outerShdw>
          </a:effectLst>
          <a:scene3d>
            <a:camera prst="isometricTopDown" fov="0">
              <a:rot lat="0" lon="0" rev="0"/>
            </a:camera>
            <a:lightRig rig="balanced" dir="t">
              <a:rot lat="0" lon="0" rev="13800000"/>
            </a:lightRig>
          </a:scene3d>
          <a:sp3d extrusionH="12700" prstMaterial="plastic">
            <a:bevelT w="38100" h="25400" prst="softRound"/>
            <a:contourClr>
              <a:schemeClr val="phClr"/>
            </a:contourClr>
          </a:sp3d>
        </a:effectStyle>
      </a:effectStyleLst>
      <a:bgFillStyleLst>
        <a:solidFill>
          <a:schemeClr val="phClr"/>
        </a:solidFill>
        <a:gradFill rotWithShape="1">
          <a:gsLst>
            <a:gs pos="0">
              <a:schemeClr val="phClr">
                <a:shade val="45000"/>
                <a:satMod val="150000"/>
              </a:schemeClr>
            </a:gs>
            <a:gs pos="35000">
              <a:schemeClr val="phClr">
                <a:shade val="60000"/>
                <a:satMod val="150000"/>
              </a:schemeClr>
            </a:gs>
            <a:gs pos="100000">
              <a:schemeClr val="phClr">
                <a:tint val="97000"/>
                <a:satMod val="200000"/>
              </a:schemeClr>
            </a:gs>
          </a:gsLst>
          <a:lin ang="16200000" scaled="1"/>
        </a:gradFill>
        <a:blipFill>
          <a:blip xmlns:r="http://schemas.openxmlformats.org/officeDocument/2006/relationships" r:embed="rId1">
            <a:duotone>
              <a:schemeClr val="phClr">
                <a:shade val="90000"/>
                <a:satMod val="140000"/>
              </a:schemeClr>
              <a:schemeClr val="phClr">
                <a:satMod val="120000"/>
              </a:schemeClr>
            </a:duotone>
          </a:blip>
          <a:tile tx="0" ty="0" sx="100000" sy="100000" flip="none" algn="t"/>
        </a:blipFill>
      </a:bgFillStyleLst>
    </a:fmtScheme>
  </a:themeElements>
  <a:objectDefaults>
    <a:spDef>
      <a:spPr>
        <a:solidFill>
          <a:srgbClr val="CFCFEA"/>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101600">
          <a:solidFill>
            <a:srgbClr val="0CA6CA"/>
          </a:solidFill>
          <a:tailEnd type="triangle"/>
        </a:ln>
      </a:spPr>
      <a:bodyPr/>
      <a:lstStyle/>
      <a:style>
        <a:lnRef idx="1">
          <a:schemeClr val="accent1"/>
        </a:lnRef>
        <a:fillRef idx="0">
          <a:schemeClr val="accent1"/>
        </a:fillRef>
        <a:effectRef idx="0">
          <a:schemeClr val="accent1"/>
        </a:effectRef>
        <a:fontRef idx="minor">
          <a:schemeClr val="tx1"/>
        </a:fontRef>
      </a:style>
    </a:lnDef>
    <a:txDef>
      <a:spPr>
        <a:solidFill>
          <a:srgbClr val="CFCFEA"/>
        </a:solidFill>
      </a:spPr>
      <a:bodyPr wrap="square" rtlCol="0">
        <a:spAutoFit/>
      </a:bodyPr>
      <a:lstStyle>
        <a:defPPr>
          <a:defRPr sz="1600" dirty="0" smtClean="0">
            <a:solidFill>
              <a:schemeClr val="bg1"/>
            </a:solidFill>
            <a:latin typeface="Calibri" pitchFamily="34" charset="0"/>
          </a:defRPr>
        </a:defPPr>
      </a:lstStyle>
    </a:txDef>
  </a:objectDefaults>
  <a:extraClrSchemeLst/>
  <a:extLst>
    <a:ext uri="{05A4C25C-085E-4340-85A3-A5531E510DB2}">
      <thm15:themeFamily xmlns:thm15="http://schemas.microsoft.com/office/thememl/2012/main" name="PJM1" id="{EAA9BA25-5CE6-44A5-9CAD-81103402F1B5}" vid="{EA932209-4198-4B87-B65D-B0A6378CBFF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pjmeconomics.co.uk/" TargetMode="External"/><Relationship Id="rId1" Type="http://schemas.openxmlformats.org/officeDocument/2006/relationships/hyperlink" Target="mailto:paul@pjmeconomics.co.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86"/>
  <sheetViews>
    <sheetView zoomScale="80" zoomScaleNormal="80" workbookViewId="0"/>
  </sheetViews>
  <sheetFormatPr defaultColWidth="0" defaultRowHeight="15" zeroHeight="1" x14ac:dyDescent="0.25"/>
  <cols>
    <col min="1" max="1" width="8.85546875" style="3" customWidth="1"/>
    <col min="2" max="2" width="18.5703125" style="3" customWidth="1"/>
    <col min="3" max="18" width="11" style="3" customWidth="1"/>
    <col min="19" max="19" width="20" style="3" customWidth="1"/>
    <col min="20" max="16384" width="8.85546875" style="3" hidden="1"/>
  </cols>
  <sheetData>
    <row r="1" spans="1:19" x14ac:dyDescent="0.25">
      <c r="A1" s="332"/>
      <c r="B1" s="332"/>
      <c r="C1" s="332"/>
      <c r="D1" s="332"/>
      <c r="E1" s="332"/>
      <c r="F1" s="332"/>
      <c r="G1" s="332"/>
      <c r="H1" s="332"/>
      <c r="I1" s="332"/>
      <c r="J1" s="332"/>
      <c r="K1" s="332"/>
      <c r="L1" s="332"/>
      <c r="M1" s="332"/>
      <c r="N1" s="332"/>
      <c r="O1" s="332"/>
      <c r="P1" s="332"/>
      <c r="Q1" s="332"/>
      <c r="R1" s="332"/>
      <c r="S1" s="332"/>
    </row>
    <row r="2" spans="1:19" x14ac:dyDescent="0.25">
      <c r="A2" s="332"/>
      <c r="B2" s="332"/>
      <c r="C2" s="332"/>
      <c r="D2" s="332"/>
      <c r="E2" s="332"/>
      <c r="F2" s="332"/>
      <c r="G2" s="332"/>
      <c r="H2" s="332"/>
      <c r="I2" s="332"/>
      <c r="J2" s="332"/>
      <c r="K2" s="332"/>
      <c r="L2" s="332"/>
      <c r="M2" s="332"/>
      <c r="N2" s="332"/>
      <c r="O2" s="332"/>
      <c r="P2" s="332"/>
      <c r="Q2" s="332"/>
      <c r="R2" s="332"/>
      <c r="S2" s="332"/>
    </row>
    <row r="3" spans="1:19" x14ac:dyDescent="0.25">
      <c r="A3" s="332"/>
      <c r="B3" s="332"/>
      <c r="C3" s="332"/>
      <c r="D3" s="332"/>
      <c r="E3" s="332"/>
      <c r="F3" s="332"/>
      <c r="G3" s="332"/>
      <c r="H3" s="332"/>
      <c r="I3" s="332"/>
      <c r="J3" s="332"/>
      <c r="K3" s="332"/>
      <c r="L3" s="332"/>
      <c r="M3" s="332"/>
      <c r="N3" s="332"/>
      <c r="O3" s="332"/>
      <c r="P3" s="332"/>
      <c r="Q3" s="332"/>
      <c r="R3" s="332"/>
      <c r="S3" s="332"/>
    </row>
    <row r="4" spans="1:19" x14ac:dyDescent="0.25">
      <c r="A4" s="332"/>
      <c r="B4" s="332"/>
      <c r="C4" s="332"/>
      <c r="D4" s="332"/>
      <c r="E4" s="332"/>
      <c r="F4" s="332"/>
      <c r="G4" s="332"/>
      <c r="H4" s="332"/>
      <c r="I4" s="332"/>
      <c r="J4" s="332"/>
      <c r="K4" s="332"/>
      <c r="L4" s="332"/>
      <c r="M4" s="332"/>
      <c r="N4" s="332"/>
      <c r="O4" s="332"/>
      <c r="P4" s="332"/>
      <c r="Q4" s="332"/>
      <c r="R4" s="332"/>
      <c r="S4" s="332"/>
    </row>
    <row r="5" spans="1:19" ht="28.5" x14ac:dyDescent="0.45">
      <c r="A5" s="332"/>
      <c r="B5" s="333" t="s">
        <v>341</v>
      </c>
      <c r="C5" s="332"/>
      <c r="D5" s="332"/>
      <c r="E5" s="332"/>
      <c r="F5" s="332"/>
      <c r="G5" s="332"/>
      <c r="H5" s="332"/>
      <c r="I5" s="332"/>
      <c r="J5" s="332"/>
      <c r="K5" s="332"/>
      <c r="L5" s="332"/>
      <c r="M5" s="332"/>
      <c r="N5" s="332"/>
      <c r="O5" s="332"/>
      <c r="P5" s="332"/>
      <c r="Q5" s="332"/>
      <c r="R5" s="332"/>
      <c r="S5" s="332"/>
    </row>
    <row r="6" spans="1:19" ht="28.5" x14ac:dyDescent="0.45">
      <c r="A6" s="332"/>
      <c r="B6" s="334" t="s">
        <v>342</v>
      </c>
      <c r="C6" s="332"/>
      <c r="D6" s="332"/>
      <c r="E6" s="332"/>
      <c r="F6" s="332"/>
      <c r="G6" s="332"/>
      <c r="H6" s="332"/>
      <c r="I6" s="332"/>
      <c r="J6" s="332"/>
      <c r="K6" s="332"/>
      <c r="L6" s="332"/>
      <c r="M6" s="332"/>
      <c r="N6" s="332"/>
      <c r="O6" s="332"/>
      <c r="P6" s="332"/>
      <c r="Q6" s="332"/>
      <c r="R6" s="332"/>
      <c r="S6" s="332"/>
    </row>
    <row r="7" spans="1:19" x14ac:dyDescent="0.25">
      <c r="A7" s="332"/>
      <c r="B7" s="332"/>
      <c r="C7" s="332"/>
      <c r="D7" s="332"/>
      <c r="E7" s="332"/>
      <c r="F7" s="332"/>
      <c r="G7" s="332"/>
      <c r="H7" s="332"/>
      <c r="I7" s="332"/>
      <c r="J7" s="332"/>
      <c r="K7" s="332"/>
      <c r="L7" s="332"/>
      <c r="M7" s="332"/>
      <c r="N7" s="332"/>
      <c r="O7" s="332"/>
      <c r="P7" s="332"/>
      <c r="Q7" s="332"/>
      <c r="R7" s="332"/>
      <c r="S7" s="332"/>
    </row>
    <row r="8" spans="1:19" x14ac:dyDescent="0.25">
      <c r="A8" s="332"/>
      <c r="B8" s="332"/>
      <c r="C8" s="332"/>
      <c r="D8" s="332"/>
      <c r="E8" s="332"/>
      <c r="F8" s="332"/>
      <c r="G8" s="332"/>
      <c r="H8" s="332"/>
      <c r="I8" s="332"/>
      <c r="J8" s="332"/>
      <c r="K8" s="332"/>
      <c r="L8" s="332"/>
      <c r="M8" s="332"/>
      <c r="N8" s="332"/>
      <c r="O8" s="332"/>
      <c r="P8" s="332"/>
      <c r="Q8" s="332"/>
      <c r="R8" s="332"/>
      <c r="S8" s="332"/>
    </row>
    <row r="9" spans="1:19" x14ac:dyDescent="0.25">
      <c r="A9" s="332"/>
      <c r="B9" s="332"/>
      <c r="C9" s="332"/>
      <c r="D9" s="332"/>
      <c r="E9" s="332"/>
      <c r="F9" s="332"/>
      <c r="G9" s="332"/>
      <c r="H9" s="332"/>
      <c r="I9" s="332"/>
      <c r="J9" s="332"/>
      <c r="K9" s="332"/>
      <c r="L9" s="332"/>
      <c r="M9" s="332"/>
      <c r="N9" s="332"/>
      <c r="O9" s="332"/>
      <c r="P9" s="332"/>
      <c r="Q9" s="332"/>
      <c r="R9" s="332"/>
      <c r="S9" s="332"/>
    </row>
    <row r="10" spans="1:19" x14ac:dyDescent="0.25">
      <c r="A10" s="332"/>
      <c r="B10" s="332"/>
      <c r="C10" s="332"/>
      <c r="D10" s="332"/>
      <c r="E10" s="332"/>
      <c r="F10" s="332"/>
      <c r="G10" s="332"/>
      <c r="H10" s="332"/>
      <c r="I10" s="332"/>
      <c r="J10" s="332"/>
      <c r="K10" s="332"/>
      <c r="L10" s="332"/>
      <c r="M10" s="332"/>
      <c r="N10" s="332"/>
      <c r="O10" s="332"/>
      <c r="P10" s="332"/>
      <c r="Q10" s="332"/>
      <c r="R10" s="332"/>
      <c r="S10" s="332"/>
    </row>
    <row r="11" spans="1:19" x14ac:dyDescent="0.25">
      <c r="A11" s="1"/>
      <c r="B11" s="1"/>
      <c r="C11" s="1"/>
      <c r="D11" s="1"/>
      <c r="E11" s="1"/>
      <c r="F11" s="1"/>
      <c r="G11" s="1"/>
      <c r="H11" s="1"/>
      <c r="I11" s="1"/>
      <c r="J11" s="1"/>
      <c r="K11" s="1"/>
      <c r="L11" s="1"/>
      <c r="M11" s="1"/>
      <c r="N11" s="1"/>
      <c r="O11" s="1"/>
      <c r="P11" s="1"/>
      <c r="Q11" s="1"/>
      <c r="R11" s="1"/>
      <c r="S11" s="1"/>
    </row>
    <row r="12" spans="1:19" x14ac:dyDescent="0.25">
      <c r="A12" s="1"/>
      <c r="B12" s="1"/>
      <c r="C12" s="1"/>
      <c r="D12" s="1"/>
      <c r="E12" s="1"/>
      <c r="F12" s="1"/>
      <c r="G12" s="1"/>
      <c r="H12" s="1"/>
      <c r="I12" s="1"/>
      <c r="J12" s="1"/>
      <c r="K12" s="1"/>
      <c r="L12" s="1"/>
      <c r="M12" s="1"/>
      <c r="N12" s="1"/>
      <c r="O12" s="1"/>
      <c r="P12" s="1"/>
      <c r="Q12" s="1"/>
      <c r="R12" s="1"/>
      <c r="S12" s="1"/>
    </row>
    <row r="13" spans="1:19" x14ac:dyDescent="0.25">
      <c r="A13" s="1"/>
      <c r="B13" s="1"/>
      <c r="C13" s="1"/>
      <c r="D13" s="1"/>
      <c r="E13" s="1"/>
      <c r="F13" s="1"/>
      <c r="G13" s="1"/>
      <c r="H13" s="1"/>
      <c r="I13" s="1"/>
      <c r="J13" s="1"/>
      <c r="K13" s="1"/>
      <c r="L13" s="1"/>
      <c r="M13" s="1"/>
      <c r="N13" s="1"/>
      <c r="O13" s="1"/>
      <c r="P13" s="1"/>
      <c r="Q13" s="1"/>
      <c r="R13" s="1"/>
      <c r="S13" s="1"/>
    </row>
    <row r="14" spans="1:19" x14ac:dyDescent="0.25">
      <c r="A14" s="1"/>
      <c r="B14" s="1"/>
      <c r="C14" s="1"/>
      <c r="D14" s="1"/>
      <c r="E14" s="1"/>
      <c r="F14" s="1"/>
      <c r="G14" s="1"/>
      <c r="H14" s="1"/>
      <c r="I14" s="1"/>
      <c r="J14" s="1"/>
      <c r="K14" s="1"/>
      <c r="L14" s="1"/>
      <c r="M14" s="1"/>
      <c r="N14" s="1"/>
      <c r="O14" s="1"/>
      <c r="P14" s="1"/>
      <c r="Q14" s="1"/>
      <c r="R14" s="1"/>
      <c r="S14" s="1"/>
    </row>
    <row r="15" spans="1:19" x14ac:dyDescent="0.25">
      <c r="A15" s="1"/>
      <c r="B15" s="1"/>
      <c r="C15" s="1"/>
      <c r="D15" s="1"/>
      <c r="E15" s="1"/>
      <c r="F15" s="1"/>
      <c r="G15" s="1"/>
      <c r="H15" s="1"/>
      <c r="I15" s="1"/>
      <c r="J15" s="1"/>
      <c r="K15" s="1"/>
      <c r="L15" s="1"/>
      <c r="M15" s="1"/>
      <c r="N15" s="1"/>
      <c r="O15" s="1"/>
      <c r="P15" s="1"/>
      <c r="Q15" s="1"/>
      <c r="R15" s="1"/>
      <c r="S15" s="1"/>
    </row>
    <row r="16" spans="1:19" x14ac:dyDescent="0.25">
      <c r="A16" s="1"/>
      <c r="B16" s="1"/>
      <c r="C16" s="1"/>
      <c r="D16" s="1"/>
      <c r="E16" s="1"/>
      <c r="F16" s="1"/>
      <c r="G16" s="1"/>
      <c r="H16" s="1"/>
      <c r="I16" s="1"/>
      <c r="J16" s="1"/>
      <c r="K16" s="1"/>
      <c r="L16" s="1"/>
      <c r="M16" s="1"/>
      <c r="N16" s="1"/>
      <c r="O16" s="1"/>
      <c r="P16" s="1"/>
      <c r="Q16" s="1"/>
      <c r="R16" s="1"/>
      <c r="S16" s="1"/>
    </row>
    <row r="17" spans="1:19" x14ac:dyDescent="0.25">
      <c r="A17" s="1"/>
      <c r="B17" s="1"/>
      <c r="C17" s="1"/>
      <c r="D17" s="1"/>
      <c r="E17" s="1"/>
      <c r="F17" s="1"/>
      <c r="G17" s="1"/>
      <c r="H17" s="1"/>
      <c r="I17" s="1"/>
      <c r="J17" s="1"/>
      <c r="K17" s="1"/>
      <c r="L17" s="1"/>
      <c r="M17" s="1"/>
      <c r="N17" s="1"/>
      <c r="O17" s="1"/>
      <c r="P17" s="1"/>
      <c r="Q17" s="1"/>
      <c r="R17" s="1"/>
      <c r="S17" s="1"/>
    </row>
    <row r="18" spans="1:19" x14ac:dyDescent="0.25">
      <c r="A18" s="1"/>
      <c r="B18" s="1"/>
      <c r="C18" s="1"/>
      <c r="D18" s="1"/>
      <c r="E18" s="1"/>
      <c r="F18" s="1"/>
      <c r="G18" s="1"/>
      <c r="H18" s="1"/>
      <c r="I18" s="1"/>
      <c r="J18" s="1"/>
      <c r="K18" s="1"/>
      <c r="L18" s="1"/>
      <c r="M18" s="1"/>
      <c r="N18" s="1"/>
      <c r="O18" s="1"/>
      <c r="P18" s="1"/>
      <c r="Q18" s="1"/>
      <c r="R18" s="1"/>
      <c r="S18" s="1"/>
    </row>
    <row r="19" spans="1:19" x14ac:dyDescent="0.25">
      <c r="A19" s="1"/>
      <c r="B19" s="1"/>
      <c r="C19" s="1"/>
      <c r="D19" s="1"/>
      <c r="E19" s="1"/>
      <c r="F19" s="1"/>
      <c r="G19" s="1"/>
      <c r="H19" s="1"/>
      <c r="I19" s="1"/>
      <c r="J19" s="1"/>
      <c r="K19" s="1"/>
      <c r="L19" s="1"/>
      <c r="M19" s="1"/>
      <c r="N19" s="1"/>
      <c r="O19" s="1"/>
      <c r="P19" s="1"/>
      <c r="Q19" s="1"/>
      <c r="R19" s="1"/>
      <c r="S19" s="1"/>
    </row>
    <row r="20" spans="1:19" x14ac:dyDescent="0.25">
      <c r="A20" s="1"/>
      <c r="B20" s="1"/>
      <c r="C20" s="1"/>
      <c r="D20" s="1"/>
      <c r="E20" s="1"/>
      <c r="F20" s="1"/>
      <c r="G20" s="1"/>
      <c r="H20" s="1"/>
      <c r="I20" s="1"/>
      <c r="J20" s="1"/>
      <c r="K20" s="1"/>
      <c r="L20" s="1"/>
      <c r="M20" s="1"/>
      <c r="N20" s="1"/>
      <c r="O20" s="1"/>
      <c r="P20" s="1"/>
      <c r="Q20" s="1"/>
      <c r="R20" s="1"/>
      <c r="S20" s="1"/>
    </row>
    <row r="21" spans="1:19" x14ac:dyDescent="0.25">
      <c r="A21" s="1"/>
      <c r="B21" s="1"/>
      <c r="C21" s="1"/>
      <c r="D21" s="1"/>
      <c r="E21" s="1"/>
      <c r="F21" s="1"/>
      <c r="G21" s="1"/>
      <c r="H21" s="1"/>
      <c r="I21" s="1"/>
      <c r="J21" s="1"/>
      <c r="K21" s="1"/>
      <c r="L21" s="1"/>
      <c r="M21" s="1"/>
      <c r="N21" s="1"/>
      <c r="O21" s="1"/>
      <c r="P21" s="1"/>
      <c r="Q21" s="1"/>
      <c r="R21" s="1"/>
      <c r="S21" s="1"/>
    </row>
    <row r="22" spans="1:19" x14ac:dyDescent="0.25">
      <c r="A22" s="1"/>
      <c r="B22" s="1"/>
      <c r="C22" s="1"/>
      <c r="D22" s="1"/>
      <c r="E22" s="1"/>
      <c r="F22" s="1"/>
      <c r="G22" s="1"/>
      <c r="H22" s="1"/>
      <c r="I22" s="1"/>
      <c r="J22" s="1"/>
      <c r="K22" s="1"/>
      <c r="L22" s="1"/>
      <c r="M22" s="1"/>
      <c r="N22" s="1"/>
      <c r="O22" s="1"/>
      <c r="P22" s="1"/>
      <c r="Q22" s="1"/>
      <c r="R22" s="1"/>
      <c r="S22" s="1"/>
    </row>
    <row r="23" spans="1:19" ht="15.75" thickBot="1" x14ac:dyDescent="0.3">
      <c r="A23" s="1"/>
      <c r="B23" s="1"/>
      <c r="C23" s="1"/>
      <c r="D23" s="1"/>
      <c r="E23" s="1"/>
      <c r="F23" s="1"/>
      <c r="G23" s="1"/>
      <c r="H23" s="1"/>
      <c r="I23" s="1"/>
      <c r="J23" s="1"/>
      <c r="K23" s="1"/>
      <c r="L23" s="1"/>
      <c r="M23" s="1"/>
      <c r="N23" s="1"/>
      <c r="O23" s="1"/>
      <c r="P23" s="1"/>
      <c r="Q23" s="1"/>
      <c r="R23" s="1"/>
      <c r="S23" s="1"/>
    </row>
    <row r="24" spans="1:19" x14ac:dyDescent="0.25">
      <c r="A24" s="1"/>
      <c r="B24" s="924" t="s">
        <v>1025</v>
      </c>
      <c r="C24" s="914"/>
      <c r="D24" s="915"/>
      <c r="E24" s="915"/>
      <c r="F24" s="915"/>
      <c r="G24" s="916"/>
      <c r="H24" s="1"/>
      <c r="I24" s="1"/>
      <c r="J24" s="1"/>
      <c r="K24" s="1"/>
      <c r="L24" s="1"/>
      <c r="M24" s="1"/>
      <c r="N24" s="1"/>
      <c r="O24" s="1"/>
      <c r="P24" s="1"/>
      <c r="Q24" s="1"/>
      <c r="R24" s="1"/>
      <c r="S24" s="1"/>
    </row>
    <row r="25" spans="1:19" x14ac:dyDescent="0.25">
      <c r="A25" s="1"/>
      <c r="B25" s="917" t="s">
        <v>1020</v>
      </c>
      <c r="C25" s="918"/>
      <c r="D25" s="919" t="s">
        <v>1022</v>
      </c>
      <c r="E25" s="920"/>
      <c r="F25" s="920"/>
      <c r="G25" s="921"/>
      <c r="H25" s="1"/>
      <c r="I25" s="1"/>
      <c r="J25" s="1"/>
      <c r="K25" s="1"/>
      <c r="L25" s="1"/>
      <c r="M25" s="1"/>
      <c r="N25" s="1"/>
      <c r="O25" s="1"/>
      <c r="P25" s="1"/>
      <c r="Q25" s="1"/>
      <c r="R25" s="1"/>
      <c r="S25" s="1"/>
    </row>
    <row r="26" spans="1:19" x14ac:dyDescent="0.25">
      <c r="A26" s="1"/>
      <c r="B26" s="917" t="s">
        <v>1021</v>
      </c>
      <c r="C26" s="918"/>
      <c r="D26" s="919" t="s">
        <v>1023</v>
      </c>
      <c r="E26" s="920"/>
      <c r="F26" s="920"/>
      <c r="G26" s="921"/>
      <c r="H26" s="1"/>
      <c r="I26" s="1"/>
      <c r="J26" s="1"/>
      <c r="K26" s="1"/>
      <c r="L26" s="1"/>
      <c r="M26" s="1"/>
      <c r="N26" s="1"/>
      <c r="O26" s="1"/>
      <c r="P26" s="1"/>
      <c r="Q26" s="1"/>
      <c r="R26" s="1"/>
      <c r="S26" s="1"/>
    </row>
    <row r="27" spans="1:19" ht="15.75" thickBot="1" x14ac:dyDescent="0.3">
      <c r="A27" s="1"/>
      <c r="B27" s="922" t="s">
        <v>1033</v>
      </c>
      <c r="C27" s="960"/>
      <c r="D27" s="961" t="s">
        <v>1024</v>
      </c>
      <c r="E27" s="960"/>
      <c r="F27" s="960"/>
      <c r="G27" s="923"/>
      <c r="H27" s="1"/>
      <c r="I27" s="1"/>
      <c r="J27" s="1"/>
      <c r="K27" s="1"/>
      <c r="L27" s="1"/>
      <c r="M27" s="1"/>
      <c r="N27" s="1"/>
      <c r="O27" s="1"/>
      <c r="P27" s="1"/>
      <c r="Q27" s="1"/>
      <c r="R27" s="1"/>
      <c r="S27" s="1"/>
    </row>
    <row r="28" spans="1:19" x14ac:dyDescent="0.25">
      <c r="A28" s="1"/>
      <c r="B28" s="1"/>
      <c r="C28" s="1"/>
      <c r="D28" s="1"/>
      <c r="E28" s="1"/>
      <c r="F28" s="1"/>
      <c r="G28" s="1"/>
      <c r="H28" s="1"/>
      <c r="I28" s="1"/>
      <c r="J28" s="1"/>
      <c r="K28" s="1"/>
      <c r="L28" s="1"/>
      <c r="M28" s="1"/>
      <c r="N28" s="1"/>
      <c r="O28" s="1"/>
      <c r="P28" s="1"/>
      <c r="Q28" s="1"/>
      <c r="R28" s="1"/>
      <c r="S28" s="1"/>
    </row>
    <row r="29" spans="1:19" x14ac:dyDescent="0.25">
      <c r="A29" s="1"/>
      <c r="B29" s="1"/>
      <c r="C29" s="1"/>
      <c r="D29" s="1"/>
      <c r="E29" s="1"/>
      <c r="F29" s="1"/>
      <c r="G29" s="1"/>
      <c r="H29" s="1"/>
      <c r="I29" s="1"/>
      <c r="J29" s="1"/>
      <c r="K29" s="1"/>
      <c r="L29" s="1"/>
      <c r="M29" s="1"/>
      <c r="N29" s="1"/>
      <c r="O29" s="1"/>
      <c r="P29" s="1"/>
      <c r="Q29" s="1"/>
      <c r="R29" s="1"/>
      <c r="S29" s="1"/>
    </row>
    <row r="30" spans="1:19" x14ac:dyDescent="0.25">
      <c r="A30" s="1"/>
      <c r="B30" s="1"/>
      <c r="C30" s="1"/>
      <c r="D30" s="1"/>
      <c r="E30" s="1"/>
      <c r="F30" s="1"/>
      <c r="G30" s="1"/>
      <c r="H30" s="1"/>
      <c r="I30" s="1"/>
      <c r="J30" s="1"/>
      <c r="K30" s="1"/>
      <c r="L30" s="1"/>
      <c r="M30" s="1"/>
      <c r="N30" s="1"/>
      <c r="O30" s="1"/>
      <c r="P30" s="1"/>
      <c r="Q30" s="1"/>
      <c r="R30" s="1"/>
      <c r="S30" s="1"/>
    </row>
    <row r="31" spans="1:19" x14ac:dyDescent="0.25">
      <c r="A31" s="1"/>
      <c r="B31" s="1"/>
      <c r="C31" s="1"/>
      <c r="D31" s="1"/>
      <c r="E31" s="1"/>
      <c r="F31" s="1"/>
      <c r="G31" s="1"/>
      <c r="H31" s="1"/>
      <c r="I31" s="1"/>
      <c r="J31" s="1"/>
      <c r="K31" s="1"/>
      <c r="L31" s="1"/>
      <c r="M31" s="1"/>
      <c r="N31" s="1"/>
      <c r="O31" s="1"/>
      <c r="P31" s="1"/>
      <c r="Q31" s="1"/>
      <c r="R31" s="1"/>
      <c r="S31" s="1"/>
    </row>
    <row r="32" spans="1:19" ht="18.75" x14ac:dyDescent="0.3">
      <c r="A32" s="1"/>
      <c r="B32" s="2"/>
      <c r="C32" s="1"/>
      <c r="D32" s="1"/>
      <c r="E32" s="1"/>
      <c r="F32" s="1"/>
      <c r="G32" s="1"/>
      <c r="H32" s="1"/>
      <c r="I32" s="1"/>
      <c r="J32" s="1"/>
      <c r="K32" s="1"/>
      <c r="L32" s="1"/>
      <c r="M32" s="1"/>
      <c r="N32" s="1"/>
      <c r="O32" s="1"/>
      <c r="P32" s="1"/>
      <c r="Q32" s="1"/>
      <c r="R32" s="1"/>
      <c r="S32" s="1"/>
    </row>
    <row r="33" spans="1:16384" ht="18.75" x14ac:dyDescent="0.3">
      <c r="A33" s="1"/>
      <c r="B33" s="2"/>
      <c r="C33" s="1"/>
      <c r="D33" s="1"/>
      <c r="E33" s="1"/>
      <c r="F33" s="1"/>
      <c r="G33" s="1"/>
      <c r="H33" s="1"/>
      <c r="I33" s="1"/>
      <c r="J33" s="1"/>
      <c r="K33" s="1"/>
      <c r="L33" s="1"/>
      <c r="M33" s="1"/>
      <c r="N33" s="1"/>
      <c r="O33" s="1"/>
      <c r="P33" s="1"/>
      <c r="Q33" s="1"/>
      <c r="R33" s="1"/>
      <c r="S33" s="1"/>
    </row>
    <row r="34" spans="1:16384" x14ac:dyDescent="0.25">
      <c r="A34" s="1"/>
      <c r="B34" s="222" t="s">
        <v>340</v>
      </c>
      <c r="C34" s="757" t="s">
        <v>1092</v>
      </c>
      <c r="D34" s="925" t="s">
        <v>1093</v>
      </c>
      <c r="E34" s="926"/>
      <c r="F34" s="896"/>
      <c r="G34" s="896"/>
      <c r="H34" s="1"/>
      <c r="I34" s="1"/>
      <c r="J34" s="1"/>
      <c r="K34" s="1"/>
      <c r="L34" s="1"/>
      <c r="M34" s="1"/>
      <c r="N34" s="1"/>
      <c r="O34" s="1"/>
      <c r="P34" s="1"/>
      <c r="Q34" s="1"/>
      <c r="R34" s="1"/>
      <c r="S34" s="1"/>
    </row>
    <row r="35" spans="1:16384" x14ac:dyDescent="0.25">
      <c r="A35" s="1"/>
      <c r="B35" s="223"/>
      <c r="C35" s="223"/>
      <c r="D35" s="926">
        <v>1</v>
      </c>
      <c r="E35" s="926" t="s">
        <v>1094</v>
      </c>
      <c r="F35" s="896"/>
      <c r="G35" s="896"/>
      <c r="H35" s="875"/>
      <c r="I35" s="875"/>
      <c r="J35" s="875"/>
      <c r="K35" s="875"/>
      <c r="L35" s="875"/>
      <c r="M35" s="1"/>
      <c r="N35" s="1"/>
      <c r="O35" s="1"/>
      <c r="P35" s="1"/>
      <c r="Q35" s="1"/>
      <c r="R35" s="1"/>
      <c r="S35" s="1"/>
    </row>
    <row r="36" spans="1:16384" x14ac:dyDescent="0.25">
      <c r="A36" s="1"/>
      <c r="B36" s="223"/>
      <c r="C36" s="223"/>
      <c r="D36" s="926"/>
      <c r="E36" s="926"/>
      <c r="F36" s="896"/>
      <c r="G36" s="896"/>
      <c r="H36" s="875"/>
      <c r="I36" s="875"/>
      <c r="J36" s="875"/>
      <c r="K36" s="875"/>
      <c r="L36" s="875"/>
      <c r="M36" s="1"/>
      <c r="N36" s="1"/>
      <c r="O36" s="1"/>
      <c r="P36" s="1"/>
      <c r="Q36" s="1"/>
      <c r="R36" s="1"/>
      <c r="S36" s="1"/>
    </row>
    <row r="37" spans="1:16384" x14ac:dyDescent="0.25">
      <c r="A37" s="1"/>
      <c r="B37" s="223"/>
      <c r="C37" s="223"/>
      <c r="D37" s="926"/>
      <c r="E37" s="926"/>
      <c r="F37" s="896"/>
      <c r="G37" s="896"/>
      <c r="H37" s="875"/>
      <c r="I37" s="875"/>
      <c r="J37" s="875"/>
      <c r="K37" s="875"/>
      <c r="L37" s="875"/>
      <c r="M37" s="1"/>
      <c r="N37" s="1"/>
      <c r="O37" s="1"/>
      <c r="P37" s="1"/>
      <c r="Q37" s="1"/>
      <c r="R37" s="1"/>
      <c r="S37" s="1"/>
    </row>
    <row r="38" spans="1:16384" x14ac:dyDescent="0.25">
      <c r="A38" s="1"/>
      <c r="B38" s="223"/>
      <c r="C38" s="223"/>
      <c r="D38" s="926"/>
      <c r="E38" s="994"/>
      <c r="F38" s="896"/>
      <c r="G38" s="896"/>
      <c r="H38" s="875"/>
      <c r="I38" s="875"/>
      <c r="J38" s="875"/>
      <c r="K38" s="875"/>
      <c r="L38" s="875"/>
      <c r="M38" s="1"/>
      <c r="N38" s="1"/>
      <c r="O38" s="1"/>
      <c r="P38" s="1"/>
      <c r="Q38" s="1"/>
      <c r="R38" s="1"/>
      <c r="S38" s="1"/>
    </row>
    <row r="39" spans="1:16384" x14ac:dyDescent="0.25">
      <c r="A39" s="1"/>
      <c r="B39" s="223"/>
      <c r="C39" s="223"/>
      <c r="D39" s="926"/>
      <c r="E39" s="926"/>
      <c r="F39" s="896"/>
      <c r="G39" s="896"/>
      <c r="H39" s="875"/>
      <c r="I39" s="875"/>
      <c r="J39" s="875"/>
      <c r="K39" s="875"/>
      <c r="L39" s="875"/>
      <c r="M39" s="1"/>
      <c r="N39" s="1"/>
      <c r="O39" s="1"/>
      <c r="P39" s="1"/>
      <c r="Q39" s="1"/>
      <c r="R39" s="1"/>
      <c r="S39" s="1"/>
    </row>
    <row r="40" spans="1:16384" x14ac:dyDescent="0.25">
      <c r="A40" s="1"/>
      <c r="B40" s="223"/>
      <c r="C40" s="223"/>
      <c r="D40" s="926"/>
      <c r="E40" s="926"/>
      <c r="F40" s="896"/>
      <c r="G40" s="896"/>
      <c r="H40" s="875"/>
      <c r="I40" s="875"/>
      <c r="J40" s="875"/>
      <c r="K40" s="875"/>
      <c r="L40" s="875"/>
      <c r="M40" s="1"/>
      <c r="N40" s="1"/>
      <c r="O40" s="1"/>
      <c r="P40" s="1"/>
      <c r="Q40" s="1"/>
      <c r="R40" s="1"/>
      <c r="S40" s="1"/>
    </row>
    <row r="41" spans="1:16384" x14ac:dyDescent="0.25">
      <c r="A41" s="1"/>
      <c r="B41" s="223"/>
      <c r="C41" s="223"/>
      <c r="D41" s="926"/>
      <c r="E41" s="926"/>
      <c r="F41" s="896"/>
      <c r="G41" s="896"/>
      <c r="H41" s="875"/>
      <c r="I41" s="875"/>
      <c r="J41" s="875"/>
      <c r="K41" s="875"/>
      <c r="L41" s="875"/>
      <c r="M41" s="1"/>
      <c r="N41" s="1"/>
      <c r="O41" s="1"/>
      <c r="P41" s="1"/>
      <c r="Q41" s="1"/>
      <c r="R41" s="1"/>
      <c r="S41" s="1"/>
    </row>
    <row r="42" spans="1:16384" x14ac:dyDescent="0.25">
      <c r="A42" s="1"/>
      <c r="B42" s="223"/>
      <c r="C42" s="223"/>
      <c r="D42" s="926"/>
      <c r="E42" s="926"/>
      <c r="F42" s="896"/>
      <c r="G42" s="896"/>
      <c r="H42" s="875"/>
      <c r="I42" s="875"/>
      <c r="J42" s="875"/>
      <c r="K42" s="875"/>
      <c r="L42" s="875"/>
      <c r="M42" s="1"/>
      <c r="N42" s="1"/>
      <c r="O42" s="1"/>
      <c r="P42" s="1"/>
      <c r="Q42" s="1"/>
      <c r="R42" s="1"/>
      <c r="S42" s="1"/>
    </row>
    <row r="43" spans="1:16384" x14ac:dyDescent="0.25">
      <c r="A43" s="1"/>
      <c r="B43" s="223"/>
      <c r="C43" s="223"/>
      <c r="D43" s="926"/>
      <c r="E43" s="926"/>
      <c r="F43" s="896"/>
      <c r="G43" s="896"/>
      <c r="H43" s="875"/>
      <c r="I43" s="875"/>
      <c r="J43" s="875"/>
      <c r="K43" s="875"/>
      <c r="L43" s="875"/>
      <c r="M43" s="1"/>
      <c r="N43" s="1"/>
      <c r="O43" s="1"/>
      <c r="P43" s="1"/>
      <c r="Q43" s="1"/>
      <c r="R43" s="1"/>
      <c r="S43" s="1"/>
    </row>
    <row r="44" spans="1:16384" x14ac:dyDescent="0.25">
      <c r="A44" s="1"/>
      <c r="B44" s="222" t="s">
        <v>1</v>
      </c>
      <c r="C44" s="224">
        <v>43284</v>
      </c>
      <c r="D44" s="560"/>
      <c r="E44" s="561"/>
      <c r="F44" s="875"/>
      <c r="G44" s="875"/>
      <c r="H44" s="875"/>
      <c r="I44" s="875"/>
      <c r="J44" s="875"/>
      <c r="K44" s="875"/>
      <c r="L44" s="875"/>
      <c r="M44" s="1"/>
      <c r="N44" s="1"/>
      <c r="O44" s="1"/>
      <c r="P44" s="1"/>
      <c r="Q44" s="1"/>
      <c r="R44" s="1"/>
      <c r="S44" s="1"/>
    </row>
    <row r="45" spans="1:16384" x14ac:dyDescent="0.25">
      <c r="A45" s="1"/>
      <c r="B45" s="222" t="s">
        <v>2</v>
      </c>
      <c r="C45" s="225" t="s">
        <v>336</v>
      </c>
      <c r="D45" s="560"/>
      <c r="E45" s="560"/>
      <c r="F45" s="1"/>
      <c r="G45" s="1"/>
      <c r="H45" s="1"/>
      <c r="I45" s="1"/>
      <c r="J45" s="1"/>
      <c r="K45" s="1"/>
      <c r="L45" s="1"/>
      <c r="M45" s="1"/>
      <c r="N45" s="1"/>
      <c r="O45" s="1"/>
      <c r="P45" s="1"/>
      <c r="Q45" s="1"/>
      <c r="R45" s="1"/>
      <c r="S45" s="1"/>
    </row>
    <row r="46" spans="1:16384" x14ac:dyDescent="0.25">
      <c r="A46" s="1"/>
      <c r="B46" s="223"/>
      <c r="C46" s="223"/>
      <c r="D46" s="223"/>
      <c r="E46" s="223"/>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c r="AOW46" s="1"/>
      <c r="AOX46" s="1"/>
      <c r="AOY46" s="1"/>
      <c r="AOZ46" s="1"/>
      <c r="APA46" s="1"/>
      <c r="APB46" s="1"/>
      <c r="APC46" s="1"/>
      <c r="APD46" s="1"/>
      <c r="APE46" s="1"/>
      <c r="APF46" s="1"/>
      <c r="APG46" s="1"/>
      <c r="APH46" s="1"/>
      <c r="API46" s="1"/>
      <c r="APJ46" s="1"/>
      <c r="APK46" s="1"/>
      <c r="APL46" s="1"/>
      <c r="APM46" s="1"/>
      <c r="APN46" s="1"/>
      <c r="APO46" s="1"/>
      <c r="APP46" s="1"/>
      <c r="APQ46" s="1"/>
      <c r="APR46" s="1"/>
      <c r="APS46" s="1"/>
      <c r="APT46" s="1"/>
      <c r="APU46" s="1"/>
      <c r="APV46" s="1"/>
      <c r="APW46" s="1"/>
      <c r="APX46" s="1"/>
      <c r="APY46" s="1"/>
      <c r="APZ46" s="1"/>
      <c r="AQA46" s="1"/>
      <c r="AQB46" s="1"/>
      <c r="AQC46" s="1"/>
      <c r="AQD46" s="1"/>
      <c r="AQE46" s="1"/>
      <c r="AQF46" s="1"/>
      <c r="AQG46" s="1"/>
      <c r="AQH46" s="1"/>
      <c r="AQI46" s="1"/>
      <c r="AQJ46" s="1"/>
      <c r="AQK46" s="1"/>
      <c r="AQL46" s="1"/>
      <c r="AQM46" s="1"/>
      <c r="AQN46" s="1"/>
      <c r="AQO46" s="1"/>
      <c r="AQP46" s="1"/>
      <c r="AQQ46" s="1"/>
      <c r="AQR46" s="1"/>
      <c r="AQS46" s="1"/>
      <c r="AQT46" s="1"/>
      <c r="AQU46" s="1"/>
      <c r="AQV46" s="1"/>
      <c r="AQW46" s="1"/>
      <c r="AQX46" s="1"/>
      <c r="AQY46" s="1"/>
      <c r="AQZ46" s="1"/>
      <c r="ARA46" s="1"/>
      <c r="ARB46" s="1"/>
      <c r="ARC46" s="1"/>
      <c r="ARD46" s="1"/>
      <c r="ARE46" s="1"/>
      <c r="ARF46" s="1"/>
      <c r="ARG46" s="1"/>
      <c r="ARH46" s="1"/>
      <c r="ARI46" s="1"/>
      <c r="ARJ46" s="1"/>
      <c r="ARK46" s="1"/>
      <c r="ARL46" s="1"/>
      <c r="ARM46" s="1"/>
      <c r="ARN46" s="1"/>
      <c r="ARO46" s="1"/>
      <c r="ARP46" s="1"/>
      <c r="ARQ46" s="1"/>
      <c r="ARR46" s="1"/>
      <c r="ARS46" s="1"/>
      <c r="ART46" s="1"/>
      <c r="ARU46" s="1"/>
      <c r="ARV46" s="1"/>
      <c r="ARW46" s="1"/>
      <c r="ARX46" s="1"/>
      <c r="ARY46" s="1"/>
      <c r="ARZ46" s="1"/>
      <c r="ASA46" s="1"/>
      <c r="ASB46" s="1"/>
      <c r="ASC46" s="1"/>
      <c r="ASD46" s="1"/>
      <c r="ASE46" s="1"/>
      <c r="ASF46" s="1"/>
      <c r="ASG46" s="1"/>
      <c r="ASH46" s="1"/>
      <c r="ASI46" s="1"/>
      <c r="ASJ46" s="1"/>
      <c r="ASK46" s="1"/>
      <c r="ASL46" s="1"/>
      <c r="ASM46" s="1"/>
      <c r="ASN46" s="1"/>
      <c r="ASO46" s="1"/>
      <c r="ASP46" s="1"/>
      <c r="ASQ46" s="1"/>
      <c r="ASR46" s="1"/>
      <c r="ASS46" s="1"/>
      <c r="AST46" s="1"/>
      <c r="ASU46" s="1"/>
      <c r="ASV46" s="1"/>
      <c r="ASW46" s="1"/>
      <c r="ASX46" s="1"/>
      <c r="ASY46" s="1"/>
      <c r="ASZ46" s="1"/>
      <c r="ATA46" s="1"/>
      <c r="ATB46" s="1"/>
      <c r="ATC46" s="1"/>
      <c r="ATD46" s="1"/>
      <c r="ATE46" s="1"/>
      <c r="ATF46" s="1"/>
      <c r="ATG46" s="1"/>
      <c r="ATH46" s="1"/>
      <c r="ATI46" s="1"/>
      <c r="ATJ46" s="1"/>
      <c r="ATK46" s="1"/>
      <c r="ATL46" s="1"/>
      <c r="ATM46" s="1"/>
      <c r="ATN46" s="1"/>
      <c r="ATO46" s="1"/>
      <c r="ATP46" s="1"/>
      <c r="ATQ46" s="1"/>
      <c r="ATR46" s="1"/>
      <c r="ATS46" s="1"/>
      <c r="ATT46" s="1"/>
      <c r="ATU46" s="1"/>
      <c r="ATV46" s="1"/>
      <c r="ATW46" s="1"/>
      <c r="ATX46" s="1"/>
      <c r="ATY46" s="1"/>
      <c r="ATZ46" s="1"/>
      <c r="AUA46" s="1"/>
      <c r="AUB46" s="1"/>
      <c r="AUC46" s="1"/>
      <c r="AUD46" s="1"/>
      <c r="AUE46" s="1"/>
      <c r="AUF46" s="1"/>
      <c r="AUG46" s="1"/>
      <c r="AUH46" s="1"/>
      <c r="AUI46" s="1"/>
      <c r="AUJ46" s="1"/>
      <c r="AUK46" s="1"/>
      <c r="AUL46" s="1"/>
      <c r="AUM46" s="1"/>
      <c r="AUN46" s="1"/>
      <c r="AUO46" s="1"/>
      <c r="AUP46" s="1"/>
      <c r="AUQ46" s="1"/>
      <c r="AUR46" s="1"/>
      <c r="AUS46" s="1"/>
      <c r="AUT46" s="1"/>
      <c r="AUU46" s="1"/>
      <c r="AUV46" s="1"/>
      <c r="AUW46" s="1"/>
      <c r="AUX46" s="1"/>
      <c r="AUY46" s="1"/>
      <c r="AUZ46" s="1"/>
      <c r="AVA46" s="1"/>
      <c r="AVB46" s="1"/>
      <c r="AVC46" s="1"/>
      <c r="AVD46" s="1"/>
      <c r="AVE46" s="1"/>
      <c r="AVF46" s="1"/>
      <c r="AVG46" s="1"/>
      <c r="AVH46" s="1"/>
      <c r="AVI46" s="1"/>
      <c r="AVJ46" s="1"/>
      <c r="AVK46" s="1"/>
      <c r="AVL46" s="1"/>
      <c r="AVM46" s="1"/>
      <c r="AVN46" s="1"/>
      <c r="AVO46" s="1"/>
      <c r="AVP46" s="1"/>
      <c r="AVQ46" s="1"/>
      <c r="AVR46" s="1"/>
      <c r="AVS46" s="1"/>
      <c r="AVT46" s="1"/>
      <c r="AVU46" s="1"/>
      <c r="AVV46" s="1"/>
      <c r="AVW46" s="1"/>
      <c r="AVX46" s="1"/>
      <c r="AVY46" s="1"/>
      <c r="AVZ46" s="1"/>
      <c r="AWA46" s="1"/>
      <c r="AWB46" s="1"/>
      <c r="AWC46" s="1"/>
      <c r="AWD46" s="1"/>
      <c r="AWE46" s="1"/>
      <c r="AWF46" s="1"/>
      <c r="AWG46" s="1"/>
      <c r="AWH46" s="1"/>
      <c r="AWI46" s="1"/>
      <c r="AWJ46" s="1"/>
      <c r="AWK46" s="1"/>
      <c r="AWL46" s="1"/>
      <c r="AWM46" s="1"/>
      <c r="AWN46" s="1"/>
      <c r="AWO46" s="1"/>
      <c r="AWP46" s="1"/>
      <c r="AWQ46" s="1"/>
      <c r="AWR46" s="1"/>
      <c r="AWS46" s="1"/>
      <c r="AWT46" s="1"/>
      <c r="AWU46" s="1"/>
      <c r="AWV46" s="1"/>
      <c r="AWW46" s="1"/>
      <c r="AWX46" s="1"/>
      <c r="AWY46" s="1"/>
      <c r="AWZ46" s="1"/>
      <c r="AXA46" s="1"/>
      <c r="AXB46" s="1"/>
      <c r="AXC46" s="1"/>
      <c r="AXD46" s="1"/>
      <c r="AXE46" s="1"/>
      <c r="AXF46" s="1"/>
      <c r="AXG46" s="1"/>
      <c r="AXH46" s="1"/>
      <c r="AXI46" s="1"/>
      <c r="AXJ46" s="1"/>
      <c r="AXK46" s="1"/>
      <c r="AXL46" s="1"/>
      <c r="AXM46" s="1"/>
      <c r="AXN46" s="1"/>
      <c r="AXO46" s="1"/>
      <c r="AXP46" s="1"/>
      <c r="AXQ46" s="1"/>
      <c r="AXR46" s="1"/>
      <c r="AXS46" s="1"/>
      <c r="AXT46" s="1"/>
      <c r="AXU46" s="1"/>
      <c r="AXV46" s="1"/>
      <c r="AXW46" s="1"/>
      <c r="AXX46" s="1"/>
      <c r="AXY46" s="1"/>
      <c r="AXZ46" s="1"/>
      <c r="AYA46" s="1"/>
      <c r="AYB46" s="1"/>
      <c r="AYC46" s="1"/>
      <c r="AYD46" s="1"/>
      <c r="AYE46" s="1"/>
      <c r="AYF46" s="1"/>
      <c r="AYG46" s="1"/>
      <c r="AYH46" s="1"/>
      <c r="AYI46" s="1"/>
      <c r="AYJ46" s="1"/>
      <c r="AYK46" s="1"/>
      <c r="AYL46" s="1"/>
      <c r="AYM46" s="1"/>
      <c r="AYN46" s="1"/>
      <c r="AYO46" s="1"/>
      <c r="AYP46" s="1"/>
      <c r="AYQ46" s="1"/>
      <c r="AYR46" s="1"/>
      <c r="AYS46" s="1"/>
      <c r="AYT46" s="1"/>
      <c r="AYU46" s="1"/>
      <c r="AYV46" s="1"/>
      <c r="AYW46" s="1"/>
      <c r="AYX46" s="1"/>
      <c r="AYY46" s="1"/>
      <c r="AYZ46" s="1"/>
      <c r="AZA46" s="1"/>
      <c r="AZB46" s="1"/>
      <c r="AZC46" s="1"/>
      <c r="AZD46" s="1"/>
      <c r="AZE46" s="1"/>
      <c r="AZF46" s="1"/>
      <c r="AZG46" s="1"/>
      <c r="AZH46" s="1"/>
      <c r="AZI46" s="1"/>
      <c r="AZJ46" s="1"/>
      <c r="AZK46" s="1"/>
      <c r="AZL46" s="1"/>
      <c r="AZM46" s="1"/>
      <c r="AZN46" s="1"/>
      <c r="AZO46" s="1"/>
      <c r="AZP46" s="1"/>
      <c r="AZQ46" s="1"/>
      <c r="AZR46" s="1"/>
      <c r="AZS46" s="1"/>
      <c r="AZT46" s="1"/>
      <c r="AZU46" s="1"/>
      <c r="AZV46" s="1"/>
      <c r="AZW46" s="1"/>
      <c r="AZX46" s="1"/>
      <c r="AZY46" s="1"/>
      <c r="AZZ46" s="1"/>
      <c r="BAA46" s="1"/>
      <c r="BAB46" s="1"/>
      <c r="BAC46" s="1"/>
      <c r="BAD46" s="1"/>
      <c r="BAE46" s="1"/>
      <c r="BAF46" s="1"/>
      <c r="BAG46" s="1"/>
      <c r="BAH46" s="1"/>
      <c r="BAI46" s="1"/>
      <c r="BAJ46" s="1"/>
      <c r="BAK46" s="1"/>
      <c r="BAL46" s="1"/>
      <c r="BAM46" s="1"/>
      <c r="BAN46" s="1"/>
      <c r="BAO46" s="1"/>
      <c r="BAP46" s="1"/>
      <c r="BAQ46" s="1"/>
      <c r="BAR46" s="1"/>
      <c r="BAS46" s="1"/>
      <c r="BAT46" s="1"/>
      <c r="BAU46" s="1"/>
      <c r="BAV46" s="1"/>
      <c r="BAW46" s="1"/>
      <c r="BAX46" s="1"/>
      <c r="BAY46" s="1"/>
      <c r="BAZ46" s="1"/>
      <c r="BBA46" s="1"/>
      <c r="BBB46" s="1"/>
      <c r="BBC46" s="1"/>
      <c r="BBD46" s="1"/>
      <c r="BBE46" s="1"/>
      <c r="BBF46" s="1"/>
      <c r="BBG46" s="1"/>
      <c r="BBH46" s="1"/>
      <c r="BBI46" s="1"/>
      <c r="BBJ46" s="1"/>
      <c r="BBK46" s="1"/>
      <c r="BBL46" s="1"/>
      <c r="BBM46" s="1"/>
      <c r="BBN46" s="1"/>
      <c r="BBO46" s="1"/>
      <c r="BBP46" s="1"/>
      <c r="BBQ46" s="1"/>
      <c r="BBR46" s="1"/>
      <c r="BBS46" s="1"/>
      <c r="BBT46" s="1"/>
      <c r="BBU46" s="1"/>
      <c r="BBV46" s="1"/>
      <c r="BBW46" s="1"/>
      <c r="BBX46" s="1"/>
      <c r="BBY46" s="1"/>
      <c r="BBZ46" s="1"/>
      <c r="BCA46" s="1"/>
      <c r="BCB46" s="1"/>
      <c r="BCC46" s="1"/>
      <c r="BCD46" s="1"/>
      <c r="BCE46" s="1"/>
      <c r="BCF46" s="1"/>
      <c r="BCG46" s="1"/>
      <c r="BCH46" s="1"/>
      <c r="BCI46" s="1"/>
      <c r="BCJ46" s="1"/>
      <c r="BCK46" s="1"/>
      <c r="BCL46" s="1"/>
      <c r="BCM46" s="1"/>
      <c r="BCN46" s="1"/>
      <c r="BCO46" s="1"/>
      <c r="BCP46" s="1"/>
      <c r="BCQ46" s="1"/>
      <c r="BCR46" s="1"/>
      <c r="BCS46" s="1"/>
      <c r="BCT46" s="1"/>
      <c r="BCU46" s="1"/>
      <c r="BCV46" s="1"/>
      <c r="BCW46" s="1"/>
      <c r="BCX46" s="1"/>
      <c r="BCY46" s="1"/>
      <c r="BCZ46" s="1"/>
      <c r="BDA46" s="1"/>
      <c r="BDB46" s="1"/>
      <c r="BDC46" s="1"/>
      <c r="BDD46" s="1"/>
      <c r="BDE46" s="1"/>
      <c r="BDF46" s="1"/>
      <c r="BDG46" s="1"/>
      <c r="BDH46" s="1"/>
      <c r="BDI46" s="1"/>
      <c r="BDJ46" s="1"/>
      <c r="BDK46" s="1"/>
      <c r="BDL46" s="1"/>
      <c r="BDM46" s="1"/>
      <c r="BDN46" s="1"/>
      <c r="BDO46" s="1"/>
      <c r="BDP46" s="1"/>
      <c r="BDQ46" s="1"/>
      <c r="BDR46" s="1"/>
      <c r="BDS46" s="1"/>
      <c r="BDT46" s="1"/>
      <c r="BDU46" s="1"/>
      <c r="BDV46" s="1"/>
      <c r="BDW46" s="1"/>
      <c r="BDX46" s="1"/>
      <c r="BDY46" s="1"/>
      <c r="BDZ46" s="1"/>
      <c r="BEA46" s="1"/>
      <c r="BEB46" s="1"/>
      <c r="BEC46" s="1"/>
      <c r="BED46" s="1"/>
      <c r="BEE46" s="1"/>
      <c r="BEF46" s="1"/>
      <c r="BEG46" s="1"/>
      <c r="BEH46" s="1"/>
      <c r="BEI46" s="1"/>
      <c r="BEJ46" s="1"/>
      <c r="BEK46" s="1"/>
      <c r="BEL46" s="1"/>
      <c r="BEM46" s="1"/>
      <c r="BEN46" s="1"/>
      <c r="BEO46" s="1"/>
      <c r="BEP46" s="1"/>
      <c r="BEQ46" s="1"/>
      <c r="BER46" s="1"/>
      <c r="BES46" s="1"/>
      <c r="BET46" s="1"/>
      <c r="BEU46" s="1"/>
      <c r="BEV46" s="1"/>
      <c r="BEW46" s="1"/>
      <c r="BEX46" s="1"/>
      <c r="BEY46" s="1"/>
      <c r="BEZ46" s="1"/>
      <c r="BFA46" s="1"/>
      <c r="BFB46" s="1"/>
      <c r="BFC46" s="1"/>
      <c r="BFD46" s="1"/>
      <c r="BFE46" s="1"/>
      <c r="BFF46" s="1"/>
      <c r="BFG46" s="1"/>
      <c r="BFH46" s="1"/>
      <c r="BFI46" s="1"/>
      <c r="BFJ46" s="1"/>
      <c r="BFK46" s="1"/>
      <c r="BFL46" s="1"/>
      <c r="BFM46" s="1"/>
      <c r="BFN46" s="1"/>
      <c r="BFO46" s="1"/>
      <c r="BFP46" s="1"/>
      <c r="BFQ46" s="1"/>
      <c r="BFR46" s="1"/>
      <c r="BFS46" s="1"/>
      <c r="BFT46" s="1"/>
      <c r="BFU46" s="1"/>
      <c r="BFV46" s="1"/>
      <c r="BFW46" s="1"/>
      <c r="BFX46" s="1"/>
      <c r="BFY46" s="1"/>
      <c r="BFZ46" s="1"/>
      <c r="BGA46" s="1"/>
      <c r="BGB46" s="1"/>
      <c r="BGC46" s="1"/>
      <c r="BGD46" s="1"/>
      <c r="BGE46" s="1"/>
      <c r="BGF46" s="1"/>
      <c r="BGG46" s="1"/>
      <c r="BGH46" s="1"/>
      <c r="BGI46" s="1"/>
      <c r="BGJ46" s="1"/>
      <c r="BGK46" s="1"/>
      <c r="BGL46" s="1"/>
      <c r="BGM46" s="1"/>
      <c r="BGN46" s="1"/>
      <c r="BGO46" s="1"/>
      <c r="BGP46" s="1"/>
      <c r="BGQ46" s="1"/>
      <c r="BGR46" s="1"/>
      <c r="BGS46" s="1"/>
      <c r="BGT46" s="1"/>
      <c r="BGU46" s="1"/>
      <c r="BGV46" s="1"/>
      <c r="BGW46" s="1"/>
      <c r="BGX46" s="1"/>
      <c r="BGY46" s="1"/>
      <c r="BGZ46" s="1"/>
      <c r="BHA46" s="1"/>
      <c r="BHB46" s="1"/>
      <c r="BHC46" s="1"/>
      <c r="BHD46" s="1"/>
      <c r="BHE46" s="1"/>
      <c r="BHF46" s="1"/>
      <c r="BHG46" s="1"/>
      <c r="BHH46" s="1"/>
      <c r="BHI46" s="1"/>
      <c r="BHJ46" s="1"/>
      <c r="BHK46" s="1"/>
      <c r="BHL46" s="1"/>
      <c r="BHM46" s="1"/>
      <c r="BHN46" s="1"/>
      <c r="BHO46" s="1"/>
      <c r="BHP46" s="1"/>
      <c r="BHQ46" s="1"/>
      <c r="BHR46" s="1"/>
      <c r="BHS46" s="1"/>
      <c r="BHT46" s="1"/>
      <c r="BHU46" s="1"/>
      <c r="BHV46" s="1"/>
      <c r="BHW46" s="1"/>
      <c r="BHX46" s="1"/>
      <c r="BHY46" s="1"/>
      <c r="BHZ46" s="1"/>
      <c r="BIA46" s="1"/>
      <c r="BIB46" s="1"/>
      <c r="BIC46" s="1"/>
      <c r="BID46" s="1"/>
      <c r="BIE46" s="1"/>
      <c r="BIF46" s="1"/>
      <c r="BIG46" s="1"/>
      <c r="BIH46" s="1"/>
      <c r="BII46" s="1"/>
      <c r="BIJ46" s="1"/>
      <c r="BIK46" s="1"/>
      <c r="BIL46" s="1"/>
      <c r="BIM46" s="1"/>
      <c r="BIN46" s="1"/>
      <c r="BIO46" s="1"/>
      <c r="BIP46" s="1"/>
      <c r="BIQ46" s="1"/>
      <c r="BIR46" s="1"/>
      <c r="BIS46" s="1"/>
      <c r="BIT46" s="1"/>
      <c r="BIU46" s="1"/>
      <c r="BIV46" s="1"/>
      <c r="BIW46" s="1"/>
      <c r="BIX46" s="1"/>
      <c r="BIY46" s="1"/>
      <c r="BIZ46" s="1"/>
      <c r="BJA46" s="1"/>
      <c r="BJB46" s="1"/>
      <c r="BJC46" s="1"/>
      <c r="BJD46" s="1"/>
      <c r="BJE46" s="1"/>
      <c r="BJF46" s="1"/>
      <c r="BJG46" s="1"/>
      <c r="BJH46" s="1"/>
      <c r="BJI46" s="1"/>
      <c r="BJJ46" s="1"/>
      <c r="BJK46" s="1"/>
      <c r="BJL46" s="1"/>
      <c r="BJM46" s="1"/>
      <c r="BJN46" s="1"/>
      <c r="BJO46" s="1"/>
      <c r="BJP46" s="1"/>
      <c r="BJQ46" s="1"/>
      <c r="BJR46" s="1"/>
      <c r="BJS46" s="1"/>
      <c r="BJT46" s="1"/>
      <c r="BJU46" s="1"/>
      <c r="BJV46" s="1"/>
      <c r="BJW46" s="1"/>
      <c r="BJX46" s="1"/>
      <c r="BJY46" s="1"/>
      <c r="BJZ46" s="1"/>
      <c r="BKA46" s="1"/>
      <c r="BKB46" s="1"/>
      <c r="BKC46" s="1"/>
      <c r="BKD46" s="1"/>
      <c r="BKE46" s="1"/>
      <c r="BKF46" s="1"/>
      <c r="BKG46" s="1"/>
      <c r="BKH46" s="1"/>
      <c r="BKI46" s="1"/>
      <c r="BKJ46" s="1"/>
      <c r="BKK46" s="1"/>
      <c r="BKL46" s="1"/>
      <c r="BKM46" s="1"/>
      <c r="BKN46" s="1"/>
      <c r="BKO46" s="1"/>
      <c r="BKP46" s="1"/>
      <c r="BKQ46" s="1"/>
      <c r="BKR46" s="1"/>
      <c r="BKS46" s="1"/>
      <c r="BKT46" s="1"/>
      <c r="BKU46" s="1"/>
      <c r="BKV46" s="1"/>
      <c r="BKW46" s="1"/>
      <c r="BKX46" s="1"/>
      <c r="BKY46" s="1"/>
      <c r="BKZ46" s="1"/>
      <c r="BLA46" s="1"/>
      <c r="BLB46" s="1"/>
      <c r="BLC46" s="1"/>
      <c r="BLD46" s="1"/>
      <c r="BLE46" s="1"/>
      <c r="BLF46" s="1"/>
      <c r="BLG46" s="1"/>
      <c r="BLH46" s="1"/>
      <c r="BLI46" s="1"/>
      <c r="BLJ46" s="1"/>
      <c r="BLK46" s="1"/>
      <c r="BLL46" s="1"/>
      <c r="BLM46" s="1"/>
      <c r="BLN46" s="1"/>
      <c r="BLO46" s="1"/>
      <c r="BLP46" s="1"/>
      <c r="BLQ46" s="1"/>
      <c r="BLR46" s="1"/>
      <c r="BLS46" s="1"/>
      <c r="BLT46" s="1"/>
      <c r="BLU46" s="1"/>
      <c r="BLV46" s="1"/>
      <c r="BLW46" s="1"/>
      <c r="BLX46" s="1"/>
      <c r="BLY46" s="1"/>
      <c r="BLZ46" s="1"/>
      <c r="BMA46" s="1"/>
      <c r="BMB46" s="1"/>
      <c r="BMC46" s="1"/>
      <c r="BMD46" s="1"/>
      <c r="BME46" s="1"/>
      <c r="BMF46" s="1"/>
      <c r="BMG46" s="1"/>
      <c r="BMH46" s="1"/>
      <c r="BMI46" s="1"/>
      <c r="BMJ46" s="1"/>
      <c r="BMK46" s="1"/>
      <c r="BML46" s="1"/>
      <c r="BMM46" s="1"/>
      <c r="BMN46" s="1"/>
      <c r="BMO46" s="1"/>
      <c r="BMP46" s="1"/>
      <c r="BMQ46" s="1"/>
      <c r="BMR46" s="1"/>
      <c r="BMS46" s="1"/>
      <c r="BMT46" s="1"/>
      <c r="BMU46" s="1"/>
      <c r="BMV46" s="1"/>
      <c r="BMW46" s="1"/>
      <c r="BMX46" s="1"/>
      <c r="BMY46" s="1"/>
      <c r="BMZ46" s="1"/>
      <c r="BNA46" s="1"/>
      <c r="BNB46" s="1"/>
      <c r="BNC46" s="1"/>
      <c r="BND46" s="1"/>
      <c r="BNE46" s="1"/>
      <c r="BNF46" s="1"/>
      <c r="BNG46" s="1"/>
      <c r="BNH46" s="1"/>
      <c r="BNI46" s="1"/>
      <c r="BNJ46" s="1"/>
      <c r="BNK46" s="1"/>
      <c r="BNL46" s="1"/>
      <c r="BNM46" s="1"/>
      <c r="BNN46" s="1"/>
      <c r="BNO46" s="1"/>
      <c r="BNP46" s="1"/>
      <c r="BNQ46" s="1"/>
      <c r="BNR46" s="1"/>
      <c r="BNS46" s="1"/>
      <c r="BNT46" s="1"/>
      <c r="BNU46" s="1"/>
      <c r="BNV46" s="1"/>
      <c r="BNW46" s="1"/>
      <c r="BNX46" s="1"/>
      <c r="BNY46" s="1"/>
      <c r="BNZ46" s="1"/>
      <c r="BOA46" s="1"/>
      <c r="BOB46" s="1"/>
      <c r="BOC46" s="1"/>
      <c r="BOD46" s="1"/>
      <c r="BOE46" s="1"/>
      <c r="BOF46" s="1"/>
      <c r="BOG46" s="1"/>
      <c r="BOH46" s="1"/>
      <c r="BOI46" s="1"/>
      <c r="BOJ46" s="1"/>
      <c r="BOK46" s="1"/>
      <c r="BOL46" s="1"/>
      <c r="BOM46" s="1"/>
      <c r="BON46" s="1"/>
      <c r="BOO46" s="1"/>
      <c r="BOP46" s="1"/>
      <c r="BOQ46" s="1"/>
      <c r="BOR46" s="1"/>
      <c r="BOS46" s="1"/>
      <c r="BOT46" s="1"/>
      <c r="BOU46" s="1"/>
      <c r="BOV46" s="1"/>
      <c r="BOW46" s="1"/>
      <c r="BOX46" s="1"/>
      <c r="BOY46" s="1"/>
      <c r="BOZ46" s="1"/>
      <c r="BPA46" s="1"/>
      <c r="BPB46" s="1"/>
      <c r="BPC46" s="1"/>
      <c r="BPD46" s="1"/>
      <c r="BPE46" s="1"/>
      <c r="BPF46" s="1"/>
      <c r="BPG46" s="1"/>
      <c r="BPH46" s="1"/>
      <c r="BPI46" s="1"/>
      <c r="BPJ46" s="1"/>
      <c r="BPK46" s="1"/>
      <c r="BPL46" s="1"/>
      <c r="BPM46" s="1"/>
      <c r="BPN46" s="1"/>
      <c r="BPO46" s="1"/>
      <c r="BPP46" s="1"/>
      <c r="BPQ46" s="1"/>
      <c r="BPR46" s="1"/>
      <c r="BPS46" s="1"/>
      <c r="BPT46" s="1"/>
      <c r="BPU46" s="1"/>
      <c r="BPV46" s="1"/>
      <c r="BPW46" s="1"/>
      <c r="BPX46" s="1"/>
      <c r="BPY46" s="1"/>
      <c r="BPZ46" s="1"/>
      <c r="BQA46" s="1"/>
      <c r="BQB46" s="1"/>
      <c r="BQC46" s="1"/>
      <c r="BQD46" s="1"/>
      <c r="BQE46" s="1"/>
      <c r="BQF46" s="1"/>
      <c r="BQG46" s="1"/>
      <c r="BQH46" s="1"/>
      <c r="BQI46" s="1"/>
      <c r="BQJ46" s="1"/>
      <c r="BQK46" s="1"/>
      <c r="BQL46" s="1"/>
      <c r="BQM46" s="1"/>
      <c r="BQN46" s="1"/>
      <c r="BQO46" s="1"/>
      <c r="BQP46" s="1"/>
      <c r="BQQ46" s="1"/>
      <c r="BQR46" s="1"/>
      <c r="BQS46" s="1"/>
      <c r="BQT46" s="1"/>
      <c r="BQU46" s="1"/>
      <c r="BQV46" s="1"/>
      <c r="BQW46" s="1"/>
      <c r="BQX46" s="1"/>
      <c r="BQY46" s="1"/>
      <c r="BQZ46" s="1"/>
      <c r="BRA46" s="1"/>
      <c r="BRB46" s="1"/>
      <c r="BRC46" s="1"/>
      <c r="BRD46" s="1"/>
      <c r="BRE46" s="1"/>
      <c r="BRF46" s="1"/>
      <c r="BRG46" s="1"/>
      <c r="BRH46" s="1"/>
      <c r="BRI46" s="1"/>
      <c r="BRJ46" s="1"/>
      <c r="BRK46" s="1"/>
      <c r="BRL46" s="1"/>
      <c r="BRM46" s="1"/>
      <c r="BRN46" s="1"/>
      <c r="BRO46" s="1"/>
      <c r="BRP46" s="1"/>
      <c r="BRQ46" s="1"/>
      <c r="BRR46" s="1"/>
      <c r="BRS46" s="1"/>
      <c r="BRT46" s="1"/>
      <c r="BRU46" s="1"/>
      <c r="BRV46" s="1"/>
      <c r="BRW46" s="1"/>
      <c r="BRX46" s="1"/>
      <c r="BRY46" s="1"/>
      <c r="BRZ46" s="1"/>
      <c r="BSA46" s="1"/>
      <c r="BSB46" s="1"/>
      <c r="BSC46" s="1"/>
      <c r="BSD46" s="1"/>
      <c r="BSE46" s="1"/>
      <c r="BSF46" s="1"/>
      <c r="BSG46" s="1"/>
      <c r="BSH46" s="1"/>
      <c r="BSI46" s="1"/>
      <c r="BSJ46" s="1"/>
      <c r="BSK46" s="1"/>
      <c r="BSL46" s="1"/>
      <c r="BSM46" s="1"/>
      <c r="BSN46" s="1"/>
      <c r="BSO46" s="1"/>
      <c r="BSP46" s="1"/>
      <c r="BSQ46" s="1"/>
      <c r="BSR46" s="1"/>
      <c r="BSS46" s="1"/>
      <c r="BST46" s="1"/>
      <c r="BSU46" s="1"/>
      <c r="BSV46" s="1"/>
      <c r="BSW46" s="1"/>
      <c r="BSX46" s="1"/>
      <c r="BSY46" s="1"/>
      <c r="BSZ46" s="1"/>
      <c r="BTA46" s="1"/>
      <c r="BTB46" s="1"/>
      <c r="BTC46" s="1"/>
      <c r="BTD46" s="1"/>
      <c r="BTE46" s="1"/>
      <c r="BTF46" s="1"/>
      <c r="BTG46" s="1"/>
      <c r="BTH46" s="1"/>
      <c r="BTI46" s="1"/>
      <c r="BTJ46" s="1"/>
      <c r="BTK46" s="1"/>
      <c r="BTL46" s="1"/>
      <c r="BTM46" s="1"/>
      <c r="BTN46" s="1"/>
      <c r="BTO46" s="1"/>
      <c r="BTP46" s="1"/>
      <c r="BTQ46" s="1"/>
      <c r="BTR46" s="1"/>
      <c r="BTS46" s="1"/>
      <c r="BTT46" s="1"/>
      <c r="BTU46" s="1"/>
      <c r="BTV46" s="1"/>
      <c r="BTW46" s="1"/>
      <c r="BTX46" s="1"/>
      <c r="BTY46" s="1"/>
      <c r="BTZ46" s="1"/>
      <c r="BUA46" s="1"/>
      <c r="BUB46" s="1"/>
      <c r="BUC46" s="1"/>
      <c r="BUD46" s="1"/>
      <c r="BUE46" s="1"/>
      <c r="BUF46" s="1"/>
      <c r="BUG46" s="1"/>
      <c r="BUH46" s="1"/>
      <c r="BUI46" s="1"/>
      <c r="BUJ46" s="1"/>
      <c r="BUK46" s="1"/>
      <c r="BUL46" s="1"/>
      <c r="BUM46" s="1"/>
      <c r="BUN46" s="1"/>
      <c r="BUO46" s="1"/>
      <c r="BUP46" s="1"/>
      <c r="BUQ46" s="1"/>
      <c r="BUR46" s="1"/>
      <c r="BUS46" s="1"/>
      <c r="BUT46" s="1"/>
      <c r="BUU46" s="1"/>
      <c r="BUV46" s="1"/>
      <c r="BUW46" s="1"/>
      <c r="BUX46" s="1"/>
      <c r="BUY46" s="1"/>
      <c r="BUZ46" s="1"/>
      <c r="BVA46" s="1"/>
      <c r="BVB46" s="1"/>
      <c r="BVC46" s="1"/>
      <c r="BVD46" s="1"/>
      <c r="BVE46" s="1"/>
      <c r="BVF46" s="1"/>
      <c r="BVG46" s="1"/>
      <c r="BVH46" s="1"/>
      <c r="BVI46" s="1"/>
      <c r="BVJ46" s="1"/>
      <c r="BVK46" s="1"/>
      <c r="BVL46" s="1"/>
      <c r="BVM46" s="1"/>
      <c r="BVN46" s="1"/>
      <c r="BVO46" s="1"/>
      <c r="BVP46" s="1"/>
      <c r="BVQ46" s="1"/>
      <c r="BVR46" s="1"/>
      <c r="BVS46" s="1"/>
      <c r="BVT46" s="1"/>
      <c r="BVU46" s="1"/>
      <c r="BVV46" s="1"/>
      <c r="BVW46" s="1"/>
      <c r="BVX46" s="1"/>
      <c r="BVY46" s="1"/>
      <c r="BVZ46" s="1"/>
      <c r="BWA46" s="1"/>
      <c r="BWB46" s="1"/>
      <c r="BWC46" s="1"/>
      <c r="BWD46" s="1"/>
      <c r="BWE46" s="1"/>
      <c r="BWF46" s="1"/>
      <c r="BWG46" s="1"/>
      <c r="BWH46" s="1"/>
      <c r="BWI46" s="1"/>
      <c r="BWJ46" s="1"/>
      <c r="BWK46" s="1"/>
      <c r="BWL46" s="1"/>
      <c r="BWM46" s="1"/>
      <c r="BWN46" s="1"/>
      <c r="BWO46" s="1"/>
      <c r="BWP46" s="1"/>
      <c r="BWQ46" s="1"/>
      <c r="BWR46" s="1"/>
      <c r="BWS46" s="1"/>
      <c r="BWT46" s="1"/>
      <c r="BWU46" s="1"/>
      <c r="BWV46" s="1"/>
      <c r="BWW46" s="1"/>
      <c r="BWX46" s="1"/>
      <c r="BWY46" s="1"/>
      <c r="BWZ46" s="1"/>
      <c r="BXA46" s="1"/>
      <c r="BXB46" s="1"/>
      <c r="BXC46" s="1"/>
      <c r="BXD46" s="1"/>
      <c r="BXE46" s="1"/>
      <c r="BXF46" s="1"/>
      <c r="BXG46" s="1"/>
      <c r="BXH46" s="1"/>
      <c r="BXI46" s="1"/>
      <c r="BXJ46" s="1"/>
      <c r="BXK46" s="1"/>
      <c r="BXL46" s="1"/>
      <c r="BXM46" s="1"/>
      <c r="BXN46" s="1"/>
      <c r="BXO46" s="1"/>
      <c r="BXP46" s="1"/>
      <c r="BXQ46" s="1"/>
      <c r="BXR46" s="1"/>
      <c r="BXS46" s="1"/>
      <c r="BXT46" s="1"/>
      <c r="BXU46" s="1"/>
      <c r="BXV46" s="1"/>
      <c r="BXW46" s="1"/>
      <c r="BXX46" s="1"/>
      <c r="BXY46" s="1"/>
      <c r="BXZ46" s="1"/>
      <c r="BYA46" s="1"/>
      <c r="BYB46" s="1"/>
      <c r="BYC46" s="1"/>
      <c r="BYD46" s="1"/>
      <c r="BYE46" s="1"/>
      <c r="BYF46" s="1"/>
      <c r="BYG46" s="1"/>
      <c r="BYH46" s="1"/>
      <c r="BYI46" s="1"/>
      <c r="BYJ46" s="1"/>
      <c r="BYK46" s="1"/>
      <c r="BYL46" s="1"/>
      <c r="BYM46" s="1"/>
      <c r="BYN46" s="1"/>
      <c r="BYO46" s="1"/>
      <c r="BYP46" s="1"/>
      <c r="BYQ46" s="1"/>
      <c r="BYR46" s="1"/>
      <c r="BYS46" s="1"/>
      <c r="BYT46" s="1"/>
      <c r="BYU46" s="1"/>
      <c r="BYV46" s="1"/>
      <c r="BYW46" s="1"/>
      <c r="BYX46" s="1"/>
      <c r="BYY46" s="1"/>
      <c r="BYZ46" s="1"/>
      <c r="BZA46" s="1"/>
      <c r="BZB46" s="1"/>
      <c r="BZC46" s="1"/>
      <c r="BZD46" s="1"/>
      <c r="BZE46" s="1"/>
      <c r="BZF46" s="1"/>
      <c r="BZG46" s="1"/>
      <c r="BZH46" s="1"/>
      <c r="BZI46" s="1"/>
      <c r="BZJ46" s="1"/>
      <c r="BZK46" s="1"/>
      <c r="BZL46" s="1"/>
      <c r="BZM46" s="1"/>
      <c r="BZN46" s="1"/>
      <c r="BZO46" s="1"/>
      <c r="BZP46" s="1"/>
      <c r="BZQ46" s="1"/>
      <c r="BZR46" s="1"/>
      <c r="BZS46" s="1"/>
      <c r="BZT46" s="1"/>
      <c r="BZU46" s="1"/>
      <c r="BZV46" s="1"/>
      <c r="BZW46" s="1"/>
      <c r="BZX46" s="1"/>
      <c r="BZY46" s="1"/>
      <c r="BZZ46" s="1"/>
      <c r="CAA46" s="1"/>
      <c r="CAB46" s="1"/>
      <c r="CAC46" s="1"/>
      <c r="CAD46" s="1"/>
      <c r="CAE46" s="1"/>
      <c r="CAF46" s="1"/>
      <c r="CAG46" s="1"/>
      <c r="CAH46" s="1"/>
      <c r="CAI46" s="1"/>
      <c r="CAJ46" s="1"/>
      <c r="CAK46" s="1"/>
      <c r="CAL46" s="1"/>
      <c r="CAM46" s="1"/>
      <c r="CAN46" s="1"/>
      <c r="CAO46" s="1"/>
      <c r="CAP46" s="1"/>
      <c r="CAQ46" s="1"/>
      <c r="CAR46" s="1"/>
      <c r="CAS46" s="1"/>
      <c r="CAT46" s="1"/>
      <c r="CAU46" s="1"/>
      <c r="CAV46" s="1"/>
      <c r="CAW46" s="1"/>
      <c r="CAX46" s="1"/>
      <c r="CAY46" s="1"/>
      <c r="CAZ46" s="1"/>
      <c r="CBA46" s="1"/>
      <c r="CBB46" s="1"/>
      <c r="CBC46" s="1"/>
      <c r="CBD46" s="1"/>
      <c r="CBE46" s="1"/>
      <c r="CBF46" s="1"/>
      <c r="CBG46" s="1"/>
      <c r="CBH46" s="1"/>
      <c r="CBI46" s="1"/>
      <c r="CBJ46" s="1"/>
      <c r="CBK46" s="1"/>
      <c r="CBL46" s="1"/>
      <c r="CBM46" s="1"/>
      <c r="CBN46" s="1"/>
      <c r="CBO46" s="1"/>
      <c r="CBP46" s="1"/>
      <c r="CBQ46" s="1"/>
      <c r="CBR46" s="1"/>
      <c r="CBS46" s="1"/>
      <c r="CBT46" s="1"/>
      <c r="CBU46" s="1"/>
      <c r="CBV46" s="1"/>
      <c r="CBW46" s="1"/>
      <c r="CBX46" s="1"/>
      <c r="CBY46" s="1"/>
      <c r="CBZ46" s="1"/>
      <c r="CCA46" s="1"/>
      <c r="CCB46" s="1"/>
      <c r="CCC46" s="1"/>
      <c r="CCD46" s="1"/>
      <c r="CCE46" s="1"/>
      <c r="CCF46" s="1"/>
      <c r="CCG46" s="1"/>
      <c r="CCH46" s="1"/>
      <c r="CCI46" s="1"/>
      <c r="CCJ46" s="1"/>
      <c r="CCK46" s="1"/>
      <c r="CCL46" s="1"/>
      <c r="CCM46" s="1"/>
      <c r="CCN46" s="1"/>
      <c r="CCO46" s="1"/>
      <c r="CCP46" s="1"/>
      <c r="CCQ46" s="1"/>
      <c r="CCR46" s="1"/>
      <c r="CCS46" s="1"/>
      <c r="CCT46" s="1"/>
      <c r="CCU46" s="1"/>
      <c r="CCV46" s="1"/>
      <c r="CCW46" s="1"/>
      <c r="CCX46" s="1"/>
      <c r="CCY46" s="1"/>
      <c r="CCZ46" s="1"/>
      <c r="CDA46" s="1"/>
      <c r="CDB46" s="1"/>
      <c r="CDC46" s="1"/>
      <c r="CDD46" s="1"/>
      <c r="CDE46" s="1"/>
      <c r="CDF46" s="1"/>
      <c r="CDG46" s="1"/>
      <c r="CDH46" s="1"/>
      <c r="CDI46" s="1"/>
      <c r="CDJ46" s="1"/>
      <c r="CDK46" s="1"/>
      <c r="CDL46" s="1"/>
      <c r="CDM46" s="1"/>
      <c r="CDN46" s="1"/>
      <c r="CDO46" s="1"/>
      <c r="CDP46" s="1"/>
      <c r="CDQ46" s="1"/>
      <c r="CDR46" s="1"/>
      <c r="CDS46" s="1"/>
      <c r="CDT46" s="1"/>
      <c r="CDU46" s="1"/>
      <c r="CDV46" s="1"/>
      <c r="CDW46" s="1"/>
      <c r="CDX46" s="1"/>
      <c r="CDY46" s="1"/>
      <c r="CDZ46" s="1"/>
      <c r="CEA46" s="1"/>
      <c r="CEB46" s="1"/>
      <c r="CEC46" s="1"/>
      <c r="CED46" s="1"/>
      <c r="CEE46" s="1"/>
      <c r="CEF46" s="1"/>
      <c r="CEG46" s="1"/>
      <c r="CEH46" s="1"/>
      <c r="CEI46" s="1"/>
      <c r="CEJ46" s="1"/>
      <c r="CEK46" s="1"/>
      <c r="CEL46" s="1"/>
      <c r="CEM46" s="1"/>
      <c r="CEN46" s="1"/>
      <c r="CEO46" s="1"/>
      <c r="CEP46" s="1"/>
      <c r="CEQ46" s="1"/>
      <c r="CER46" s="1"/>
      <c r="CES46" s="1"/>
      <c r="CET46" s="1"/>
      <c r="CEU46" s="1"/>
      <c r="CEV46" s="1"/>
      <c r="CEW46" s="1"/>
      <c r="CEX46" s="1"/>
      <c r="CEY46" s="1"/>
      <c r="CEZ46" s="1"/>
      <c r="CFA46" s="1"/>
      <c r="CFB46" s="1"/>
      <c r="CFC46" s="1"/>
      <c r="CFD46" s="1"/>
      <c r="CFE46" s="1"/>
      <c r="CFF46" s="1"/>
      <c r="CFG46" s="1"/>
      <c r="CFH46" s="1"/>
      <c r="CFI46" s="1"/>
      <c r="CFJ46" s="1"/>
      <c r="CFK46" s="1"/>
      <c r="CFL46" s="1"/>
      <c r="CFM46" s="1"/>
      <c r="CFN46" s="1"/>
      <c r="CFO46" s="1"/>
      <c r="CFP46" s="1"/>
      <c r="CFQ46" s="1"/>
      <c r="CFR46" s="1"/>
      <c r="CFS46" s="1"/>
      <c r="CFT46" s="1"/>
      <c r="CFU46" s="1"/>
      <c r="CFV46" s="1"/>
      <c r="CFW46" s="1"/>
      <c r="CFX46" s="1"/>
      <c r="CFY46" s="1"/>
      <c r="CFZ46" s="1"/>
      <c r="CGA46" s="1"/>
      <c r="CGB46" s="1"/>
      <c r="CGC46" s="1"/>
      <c r="CGD46" s="1"/>
      <c r="CGE46" s="1"/>
      <c r="CGF46" s="1"/>
      <c r="CGG46" s="1"/>
      <c r="CGH46" s="1"/>
      <c r="CGI46" s="1"/>
      <c r="CGJ46" s="1"/>
      <c r="CGK46" s="1"/>
      <c r="CGL46" s="1"/>
      <c r="CGM46" s="1"/>
      <c r="CGN46" s="1"/>
      <c r="CGO46" s="1"/>
      <c r="CGP46" s="1"/>
      <c r="CGQ46" s="1"/>
      <c r="CGR46" s="1"/>
      <c r="CGS46" s="1"/>
      <c r="CGT46" s="1"/>
      <c r="CGU46" s="1"/>
      <c r="CGV46" s="1"/>
      <c r="CGW46" s="1"/>
      <c r="CGX46" s="1"/>
      <c r="CGY46" s="1"/>
      <c r="CGZ46" s="1"/>
      <c r="CHA46" s="1"/>
      <c r="CHB46" s="1"/>
      <c r="CHC46" s="1"/>
      <c r="CHD46" s="1"/>
      <c r="CHE46" s="1"/>
      <c r="CHF46" s="1"/>
      <c r="CHG46" s="1"/>
      <c r="CHH46" s="1"/>
      <c r="CHI46" s="1"/>
      <c r="CHJ46" s="1"/>
      <c r="CHK46" s="1"/>
      <c r="CHL46" s="1"/>
      <c r="CHM46" s="1"/>
      <c r="CHN46" s="1"/>
      <c r="CHO46" s="1"/>
      <c r="CHP46" s="1"/>
      <c r="CHQ46" s="1"/>
      <c r="CHR46" s="1"/>
      <c r="CHS46" s="1"/>
      <c r="CHT46" s="1"/>
      <c r="CHU46" s="1"/>
      <c r="CHV46" s="1"/>
      <c r="CHW46" s="1"/>
      <c r="CHX46" s="1"/>
      <c r="CHY46" s="1"/>
      <c r="CHZ46" s="1"/>
      <c r="CIA46" s="1"/>
      <c r="CIB46" s="1"/>
      <c r="CIC46" s="1"/>
      <c r="CID46" s="1"/>
      <c r="CIE46" s="1"/>
      <c r="CIF46" s="1"/>
      <c r="CIG46" s="1"/>
      <c r="CIH46" s="1"/>
      <c r="CII46" s="1"/>
      <c r="CIJ46" s="1"/>
      <c r="CIK46" s="1"/>
      <c r="CIL46" s="1"/>
      <c r="CIM46" s="1"/>
      <c r="CIN46" s="1"/>
      <c r="CIO46" s="1"/>
      <c r="CIP46" s="1"/>
      <c r="CIQ46" s="1"/>
      <c r="CIR46" s="1"/>
      <c r="CIS46" s="1"/>
      <c r="CIT46" s="1"/>
      <c r="CIU46" s="1"/>
      <c r="CIV46" s="1"/>
      <c r="CIW46" s="1"/>
      <c r="CIX46" s="1"/>
      <c r="CIY46" s="1"/>
      <c r="CIZ46" s="1"/>
      <c r="CJA46" s="1"/>
      <c r="CJB46" s="1"/>
      <c r="CJC46" s="1"/>
      <c r="CJD46" s="1"/>
      <c r="CJE46" s="1"/>
      <c r="CJF46" s="1"/>
      <c r="CJG46" s="1"/>
      <c r="CJH46" s="1"/>
      <c r="CJI46" s="1"/>
      <c r="CJJ46" s="1"/>
      <c r="CJK46" s="1"/>
      <c r="CJL46" s="1"/>
      <c r="CJM46" s="1"/>
      <c r="CJN46" s="1"/>
      <c r="CJO46" s="1"/>
      <c r="CJP46" s="1"/>
      <c r="CJQ46" s="1"/>
      <c r="CJR46" s="1"/>
      <c r="CJS46" s="1"/>
      <c r="CJT46" s="1"/>
      <c r="CJU46" s="1"/>
      <c r="CJV46" s="1"/>
      <c r="CJW46" s="1"/>
      <c r="CJX46" s="1"/>
      <c r="CJY46" s="1"/>
      <c r="CJZ46" s="1"/>
      <c r="CKA46" s="1"/>
      <c r="CKB46" s="1"/>
      <c r="CKC46" s="1"/>
      <c r="CKD46" s="1"/>
      <c r="CKE46" s="1"/>
      <c r="CKF46" s="1"/>
      <c r="CKG46" s="1"/>
      <c r="CKH46" s="1"/>
      <c r="CKI46" s="1"/>
      <c r="CKJ46" s="1"/>
      <c r="CKK46" s="1"/>
      <c r="CKL46" s="1"/>
      <c r="CKM46" s="1"/>
      <c r="CKN46" s="1"/>
      <c r="CKO46" s="1"/>
      <c r="CKP46" s="1"/>
      <c r="CKQ46" s="1"/>
      <c r="CKR46" s="1"/>
      <c r="CKS46" s="1"/>
      <c r="CKT46" s="1"/>
      <c r="CKU46" s="1"/>
      <c r="CKV46" s="1"/>
      <c r="CKW46" s="1"/>
      <c r="CKX46" s="1"/>
      <c r="CKY46" s="1"/>
      <c r="CKZ46" s="1"/>
      <c r="CLA46" s="1"/>
      <c r="CLB46" s="1"/>
      <c r="CLC46" s="1"/>
      <c r="CLD46" s="1"/>
      <c r="CLE46" s="1"/>
      <c r="CLF46" s="1"/>
      <c r="CLG46" s="1"/>
      <c r="CLH46" s="1"/>
      <c r="CLI46" s="1"/>
      <c r="CLJ46" s="1"/>
      <c r="CLK46" s="1"/>
      <c r="CLL46" s="1"/>
      <c r="CLM46" s="1"/>
      <c r="CLN46" s="1"/>
      <c r="CLO46" s="1"/>
      <c r="CLP46" s="1"/>
      <c r="CLQ46" s="1"/>
      <c r="CLR46" s="1"/>
      <c r="CLS46" s="1"/>
      <c r="CLT46" s="1"/>
      <c r="CLU46" s="1"/>
      <c r="CLV46" s="1"/>
      <c r="CLW46" s="1"/>
      <c r="CLX46" s="1"/>
      <c r="CLY46" s="1"/>
      <c r="CLZ46" s="1"/>
      <c r="CMA46" s="1"/>
      <c r="CMB46" s="1"/>
      <c r="CMC46" s="1"/>
      <c r="CMD46" s="1"/>
      <c r="CME46" s="1"/>
      <c r="CMF46" s="1"/>
      <c r="CMG46" s="1"/>
      <c r="CMH46" s="1"/>
      <c r="CMI46" s="1"/>
      <c r="CMJ46" s="1"/>
      <c r="CMK46" s="1"/>
      <c r="CML46" s="1"/>
      <c r="CMM46" s="1"/>
      <c r="CMN46" s="1"/>
      <c r="CMO46" s="1"/>
      <c r="CMP46" s="1"/>
      <c r="CMQ46" s="1"/>
      <c r="CMR46" s="1"/>
      <c r="CMS46" s="1"/>
      <c r="CMT46" s="1"/>
      <c r="CMU46" s="1"/>
      <c r="CMV46" s="1"/>
      <c r="CMW46" s="1"/>
      <c r="CMX46" s="1"/>
      <c r="CMY46" s="1"/>
      <c r="CMZ46" s="1"/>
      <c r="CNA46" s="1"/>
      <c r="CNB46" s="1"/>
      <c r="CNC46" s="1"/>
      <c r="CND46" s="1"/>
      <c r="CNE46" s="1"/>
      <c r="CNF46" s="1"/>
      <c r="CNG46" s="1"/>
      <c r="CNH46" s="1"/>
      <c r="CNI46" s="1"/>
      <c r="CNJ46" s="1"/>
      <c r="CNK46" s="1"/>
      <c r="CNL46" s="1"/>
      <c r="CNM46" s="1"/>
      <c r="CNN46" s="1"/>
      <c r="CNO46" s="1"/>
      <c r="CNP46" s="1"/>
      <c r="CNQ46" s="1"/>
      <c r="CNR46" s="1"/>
      <c r="CNS46" s="1"/>
      <c r="CNT46" s="1"/>
      <c r="CNU46" s="1"/>
      <c r="CNV46" s="1"/>
      <c r="CNW46" s="1"/>
      <c r="CNX46" s="1"/>
      <c r="CNY46" s="1"/>
      <c r="CNZ46" s="1"/>
      <c r="COA46" s="1"/>
      <c r="COB46" s="1"/>
      <c r="COC46" s="1"/>
      <c r="COD46" s="1"/>
      <c r="COE46" s="1"/>
      <c r="COF46" s="1"/>
      <c r="COG46" s="1"/>
      <c r="COH46" s="1"/>
      <c r="COI46" s="1"/>
      <c r="COJ46" s="1"/>
      <c r="COK46" s="1"/>
      <c r="COL46" s="1"/>
      <c r="COM46" s="1"/>
      <c r="CON46" s="1"/>
      <c r="COO46" s="1"/>
      <c r="COP46" s="1"/>
      <c r="COQ46" s="1"/>
      <c r="COR46" s="1"/>
      <c r="COS46" s="1"/>
      <c r="COT46" s="1"/>
      <c r="COU46" s="1"/>
      <c r="COV46" s="1"/>
      <c r="COW46" s="1"/>
      <c r="COX46" s="1"/>
      <c r="COY46" s="1"/>
      <c r="COZ46" s="1"/>
      <c r="CPA46" s="1"/>
      <c r="CPB46" s="1"/>
      <c r="CPC46" s="1"/>
      <c r="CPD46" s="1"/>
      <c r="CPE46" s="1"/>
      <c r="CPF46" s="1"/>
      <c r="CPG46" s="1"/>
      <c r="CPH46" s="1"/>
      <c r="CPI46" s="1"/>
      <c r="CPJ46" s="1"/>
      <c r="CPK46" s="1"/>
      <c r="CPL46" s="1"/>
      <c r="CPM46" s="1"/>
      <c r="CPN46" s="1"/>
      <c r="CPO46" s="1"/>
      <c r="CPP46" s="1"/>
      <c r="CPQ46" s="1"/>
      <c r="CPR46" s="1"/>
      <c r="CPS46" s="1"/>
      <c r="CPT46" s="1"/>
      <c r="CPU46" s="1"/>
      <c r="CPV46" s="1"/>
      <c r="CPW46" s="1"/>
      <c r="CPX46" s="1"/>
      <c r="CPY46" s="1"/>
      <c r="CPZ46" s="1"/>
      <c r="CQA46" s="1"/>
      <c r="CQB46" s="1"/>
      <c r="CQC46" s="1"/>
      <c r="CQD46" s="1"/>
      <c r="CQE46" s="1"/>
      <c r="CQF46" s="1"/>
      <c r="CQG46" s="1"/>
      <c r="CQH46" s="1"/>
      <c r="CQI46" s="1"/>
      <c r="CQJ46" s="1"/>
      <c r="CQK46" s="1"/>
      <c r="CQL46" s="1"/>
      <c r="CQM46" s="1"/>
      <c r="CQN46" s="1"/>
      <c r="CQO46" s="1"/>
      <c r="CQP46" s="1"/>
      <c r="CQQ46" s="1"/>
      <c r="CQR46" s="1"/>
      <c r="CQS46" s="1"/>
      <c r="CQT46" s="1"/>
      <c r="CQU46" s="1"/>
      <c r="CQV46" s="1"/>
      <c r="CQW46" s="1"/>
      <c r="CQX46" s="1"/>
      <c r="CQY46" s="1"/>
      <c r="CQZ46" s="1"/>
      <c r="CRA46" s="1"/>
      <c r="CRB46" s="1"/>
      <c r="CRC46" s="1"/>
      <c r="CRD46" s="1"/>
      <c r="CRE46" s="1"/>
      <c r="CRF46" s="1"/>
      <c r="CRG46" s="1"/>
      <c r="CRH46" s="1"/>
      <c r="CRI46" s="1"/>
      <c r="CRJ46" s="1"/>
      <c r="CRK46" s="1"/>
      <c r="CRL46" s="1"/>
      <c r="CRM46" s="1"/>
      <c r="CRN46" s="1"/>
      <c r="CRO46" s="1"/>
      <c r="CRP46" s="1"/>
      <c r="CRQ46" s="1"/>
      <c r="CRR46" s="1"/>
      <c r="CRS46" s="1"/>
      <c r="CRT46" s="1"/>
      <c r="CRU46" s="1"/>
      <c r="CRV46" s="1"/>
      <c r="CRW46" s="1"/>
      <c r="CRX46" s="1"/>
      <c r="CRY46" s="1"/>
      <c r="CRZ46" s="1"/>
      <c r="CSA46" s="1"/>
      <c r="CSB46" s="1"/>
      <c r="CSC46" s="1"/>
      <c r="CSD46" s="1"/>
      <c r="CSE46" s="1"/>
      <c r="CSF46" s="1"/>
      <c r="CSG46" s="1"/>
      <c r="CSH46" s="1"/>
      <c r="CSI46" s="1"/>
      <c r="CSJ46" s="1"/>
      <c r="CSK46" s="1"/>
      <c r="CSL46" s="1"/>
      <c r="CSM46" s="1"/>
      <c r="CSN46" s="1"/>
      <c r="CSO46" s="1"/>
      <c r="CSP46" s="1"/>
      <c r="CSQ46" s="1"/>
      <c r="CSR46" s="1"/>
      <c r="CSS46" s="1"/>
      <c r="CST46" s="1"/>
      <c r="CSU46" s="1"/>
      <c r="CSV46" s="1"/>
      <c r="CSW46" s="1"/>
      <c r="CSX46" s="1"/>
      <c r="CSY46" s="1"/>
      <c r="CSZ46" s="1"/>
      <c r="CTA46" s="1"/>
      <c r="CTB46" s="1"/>
      <c r="CTC46" s="1"/>
      <c r="CTD46" s="1"/>
      <c r="CTE46" s="1"/>
      <c r="CTF46" s="1"/>
      <c r="CTG46" s="1"/>
      <c r="CTH46" s="1"/>
      <c r="CTI46" s="1"/>
      <c r="CTJ46" s="1"/>
      <c r="CTK46" s="1"/>
      <c r="CTL46" s="1"/>
      <c r="CTM46" s="1"/>
      <c r="CTN46" s="1"/>
      <c r="CTO46" s="1"/>
      <c r="CTP46" s="1"/>
      <c r="CTQ46" s="1"/>
      <c r="CTR46" s="1"/>
      <c r="CTS46" s="1"/>
      <c r="CTT46" s="1"/>
      <c r="CTU46" s="1"/>
      <c r="CTV46" s="1"/>
      <c r="CTW46" s="1"/>
      <c r="CTX46" s="1"/>
      <c r="CTY46" s="1"/>
      <c r="CTZ46" s="1"/>
      <c r="CUA46" s="1"/>
      <c r="CUB46" s="1"/>
      <c r="CUC46" s="1"/>
      <c r="CUD46" s="1"/>
      <c r="CUE46" s="1"/>
      <c r="CUF46" s="1"/>
      <c r="CUG46" s="1"/>
      <c r="CUH46" s="1"/>
      <c r="CUI46" s="1"/>
      <c r="CUJ46" s="1"/>
      <c r="CUK46" s="1"/>
      <c r="CUL46" s="1"/>
      <c r="CUM46" s="1"/>
      <c r="CUN46" s="1"/>
      <c r="CUO46" s="1"/>
      <c r="CUP46" s="1"/>
      <c r="CUQ46" s="1"/>
      <c r="CUR46" s="1"/>
      <c r="CUS46" s="1"/>
      <c r="CUT46" s="1"/>
      <c r="CUU46" s="1"/>
      <c r="CUV46" s="1"/>
      <c r="CUW46" s="1"/>
      <c r="CUX46" s="1"/>
      <c r="CUY46" s="1"/>
      <c r="CUZ46" s="1"/>
      <c r="CVA46" s="1"/>
      <c r="CVB46" s="1"/>
      <c r="CVC46" s="1"/>
      <c r="CVD46" s="1"/>
      <c r="CVE46" s="1"/>
      <c r="CVF46" s="1"/>
      <c r="CVG46" s="1"/>
      <c r="CVH46" s="1"/>
      <c r="CVI46" s="1"/>
      <c r="CVJ46" s="1"/>
      <c r="CVK46" s="1"/>
      <c r="CVL46" s="1"/>
      <c r="CVM46" s="1"/>
      <c r="CVN46" s="1"/>
      <c r="CVO46" s="1"/>
      <c r="CVP46" s="1"/>
      <c r="CVQ46" s="1"/>
      <c r="CVR46" s="1"/>
      <c r="CVS46" s="1"/>
      <c r="CVT46" s="1"/>
      <c r="CVU46" s="1"/>
      <c r="CVV46" s="1"/>
      <c r="CVW46" s="1"/>
      <c r="CVX46" s="1"/>
      <c r="CVY46" s="1"/>
      <c r="CVZ46" s="1"/>
      <c r="CWA46" s="1"/>
      <c r="CWB46" s="1"/>
      <c r="CWC46" s="1"/>
      <c r="CWD46" s="1"/>
      <c r="CWE46" s="1"/>
      <c r="CWF46" s="1"/>
      <c r="CWG46" s="1"/>
      <c r="CWH46" s="1"/>
      <c r="CWI46" s="1"/>
      <c r="CWJ46" s="1"/>
      <c r="CWK46" s="1"/>
      <c r="CWL46" s="1"/>
      <c r="CWM46" s="1"/>
      <c r="CWN46" s="1"/>
      <c r="CWO46" s="1"/>
      <c r="CWP46" s="1"/>
      <c r="CWQ46" s="1"/>
      <c r="CWR46" s="1"/>
      <c r="CWS46" s="1"/>
      <c r="CWT46" s="1"/>
      <c r="CWU46" s="1"/>
      <c r="CWV46" s="1"/>
      <c r="CWW46" s="1"/>
      <c r="CWX46" s="1"/>
      <c r="CWY46" s="1"/>
      <c r="CWZ46" s="1"/>
      <c r="CXA46" s="1"/>
      <c r="CXB46" s="1"/>
      <c r="CXC46" s="1"/>
      <c r="CXD46" s="1"/>
      <c r="CXE46" s="1"/>
      <c r="CXF46" s="1"/>
      <c r="CXG46" s="1"/>
      <c r="CXH46" s="1"/>
      <c r="CXI46" s="1"/>
      <c r="CXJ46" s="1"/>
      <c r="CXK46" s="1"/>
      <c r="CXL46" s="1"/>
      <c r="CXM46" s="1"/>
      <c r="CXN46" s="1"/>
      <c r="CXO46" s="1"/>
      <c r="CXP46" s="1"/>
      <c r="CXQ46" s="1"/>
      <c r="CXR46" s="1"/>
      <c r="CXS46" s="1"/>
      <c r="CXT46" s="1"/>
      <c r="CXU46" s="1"/>
      <c r="CXV46" s="1"/>
      <c r="CXW46" s="1"/>
      <c r="CXX46" s="1"/>
      <c r="CXY46" s="1"/>
      <c r="CXZ46" s="1"/>
      <c r="CYA46" s="1"/>
      <c r="CYB46" s="1"/>
      <c r="CYC46" s="1"/>
      <c r="CYD46" s="1"/>
      <c r="CYE46" s="1"/>
      <c r="CYF46" s="1"/>
      <c r="CYG46" s="1"/>
      <c r="CYH46" s="1"/>
      <c r="CYI46" s="1"/>
      <c r="CYJ46" s="1"/>
      <c r="CYK46" s="1"/>
      <c r="CYL46" s="1"/>
      <c r="CYM46" s="1"/>
      <c r="CYN46" s="1"/>
      <c r="CYO46" s="1"/>
      <c r="CYP46" s="1"/>
      <c r="CYQ46" s="1"/>
      <c r="CYR46" s="1"/>
      <c r="CYS46" s="1"/>
      <c r="CYT46" s="1"/>
      <c r="CYU46" s="1"/>
      <c r="CYV46" s="1"/>
      <c r="CYW46" s="1"/>
      <c r="CYX46" s="1"/>
      <c r="CYY46" s="1"/>
      <c r="CYZ46" s="1"/>
      <c r="CZA46" s="1"/>
      <c r="CZB46" s="1"/>
      <c r="CZC46" s="1"/>
      <c r="CZD46" s="1"/>
      <c r="CZE46" s="1"/>
      <c r="CZF46" s="1"/>
      <c r="CZG46" s="1"/>
      <c r="CZH46" s="1"/>
      <c r="CZI46" s="1"/>
      <c r="CZJ46" s="1"/>
      <c r="CZK46" s="1"/>
      <c r="CZL46" s="1"/>
      <c r="CZM46" s="1"/>
      <c r="CZN46" s="1"/>
      <c r="CZO46" s="1"/>
      <c r="CZP46" s="1"/>
      <c r="CZQ46" s="1"/>
      <c r="CZR46" s="1"/>
      <c r="CZS46" s="1"/>
      <c r="CZT46" s="1"/>
      <c r="CZU46" s="1"/>
      <c r="CZV46" s="1"/>
      <c r="CZW46" s="1"/>
      <c r="CZX46" s="1"/>
      <c r="CZY46" s="1"/>
      <c r="CZZ46" s="1"/>
      <c r="DAA46" s="1"/>
      <c r="DAB46" s="1"/>
      <c r="DAC46" s="1"/>
      <c r="DAD46" s="1"/>
      <c r="DAE46" s="1"/>
      <c r="DAF46" s="1"/>
      <c r="DAG46" s="1"/>
      <c r="DAH46" s="1"/>
      <c r="DAI46" s="1"/>
      <c r="DAJ46" s="1"/>
      <c r="DAK46" s="1"/>
      <c r="DAL46" s="1"/>
      <c r="DAM46" s="1"/>
      <c r="DAN46" s="1"/>
      <c r="DAO46" s="1"/>
      <c r="DAP46" s="1"/>
      <c r="DAQ46" s="1"/>
      <c r="DAR46" s="1"/>
      <c r="DAS46" s="1"/>
      <c r="DAT46" s="1"/>
      <c r="DAU46" s="1"/>
      <c r="DAV46" s="1"/>
      <c r="DAW46" s="1"/>
      <c r="DAX46" s="1"/>
      <c r="DAY46" s="1"/>
      <c r="DAZ46" s="1"/>
      <c r="DBA46" s="1"/>
      <c r="DBB46" s="1"/>
      <c r="DBC46" s="1"/>
      <c r="DBD46" s="1"/>
      <c r="DBE46" s="1"/>
      <c r="DBF46" s="1"/>
      <c r="DBG46" s="1"/>
      <c r="DBH46" s="1"/>
      <c r="DBI46" s="1"/>
      <c r="DBJ46" s="1"/>
      <c r="DBK46" s="1"/>
      <c r="DBL46" s="1"/>
      <c r="DBM46" s="1"/>
      <c r="DBN46" s="1"/>
      <c r="DBO46" s="1"/>
      <c r="DBP46" s="1"/>
      <c r="DBQ46" s="1"/>
      <c r="DBR46" s="1"/>
      <c r="DBS46" s="1"/>
      <c r="DBT46" s="1"/>
      <c r="DBU46" s="1"/>
      <c r="DBV46" s="1"/>
      <c r="DBW46" s="1"/>
      <c r="DBX46" s="1"/>
      <c r="DBY46" s="1"/>
      <c r="DBZ46" s="1"/>
      <c r="DCA46" s="1"/>
      <c r="DCB46" s="1"/>
      <c r="DCC46" s="1"/>
      <c r="DCD46" s="1"/>
      <c r="DCE46" s="1"/>
      <c r="DCF46" s="1"/>
      <c r="DCG46" s="1"/>
      <c r="DCH46" s="1"/>
      <c r="DCI46" s="1"/>
      <c r="DCJ46" s="1"/>
      <c r="DCK46" s="1"/>
      <c r="DCL46" s="1"/>
      <c r="DCM46" s="1"/>
      <c r="DCN46" s="1"/>
      <c r="DCO46" s="1"/>
      <c r="DCP46" s="1"/>
      <c r="DCQ46" s="1"/>
      <c r="DCR46" s="1"/>
      <c r="DCS46" s="1"/>
      <c r="DCT46" s="1"/>
      <c r="DCU46" s="1"/>
      <c r="DCV46" s="1"/>
      <c r="DCW46" s="1"/>
      <c r="DCX46" s="1"/>
      <c r="DCY46" s="1"/>
      <c r="DCZ46" s="1"/>
      <c r="DDA46" s="1"/>
      <c r="DDB46" s="1"/>
      <c r="DDC46" s="1"/>
      <c r="DDD46" s="1"/>
      <c r="DDE46" s="1"/>
      <c r="DDF46" s="1"/>
      <c r="DDG46" s="1"/>
      <c r="DDH46" s="1"/>
      <c r="DDI46" s="1"/>
      <c r="DDJ46" s="1"/>
      <c r="DDK46" s="1"/>
      <c r="DDL46" s="1"/>
      <c r="DDM46" s="1"/>
      <c r="DDN46" s="1"/>
      <c r="DDO46" s="1"/>
      <c r="DDP46" s="1"/>
      <c r="DDQ46" s="1"/>
      <c r="DDR46" s="1"/>
      <c r="DDS46" s="1"/>
      <c r="DDT46" s="1"/>
      <c r="DDU46" s="1"/>
      <c r="DDV46" s="1"/>
      <c r="DDW46" s="1"/>
      <c r="DDX46" s="1"/>
      <c r="DDY46" s="1"/>
      <c r="DDZ46" s="1"/>
      <c r="DEA46" s="1"/>
      <c r="DEB46" s="1"/>
      <c r="DEC46" s="1"/>
      <c r="DED46" s="1"/>
      <c r="DEE46" s="1"/>
      <c r="DEF46" s="1"/>
      <c r="DEG46" s="1"/>
      <c r="DEH46" s="1"/>
      <c r="DEI46" s="1"/>
      <c r="DEJ46" s="1"/>
      <c r="DEK46" s="1"/>
      <c r="DEL46" s="1"/>
      <c r="DEM46" s="1"/>
      <c r="DEN46" s="1"/>
      <c r="DEO46" s="1"/>
      <c r="DEP46" s="1"/>
      <c r="DEQ46" s="1"/>
      <c r="DER46" s="1"/>
      <c r="DES46" s="1"/>
      <c r="DET46" s="1"/>
      <c r="DEU46" s="1"/>
      <c r="DEV46" s="1"/>
      <c r="DEW46" s="1"/>
      <c r="DEX46" s="1"/>
      <c r="DEY46" s="1"/>
      <c r="DEZ46" s="1"/>
      <c r="DFA46" s="1"/>
      <c r="DFB46" s="1"/>
      <c r="DFC46" s="1"/>
      <c r="DFD46" s="1"/>
      <c r="DFE46" s="1"/>
      <c r="DFF46" s="1"/>
      <c r="DFG46" s="1"/>
      <c r="DFH46" s="1"/>
      <c r="DFI46" s="1"/>
      <c r="DFJ46" s="1"/>
      <c r="DFK46" s="1"/>
      <c r="DFL46" s="1"/>
      <c r="DFM46" s="1"/>
      <c r="DFN46" s="1"/>
      <c r="DFO46" s="1"/>
      <c r="DFP46" s="1"/>
      <c r="DFQ46" s="1"/>
      <c r="DFR46" s="1"/>
      <c r="DFS46" s="1"/>
      <c r="DFT46" s="1"/>
      <c r="DFU46" s="1"/>
      <c r="DFV46" s="1"/>
      <c r="DFW46" s="1"/>
      <c r="DFX46" s="1"/>
      <c r="DFY46" s="1"/>
      <c r="DFZ46" s="1"/>
      <c r="DGA46" s="1"/>
      <c r="DGB46" s="1"/>
      <c r="DGC46" s="1"/>
      <c r="DGD46" s="1"/>
      <c r="DGE46" s="1"/>
      <c r="DGF46" s="1"/>
      <c r="DGG46" s="1"/>
      <c r="DGH46" s="1"/>
      <c r="DGI46" s="1"/>
      <c r="DGJ46" s="1"/>
      <c r="DGK46" s="1"/>
      <c r="DGL46" s="1"/>
      <c r="DGM46" s="1"/>
      <c r="DGN46" s="1"/>
      <c r="DGO46" s="1"/>
      <c r="DGP46" s="1"/>
      <c r="DGQ46" s="1"/>
      <c r="DGR46" s="1"/>
      <c r="DGS46" s="1"/>
      <c r="DGT46" s="1"/>
      <c r="DGU46" s="1"/>
      <c r="DGV46" s="1"/>
      <c r="DGW46" s="1"/>
      <c r="DGX46" s="1"/>
      <c r="DGY46" s="1"/>
      <c r="DGZ46" s="1"/>
      <c r="DHA46" s="1"/>
      <c r="DHB46" s="1"/>
      <c r="DHC46" s="1"/>
      <c r="DHD46" s="1"/>
      <c r="DHE46" s="1"/>
      <c r="DHF46" s="1"/>
      <c r="DHG46" s="1"/>
      <c r="DHH46" s="1"/>
      <c r="DHI46" s="1"/>
      <c r="DHJ46" s="1"/>
      <c r="DHK46" s="1"/>
      <c r="DHL46" s="1"/>
      <c r="DHM46" s="1"/>
      <c r="DHN46" s="1"/>
      <c r="DHO46" s="1"/>
      <c r="DHP46" s="1"/>
      <c r="DHQ46" s="1"/>
      <c r="DHR46" s="1"/>
      <c r="DHS46" s="1"/>
      <c r="DHT46" s="1"/>
      <c r="DHU46" s="1"/>
      <c r="DHV46" s="1"/>
      <c r="DHW46" s="1"/>
      <c r="DHX46" s="1"/>
      <c r="DHY46" s="1"/>
      <c r="DHZ46" s="1"/>
      <c r="DIA46" s="1"/>
      <c r="DIB46" s="1"/>
      <c r="DIC46" s="1"/>
      <c r="DID46" s="1"/>
      <c r="DIE46" s="1"/>
      <c r="DIF46" s="1"/>
      <c r="DIG46" s="1"/>
      <c r="DIH46" s="1"/>
      <c r="DII46" s="1"/>
      <c r="DIJ46" s="1"/>
      <c r="DIK46" s="1"/>
      <c r="DIL46" s="1"/>
      <c r="DIM46" s="1"/>
      <c r="DIN46" s="1"/>
      <c r="DIO46" s="1"/>
      <c r="DIP46" s="1"/>
      <c r="DIQ46" s="1"/>
      <c r="DIR46" s="1"/>
      <c r="DIS46" s="1"/>
      <c r="DIT46" s="1"/>
      <c r="DIU46" s="1"/>
      <c r="DIV46" s="1"/>
      <c r="DIW46" s="1"/>
      <c r="DIX46" s="1"/>
      <c r="DIY46" s="1"/>
      <c r="DIZ46" s="1"/>
      <c r="DJA46" s="1"/>
      <c r="DJB46" s="1"/>
      <c r="DJC46" s="1"/>
      <c r="DJD46" s="1"/>
      <c r="DJE46" s="1"/>
      <c r="DJF46" s="1"/>
      <c r="DJG46" s="1"/>
      <c r="DJH46" s="1"/>
      <c r="DJI46" s="1"/>
      <c r="DJJ46" s="1"/>
      <c r="DJK46" s="1"/>
      <c r="DJL46" s="1"/>
      <c r="DJM46" s="1"/>
      <c r="DJN46" s="1"/>
      <c r="DJO46" s="1"/>
      <c r="DJP46" s="1"/>
      <c r="DJQ46" s="1"/>
      <c r="DJR46" s="1"/>
      <c r="DJS46" s="1"/>
      <c r="DJT46" s="1"/>
      <c r="DJU46" s="1"/>
      <c r="DJV46" s="1"/>
      <c r="DJW46" s="1"/>
      <c r="DJX46" s="1"/>
      <c r="DJY46" s="1"/>
      <c r="DJZ46" s="1"/>
      <c r="DKA46" s="1"/>
      <c r="DKB46" s="1"/>
      <c r="DKC46" s="1"/>
      <c r="DKD46" s="1"/>
      <c r="DKE46" s="1"/>
      <c r="DKF46" s="1"/>
      <c r="DKG46" s="1"/>
      <c r="DKH46" s="1"/>
      <c r="DKI46" s="1"/>
      <c r="DKJ46" s="1"/>
      <c r="DKK46" s="1"/>
      <c r="DKL46" s="1"/>
      <c r="DKM46" s="1"/>
      <c r="DKN46" s="1"/>
      <c r="DKO46" s="1"/>
      <c r="DKP46" s="1"/>
      <c r="DKQ46" s="1"/>
      <c r="DKR46" s="1"/>
      <c r="DKS46" s="1"/>
      <c r="DKT46" s="1"/>
      <c r="DKU46" s="1"/>
      <c r="DKV46" s="1"/>
      <c r="DKW46" s="1"/>
      <c r="DKX46" s="1"/>
      <c r="DKY46" s="1"/>
      <c r="DKZ46" s="1"/>
      <c r="DLA46" s="1"/>
      <c r="DLB46" s="1"/>
      <c r="DLC46" s="1"/>
      <c r="DLD46" s="1"/>
      <c r="DLE46" s="1"/>
      <c r="DLF46" s="1"/>
      <c r="DLG46" s="1"/>
      <c r="DLH46" s="1"/>
      <c r="DLI46" s="1"/>
      <c r="DLJ46" s="1"/>
      <c r="DLK46" s="1"/>
      <c r="DLL46" s="1"/>
      <c r="DLM46" s="1"/>
      <c r="DLN46" s="1"/>
      <c r="DLO46" s="1"/>
      <c r="DLP46" s="1"/>
      <c r="DLQ46" s="1"/>
      <c r="DLR46" s="1"/>
      <c r="DLS46" s="1"/>
      <c r="DLT46" s="1"/>
      <c r="DLU46" s="1"/>
      <c r="DLV46" s="1"/>
      <c r="DLW46" s="1"/>
      <c r="DLX46" s="1"/>
      <c r="DLY46" s="1"/>
      <c r="DLZ46" s="1"/>
      <c r="DMA46" s="1"/>
      <c r="DMB46" s="1"/>
      <c r="DMC46" s="1"/>
      <c r="DMD46" s="1"/>
      <c r="DME46" s="1"/>
      <c r="DMF46" s="1"/>
      <c r="DMG46" s="1"/>
      <c r="DMH46" s="1"/>
      <c r="DMI46" s="1"/>
      <c r="DMJ46" s="1"/>
      <c r="DMK46" s="1"/>
      <c r="DML46" s="1"/>
      <c r="DMM46" s="1"/>
      <c r="DMN46" s="1"/>
      <c r="DMO46" s="1"/>
      <c r="DMP46" s="1"/>
      <c r="DMQ46" s="1"/>
      <c r="DMR46" s="1"/>
      <c r="DMS46" s="1"/>
      <c r="DMT46" s="1"/>
      <c r="DMU46" s="1"/>
      <c r="DMV46" s="1"/>
      <c r="DMW46" s="1"/>
      <c r="DMX46" s="1"/>
      <c r="DMY46" s="1"/>
      <c r="DMZ46" s="1"/>
      <c r="DNA46" s="1"/>
      <c r="DNB46" s="1"/>
      <c r="DNC46" s="1"/>
      <c r="DND46" s="1"/>
      <c r="DNE46" s="1"/>
      <c r="DNF46" s="1"/>
      <c r="DNG46" s="1"/>
      <c r="DNH46" s="1"/>
      <c r="DNI46" s="1"/>
      <c r="DNJ46" s="1"/>
      <c r="DNK46" s="1"/>
      <c r="DNL46" s="1"/>
      <c r="DNM46" s="1"/>
      <c r="DNN46" s="1"/>
      <c r="DNO46" s="1"/>
      <c r="DNP46" s="1"/>
      <c r="DNQ46" s="1"/>
      <c r="DNR46" s="1"/>
      <c r="DNS46" s="1"/>
      <c r="DNT46" s="1"/>
      <c r="DNU46" s="1"/>
      <c r="DNV46" s="1"/>
      <c r="DNW46" s="1"/>
      <c r="DNX46" s="1"/>
      <c r="DNY46" s="1"/>
      <c r="DNZ46" s="1"/>
      <c r="DOA46" s="1"/>
      <c r="DOB46" s="1"/>
      <c r="DOC46" s="1"/>
      <c r="DOD46" s="1"/>
      <c r="DOE46" s="1"/>
      <c r="DOF46" s="1"/>
      <c r="DOG46" s="1"/>
      <c r="DOH46" s="1"/>
      <c r="DOI46" s="1"/>
      <c r="DOJ46" s="1"/>
      <c r="DOK46" s="1"/>
      <c r="DOL46" s="1"/>
      <c r="DOM46" s="1"/>
      <c r="DON46" s="1"/>
      <c r="DOO46" s="1"/>
      <c r="DOP46" s="1"/>
      <c r="DOQ46" s="1"/>
      <c r="DOR46" s="1"/>
      <c r="DOS46" s="1"/>
      <c r="DOT46" s="1"/>
      <c r="DOU46" s="1"/>
      <c r="DOV46" s="1"/>
      <c r="DOW46" s="1"/>
      <c r="DOX46" s="1"/>
      <c r="DOY46" s="1"/>
      <c r="DOZ46" s="1"/>
      <c r="DPA46" s="1"/>
      <c r="DPB46" s="1"/>
      <c r="DPC46" s="1"/>
      <c r="DPD46" s="1"/>
      <c r="DPE46" s="1"/>
      <c r="DPF46" s="1"/>
      <c r="DPG46" s="1"/>
      <c r="DPH46" s="1"/>
      <c r="DPI46" s="1"/>
      <c r="DPJ46" s="1"/>
      <c r="DPK46" s="1"/>
      <c r="DPL46" s="1"/>
      <c r="DPM46" s="1"/>
      <c r="DPN46" s="1"/>
      <c r="DPO46" s="1"/>
      <c r="DPP46" s="1"/>
      <c r="DPQ46" s="1"/>
      <c r="DPR46" s="1"/>
      <c r="DPS46" s="1"/>
      <c r="DPT46" s="1"/>
      <c r="DPU46" s="1"/>
      <c r="DPV46" s="1"/>
      <c r="DPW46" s="1"/>
      <c r="DPX46" s="1"/>
      <c r="DPY46" s="1"/>
      <c r="DPZ46" s="1"/>
      <c r="DQA46" s="1"/>
      <c r="DQB46" s="1"/>
      <c r="DQC46" s="1"/>
      <c r="DQD46" s="1"/>
      <c r="DQE46" s="1"/>
      <c r="DQF46" s="1"/>
      <c r="DQG46" s="1"/>
      <c r="DQH46" s="1"/>
      <c r="DQI46" s="1"/>
      <c r="DQJ46" s="1"/>
      <c r="DQK46" s="1"/>
      <c r="DQL46" s="1"/>
      <c r="DQM46" s="1"/>
      <c r="DQN46" s="1"/>
      <c r="DQO46" s="1"/>
      <c r="DQP46" s="1"/>
      <c r="DQQ46" s="1"/>
      <c r="DQR46" s="1"/>
      <c r="DQS46" s="1"/>
      <c r="DQT46" s="1"/>
      <c r="DQU46" s="1"/>
      <c r="DQV46" s="1"/>
      <c r="DQW46" s="1"/>
      <c r="DQX46" s="1"/>
      <c r="DQY46" s="1"/>
      <c r="DQZ46" s="1"/>
      <c r="DRA46" s="1"/>
      <c r="DRB46" s="1"/>
      <c r="DRC46" s="1"/>
      <c r="DRD46" s="1"/>
      <c r="DRE46" s="1"/>
      <c r="DRF46" s="1"/>
      <c r="DRG46" s="1"/>
      <c r="DRH46" s="1"/>
      <c r="DRI46" s="1"/>
      <c r="DRJ46" s="1"/>
      <c r="DRK46" s="1"/>
      <c r="DRL46" s="1"/>
      <c r="DRM46" s="1"/>
      <c r="DRN46" s="1"/>
      <c r="DRO46" s="1"/>
      <c r="DRP46" s="1"/>
      <c r="DRQ46" s="1"/>
      <c r="DRR46" s="1"/>
      <c r="DRS46" s="1"/>
      <c r="DRT46" s="1"/>
      <c r="DRU46" s="1"/>
      <c r="DRV46" s="1"/>
      <c r="DRW46" s="1"/>
      <c r="DRX46" s="1"/>
      <c r="DRY46" s="1"/>
      <c r="DRZ46" s="1"/>
      <c r="DSA46" s="1"/>
      <c r="DSB46" s="1"/>
      <c r="DSC46" s="1"/>
      <c r="DSD46" s="1"/>
      <c r="DSE46" s="1"/>
      <c r="DSF46" s="1"/>
      <c r="DSG46" s="1"/>
      <c r="DSH46" s="1"/>
      <c r="DSI46" s="1"/>
      <c r="DSJ46" s="1"/>
      <c r="DSK46" s="1"/>
      <c r="DSL46" s="1"/>
      <c r="DSM46" s="1"/>
      <c r="DSN46" s="1"/>
      <c r="DSO46" s="1"/>
      <c r="DSP46" s="1"/>
      <c r="DSQ46" s="1"/>
      <c r="DSR46" s="1"/>
      <c r="DSS46" s="1"/>
      <c r="DST46" s="1"/>
      <c r="DSU46" s="1"/>
      <c r="DSV46" s="1"/>
      <c r="DSW46" s="1"/>
      <c r="DSX46" s="1"/>
      <c r="DSY46" s="1"/>
      <c r="DSZ46" s="1"/>
      <c r="DTA46" s="1"/>
      <c r="DTB46" s="1"/>
      <c r="DTC46" s="1"/>
      <c r="DTD46" s="1"/>
      <c r="DTE46" s="1"/>
      <c r="DTF46" s="1"/>
      <c r="DTG46" s="1"/>
      <c r="DTH46" s="1"/>
      <c r="DTI46" s="1"/>
      <c r="DTJ46" s="1"/>
      <c r="DTK46" s="1"/>
      <c r="DTL46" s="1"/>
      <c r="DTM46" s="1"/>
      <c r="DTN46" s="1"/>
      <c r="DTO46" s="1"/>
      <c r="DTP46" s="1"/>
      <c r="DTQ46" s="1"/>
      <c r="DTR46" s="1"/>
      <c r="DTS46" s="1"/>
      <c r="DTT46" s="1"/>
      <c r="DTU46" s="1"/>
      <c r="DTV46" s="1"/>
      <c r="DTW46" s="1"/>
      <c r="DTX46" s="1"/>
      <c r="DTY46" s="1"/>
      <c r="DTZ46" s="1"/>
      <c r="DUA46" s="1"/>
      <c r="DUB46" s="1"/>
      <c r="DUC46" s="1"/>
      <c r="DUD46" s="1"/>
      <c r="DUE46" s="1"/>
      <c r="DUF46" s="1"/>
      <c r="DUG46" s="1"/>
      <c r="DUH46" s="1"/>
      <c r="DUI46" s="1"/>
      <c r="DUJ46" s="1"/>
      <c r="DUK46" s="1"/>
      <c r="DUL46" s="1"/>
      <c r="DUM46" s="1"/>
      <c r="DUN46" s="1"/>
      <c r="DUO46" s="1"/>
      <c r="DUP46" s="1"/>
      <c r="DUQ46" s="1"/>
      <c r="DUR46" s="1"/>
      <c r="DUS46" s="1"/>
      <c r="DUT46" s="1"/>
      <c r="DUU46" s="1"/>
      <c r="DUV46" s="1"/>
      <c r="DUW46" s="1"/>
      <c r="DUX46" s="1"/>
      <c r="DUY46" s="1"/>
      <c r="DUZ46" s="1"/>
      <c r="DVA46" s="1"/>
      <c r="DVB46" s="1"/>
      <c r="DVC46" s="1"/>
      <c r="DVD46" s="1"/>
      <c r="DVE46" s="1"/>
      <c r="DVF46" s="1"/>
      <c r="DVG46" s="1"/>
      <c r="DVH46" s="1"/>
      <c r="DVI46" s="1"/>
      <c r="DVJ46" s="1"/>
      <c r="DVK46" s="1"/>
      <c r="DVL46" s="1"/>
      <c r="DVM46" s="1"/>
      <c r="DVN46" s="1"/>
      <c r="DVO46" s="1"/>
      <c r="DVP46" s="1"/>
      <c r="DVQ46" s="1"/>
      <c r="DVR46" s="1"/>
      <c r="DVS46" s="1"/>
      <c r="DVT46" s="1"/>
      <c r="DVU46" s="1"/>
      <c r="DVV46" s="1"/>
      <c r="DVW46" s="1"/>
      <c r="DVX46" s="1"/>
      <c r="DVY46" s="1"/>
      <c r="DVZ46" s="1"/>
      <c r="DWA46" s="1"/>
      <c r="DWB46" s="1"/>
      <c r="DWC46" s="1"/>
      <c r="DWD46" s="1"/>
      <c r="DWE46" s="1"/>
      <c r="DWF46" s="1"/>
      <c r="DWG46" s="1"/>
      <c r="DWH46" s="1"/>
      <c r="DWI46" s="1"/>
      <c r="DWJ46" s="1"/>
      <c r="DWK46" s="1"/>
      <c r="DWL46" s="1"/>
      <c r="DWM46" s="1"/>
      <c r="DWN46" s="1"/>
      <c r="DWO46" s="1"/>
      <c r="DWP46" s="1"/>
      <c r="DWQ46" s="1"/>
      <c r="DWR46" s="1"/>
      <c r="DWS46" s="1"/>
      <c r="DWT46" s="1"/>
      <c r="DWU46" s="1"/>
      <c r="DWV46" s="1"/>
      <c r="DWW46" s="1"/>
      <c r="DWX46" s="1"/>
      <c r="DWY46" s="1"/>
      <c r="DWZ46" s="1"/>
      <c r="DXA46" s="1"/>
      <c r="DXB46" s="1"/>
      <c r="DXC46" s="1"/>
      <c r="DXD46" s="1"/>
      <c r="DXE46" s="1"/>
      <c r="DXF46" s="1"/>
      <c r="DXG46" s="1"/>
      <c r="DXH46" s="1"/>
      <c r="DXI46" s="1"/>
      <c r="DXJ46" s="1"/>
      <c r="DXK46" s="1"/>
      <c r="DXL46" s="1"/>
      <c r="DXM46" s="1"/>
      <c r="DXN46" s="1"/>
      <c r="DXO46" s="1"/>
      <c r="DXP46" s="1"/>
      <c r="DXQ46" s="1"/>
      <c r="DXR46" s="1"/>
      <c r="DXS46" s="1"/>
      <c r="DXT46" s="1"/>
      <c r="DXU46" s="1"/>
      <c r="DXV46" s="1"/>
      <c r="DXW46" s="1"/>
      <c r="DXX46" s="1"/>
      <c r="DXY46" s="1"/>
      <c r="DXZ46" s="1"/>
      <c r="DYA46" s="1"/>
      <c r="DYB46" s="1"/>
      <c r="DYC46" s="1"/>
      <c r="DYD46" s="1"/>
      <c r="DYE46" s="1"/>
      <c r="DYF46" s="1"/>
      <c r="DYG46" s="1"/>
      <c r="DYH46" s="1"/>
      <c r="DYI46" s="1"/>
      <c r="DYJ46" s="1"/>
      <c r="DYK46" s="1"/>
      <c r="DYL46" s="1"/>
      <c r="DYM46" s="1"/>
      <c r="DYN46" s="1"/>
      <c r="DYO46" s="1"/>
      <c r="DYP46" s="1"/>
      <c r="DYQ46" s="1"/>
      <c r="DYR46" s="1"/>
      <c r="DYS46" s="1"/>
      <c r="DYT46" s="1"/>
      <c r="DYU46" s="1"/>
      <c r="DYV46" s="1"/>
      <c r="DYW46" s="1"/>
      <c r="DYX46" s="1"/>
      <c r="DYY46" s="1"/>
      <c r="DYZ46" s="1"/>
      <c r="DZA46" s="1"/>
      <c r="DZB46" s="1"/>
      <c r="DZC46" s="1"/>
      <c r="DZD46" s="1"/>
      <c r="DZE46" s="1"/>
      <c r="DZF46" s="1"/>
      <c r="DZG46" s="1"/>
      <c r="DZH46" s="1"/>
      <c r="DZI46" s="1"/>
      <c r="DZJ46" s="1"/>
      <c r="DZK46" s="1"/>
      <c r="DZL46" s="1"/>
      <c r="DZM46" s="1"/>
      <c r="DZN46" s="1"/>
      <c r="DZO46" s="1"/>
      <c r="DZP46" s="1"/>
      <c r="DZQ46" s="1"/>
      <c r="DZR46" s="1"/>
      <c r="DZS46" s="1"/>
      <c r="DZT46" s="1"/>
      <c r="DZU46" s="1"/>
      <c r="DZV46" s="1"/>
      <c r="DZW46" s="1"/>
      <c r="DZX46" s="1"/>
      <c r="DZY46" s="1"/>
      <c r="DZZ46" s="1"/>
      <c r="EAA46" s="1"/>
      <c r="EAB46" s="1"/>
      <c r="EAC46" s="1"/>
      <c r="EAD46" s="1"/>
      <c r="EAE46" s="1"/>
      <c r="EAF46" s="1"/>
      <c r="EAG46" s="1"/>
      <c r="EAH46" s="1"/>
      <c r="EAI46" s="1"/>
      <c r="EAJ46" s="1"/>
      <c r="EAK46" s="1"/>
      <c r="EAL46" s="1"/>
      <c r="EAM46" s="1"/>
      <c r="EAN46" s="1"/>
      <c r="EAO46" s="1"/>
      <c r="EAP46" s="1"/>
      <c r="EAQ46" s="1"/>
      <c r="EAR46" s="1"/>
      <c r="EAS46" s="1"/>
      <c r="EAT46" s="1"/>
      <c r="EAU46" s="1"/>
      <c r="EAV46" s="1"/>
      <c r="EAW46" s="1"/>
      <c r="EAX46" s="1"/>
      <c r="EAY46" s="1"/>
      <c r="EAZ46" s="1"/>
      <c r="EBA46" s="1"/>
      <c r="EBB46" s="1"/>
      <c r="EBC46" s="1"/>
      <c r="EBD46" s="1"/>
      <c r="EBE46" s="1"/>
      <c r="EBF46" s="1"/>
      <c r="EBG46" s="1"/>
      <c r="EBH46" s="1"/>
      <c r="EBI46" s="1"/>
      <c r="EBJ46" s="1"/>
      <c r="EBK46" s="1"/>
      <c r="EBL46" s="1"/>
      <c r="EBM46" s="1"/>
      <c r="EBN46" s="1"/>
      <c r="EBO46" s="1"/>
      <c r="EBP46" s="1"/>
      <c r="EBQ46" s="1"/>
      <c r="EBR46" s="1"/>
      <c r="EBS46" s="1"/>
      <c r="EBT46" s="1"/>
      <c r="EBU46" s="1"/>
      <c r="EBV46" s="1"/>
      <c r="EBW46" s="1"/>
      <c r="EBX46" s="1"/>
      <c r="EBY46" s="1"/>
      <c r="EBZ46" s="1"/>
      <c r="ECA46" s="1"/>
      <c r="ECB46" s="1"/>
      <c r="ECC46" s="1"/>
      <c r="ECD46" s="1"/>
      <c r="ECE46" s="1"/>
      <c r="ECF46" s="1"/>
      <c r="ECG46" s="1"/>
      <c r="ECH46" s="1"/>
      <c r="ECI46" s="1"/>
      <c r="ECJ46" s="1"/>
      <c r="ECK46" s="1"/>
      <c r="ECL46" s="1"/>
      <c r="ECM46" s="1"/>
      <c r="ECN46" s="1"/>
      <c r="ECO46" s="1"/>
      <c r="ECP46" s="1"/>
      <c r="ECQ46" s="1"/>
      <c r="ECR46" s="1"/>
      <c r="ECS46" s="1"/>
      <c r="ECT46" s="1"/>
      <c r="ECU46" s="1"/>
      <c r="ECV46" s="1"/>
      <c r="ECW46" s="1"/>
      <c r="ECX46" s="1"/>
      <c r="ECY46" s="1"/>
      <c r="ECZ46" s="1"/>
      <c r="EDA46" s="1"/>
      <c r="EDB46" s="1"/>
      <c r="EDC46" s="1"/>
      <c r="EDD46" s="1"/>
      <c r="EDE46" s="1"/>
      <c r="EDF46" s="1"/>
      <c r="EDG46" s="1"/>
      <c r="EDH46" s="1"/>
      <c r="EDI46" s="1"/>
      <c r="EDJ46" s="1"/>
      <c r="EDK46" s="1"/>
      <c r="EDL46" s="1"/>
      <c r="EDM46" s="1"/>
      <c r="EDN46" s="1"/>
      <c r="EDO46" s="1"/>
      <c r="EDP46" s="1"/>
      <c r="EDQ46" s="1"/>
      <c r="EDR46" s="1"/>
      <c r="EDS46" s="1"/>
      <c r="EDT46" s="1"/>
      <c r="EDU46" s="1"/>
      <c r="EDV46" s="1"/>
      <c r="EDW46" s="1"/>
      <c r="EDX46" s="1"/>
      <c r="EDY46" s="1"/>
      <c r="EDZ46" s="1"/>
      <c r="EEA46" s="1"/>
      <c r="EEB46" s="1"/>
      <c r="EEC46" s="1"/>
      <c r="EED46" s="1"/>
      <c r="EEE46" s="1"/>
      <c r="EEF46" s="1"/>
      <c r="EEG46" s="1"/>
      <c r="EEH46" s="1"/>
      <c r="EEI46" s="1"/>
      <c r="EEJ46" s="1"/>
      <c r="EEK46" s="1"/>
      <c r="EEL46" s="1"/>
      <c r="EEM46" s="1"/>
      <c r="EEN46" s="1"/>
      <c r="EEO46" s="1"/>
      <c r="EEP46" s="1"/>
      <c r="EEQ46" s="1"/>
      <c r="EER46" s="1"/>
      <c r="EES46" s="1"/>
      <c r="EET46" s="1"/>
      <c r="EEU46" s="1"/>
      <c r="EEV46" s="1"/>
      <c r="EEW46" s="1"/>
      <c r="EEX46" s="1"/>
      <c r="EEY46" s="1"/>
      <c r="EEZ46" s="1"/>
      <c r="EFA46" s="1"/>
      <c r="EFB46" s="1"/>
      <c r="EFC46" s="1"/>
      <c r="EFD46" s="1"/>
      <c r="EFE46" s="1"/>
      <c r="EFF46" s="1"/>
      <c r="EFG46" s="1"/>
      <c r="EFH46" s="1"/>
      <c r="EFI46" s="1"/>
      <c r="EFJ46" s="1"/>
      <c r="EFK46" s="1"/>
      <c r="EFL46" s="1"/>
      <c r="EFM46" s="1"/>
      <c r="EFN46" s="1"/>
      <c r="EFO46" s="1"/>
      <c r="EFP46" s="1"/>
      <c r="EFQ46" s="1"/>
      <c r="EFR46" s="1"/>
      <c r="EFS46" s="1"/>
      <c r="EFT46" s="1"/>
      <c r="EFU46" s="1"/>
      <c r="EFV46" s="1"/>
      <c r="EFW46" s="1"/>
      <c r="EFX46" s="1"/>
      <c r="EFY46" s="1"/>
      <c r="EFZ46" s="1"/>
      <c r="EGA46" s="1"/>
      <c r="EGB46" s="1"/>
      <c r="EGC46" s="1"/>
      <c r="EGD46" s="1"/>
      <c r="EGE46" s="1"/>
      <c r="EGF46" s="1"/>
      <c r="EGG46" s="1"/>
      <c r="EGH46" s="1"/>
      <c r="EGI46" s="1"/>
      <c r="EGJ46" s="1"/>
      <c r="EGK46" s="1"/>
      <c r="EGL46" s="1"/>
      <c r="EGM46" s="1"/>
      <c r="EGN46" s="1"/>
      <c r="EGO46" s="1"/>
      <c r="EGP46" s="1"/>
      <c r="EGQ46" s="1"/>
      <c r="EGR46" s="1"/>
      <c r="EGS46" s="1"/>
      <c r="EGT46" s="1"/>
      <c r="EGU46" s="1"/>
      <c r="EGV46" s="1"/>
      <c r="EGW46" s="1"/>
      <c r="EGX46" s="1"/>
      <c r="EGY46" s="1"/>
      <c r="EGZ46" s="1"/>
      <c r="EHA46" s="1"/>
      <c r="EHB46" s="1"/>
      <c r="EHC46" s="1"/>
      <c r="EHD46" s="1"/>
      <c r="EHE46" s="1"/>
      <c r="EHF46" s="1"/>
      <c r="EHG46" s="1"/>
      <c r="EHH46" s="1"/>
      <c r="EHI46" s="1"/>
      <c r="EHJ46" s="1"/>
      <c r="EHK46" s="1"/>
      <c r="EHL46" s="1"/>
      <c r="EHM46" s="1"/>
      <c r="EHN46" s="1"/>
      <c r="EHO46" s="1"/>
      <c r="EHP46" s="1"/>
      <c r="EHQ46" s="1"/>
      <c r="EHR46" s="1"/>
      <c r="EHS46" s="1"/>
      <c r="EHT46" s="1"/>
      <c r="EHU46" s="1"/>
      <c r="EHV46" s="1"/>
      <c r="EHW46" s="1"/>
      <c r="EHX46" s="1"/>
      <c r="EHY46" s="1"/>
      <c r="EHZ46" s="1"/>
      <c r="EIA46" s="1"/>
      <c r="EIB46" s="1"/>
      <c r="EIC46" s="1"/>
      <c r="EID46" s="1"/>
      <c r="EIE46" s="1"/>
      <c r="EIF46" s="1"/>
      <c r="EIG46" s="1"/>
      <c r="EIH46" s="1"/>
      <c r="EII46" s="1"/>
      <c r="EIJ46" s="1"/>
      <c r="EIK46" s="1"/>
      <c r="EIL46" s="1"/>
      <c r="EIM46" s="1"/>
      <c r="EIN46" s="1"/>
      <c r="EIO46" s="1"/>
      <c r="EIP46" s="1"/>
      <c r="EIQ46" s="1"/>
      <c r="EIR46" s="1"/>
      <c r="EIS46" s="1"/>
      <c r="EIT46" s="1"/>
      <c r="EIU46" s="1"/>
      <c r="EIV46" s="1"/>
      <c r="EIW46" s="1"/>
      <c r="EIX46" s="1"/>
      <c r="EIY46" s="1"/>
      <c r="EIZ46" s="1"/>
      <c r="EJA46" s="1"/>
      <c r="EJB46" s="1"/>
      <c r="EJC46" s="1"/>
      <c r="EJD46" s="1"/>
      <c r="EJE46" s="1"/>
      <c r="EJF46" s="1"/>
      <c r="EJG46" s="1"/>
      <c r="EJH46" s="1"/>
      <c r="EJI46" s="1"/>
      <c r="EJJ46" s="1"/>
      <c r="EJK46" s="1"/>
      <c r="EJL46" s="1"/>
      <c r="EJM46" s="1"/>
      <c r="EJN46" s="1"/>
      <c r="EJO46" s="1"/>
      <c r="EJP46" s="1"/>
      <c r="EJQ46" s="1"/>
      <c r="EJR46" s="1"/>
      <c r="EJS46" s="1"/>
      <c r="EJT46" s="1"/>
      <c r="EJU46" s="1"/>
      <c r="EJV46" s="1"/>
      <c r="EJW46" s="1"/>
      <c r="EJX46" s="1"/>
      <c r="EJY46" s="1"/>
      <c r="EJZ46" s="1"/>
      <c r="EKA46" s="1"/>
      <c r="EKB46" s="1"/>
      <c r="EKC46" s="1"/>
      <c r="EKD46" s="1"/>
      <c r="EKE46" s="1"/>
      <c r="EKF46" s="1"/>
      <c r="EKG46" s="1"/>
      <c r="EKH46" s="1"/>
      <c r="EKI46" s="1"/>
      <c r="EKJ46" s="1"/>
      <c r="EKK46" s="1"/>
      <c r="EKL46" s="1"/>
      <c r="EKM46" s="1"/>
      <c r="EKN46" s="1"/>
      <c r="EKO46" s="1"/>
      <c r="EKP46" s="1"/>
      <c r="EKQ46" s="1"/>
      <c r="EKR46" s="1"/>
      <c r="EKS46" s="1"/>
      <c r="EKT46" s="1"/>
      <c r="EKU46" s="1"/>
      <c r="EKV46" s="1"/>
      <c r="EKW46" s="1"/>
      <c r="EKX46" s="1"/>
      <c r="EKY46" s="1"/>
      <c r="EKZ46" s="1"/>
      <c r="ELA46" s="1"/>
      <c r="ELB46" s="1"/>
      <c r="ELC46" s="1"/>
      <c r="ELD46" s="1"/>
      <c r="ELE46" s="1"/>
      <c r="ELF46" s="1"/>
      <c r="ELG46" s="1"/>
      <c r="ELH46" s="1"/>
      <c r="ELI46" s="1"/>
      <c r="ELJ46" s="1"/>
      <c r="ELK46" s="1"/>
      <c r="ELL46" s="1"/>
      <c r="ELM46" s="1"/>
      <c r="ELN46" s="1"/>
      <c r="ELO46" s="1"/>
      <c r="ELP46" s="1"/>
      <c r="ELQ46" s="1"/>
      <c r="ELR46" s="1"/>
      <c r="ELS46" s="1"/>
      <c r="ELT46" s="1"/>
      <c r="ELU46" s="1"/>
      <c r="ELV46" s="1"/>
      <c r="ELW46" s="1"/>
      <c r="ELX46" s="1"/>
      <c r="ELY46" s="1"/>
      <c r="ELZ46" s="1"/>
      <c r="EMA46" s="1"/>
      <c r="EMB46" s="1"/>
      <c r="EMC46" s="1"/>
      <c r="EMD46" s="1"/>
      <c r="EME46" s="1"/>
      <c r="EMF46" s="1"/>
      <c r="EMG46" s="1"/>
      <c r="EMH46" s="1"/>
      <c r="EMI46" s="1"/>
      <c r="EMJ46" s="1"/>
      <c r="EMK46" s="1"/>
      <c r="EML46" s="1"/>
      <c r="EMM46" s="1"/>
      <c r="EMN46" s="1"/>
      <c r="EMO46" s="1"/>
      <c r="EMP46" s="1"/>
      <c r="EMQ46" s="1"/>
      <c r="EMR46" s="1"/>
      <c r="EMS46" s="1"/>
      <c r="EMT46" s="1"/>
      <c r="EMU46" s="1"/>
      <c r="EMV46" s="1"/>
      <c r="EMW46" s="1"/>
      <c r="EMX46" s="1"/>
      <c r="EMY46" s="1"/>
      <c r="EMZ46" s="1"/>
      <c r="ENA46" s="1"/>
      <c r="ENB46" s="1"/>
      <c r="ENC46" s="1"/>
      <c r="END46" s="1"/>
      <c r="ENE46" s="1"/>
      <c r="ENF46" s="1"/>
      <c r="ENG46" s="1"/>
      <c r="ENH46" s="1"/>
      <c r="ENI46" s="1"/>
      <c r="ENJ46" s="1"/>
      <c r="ENK46" s="1"/>
      <c r="ENL46" s="1"/>
      <c r="ENM46" s="1"/>
      <c r="ENN46" s="1"/>
      <c r="ENO46" s="1"/>
      <c r="ENP46" s="1"/>
      <c r="ENQ46" s="1"/>
      <c r="ENR46" s="1"/>
      <c r="ENS46" s="1"/>
      <c r="ENT46" s="1"/>
      <c r="ENU46" s="1"/>
      <c r="ENV46" s="1"/>
      <c r="ENW46" s="1"/>
      <c r="ENX46" s="1"/>
      <c r="ENY46" s="1"/>
      <c r="ENZ46" s="1"/>
      <c r="EOA46" s="1"/>
      <c r="EOB46" s="1"/>
      <c r="EOC46" s="1"/>
      <c r="EOD46" s="1"/>
      <c r="EOE46" s="1"/>
      <c r="EOF46" s="1"/>
      <c r="EOG46" s="1"/>
      <c r="EOH46" s="1"/>
      <c r="EOI46" s="1"/>
      <c r="EOJ46" s="1"/>
      <c r="EOK46" s="1"/>
      <c r="EOL46" s="1"/>
      <c r="EOM46" s="1"/>
      <c r="EON46" s="1"/>
      <c r="EOO46" s="1"/>
      <c r="EOP46" s="1"/>
      <c r="EOQ46" s="1"/>
      <c r="EOR46" s="1"/>
      <c r="EOS46" s="1"/>
      <c r="EOT46" s="1"/>
      <c r="EOU46" s="1"/>
      <c r="EOV46" s="1"/>
      <c r="EOW46" s="1"/>
      <c r="EOX46" s="1"/>
      <c r="EOY46" s="1"/>
      <c r="EOZ46" s="1"/>
      <c r="EPA46" s="1"/>
      <c r="EPB46" s="1"/>
      <c r="EPC46" s="1"/>
      <c r="EPD46" s="1"/>
      <c r="EPE46" s="1"/>
      <c r="EPF46" s="1"/>
      <c r="EPG46" s="1"/>
      <c r="EPH46" s="1"/>
      <c r="EPI46" s="1"/>
      <c r="EPJ46" s="1"/>
      <c r="EPK46" s="1"/>
      <c r="EPL46" s="1"/>
      <c r="EPM46" s="1"/>
      <c r="EPN46" s="1"/>
      <c r="EPO46" s="1"/>
      <c r="EPP46" s="1"/>
      <c r="EPQ46" s="1"/>
      <c r="EPR46" s="1"/>
      <c r="EPS46" s="1"/>
      <c r="EPT46" s="1"/>
      <c r="EPU46" s="1"/>
      <c r="EPV46" s="1"/>
      <c r="EPW46" s="1"/>
      <c r="EPX46" s="1"/>
      <c r="EPY46" s="1"/>
      <c r="EPZ46" s="1"/>
      <c r="EQA46" s="1"/>
      <c r="EQB46" s="1"/>
      <c r="EQC46" s="1"/>
      <c r="EQD46" s="1"/>
      <c r="EQE46" s="1"/>
      <c r="EQF46" s="1"/>
      <c r="EQG46" s="1"/>
      <c r="EQH46" s="1"/>
      <c r="EQI46" s="1"/>
      <c r="EQJ46" s="1"/>
      <c r="EQK46" s="1"/>
      <c r="EQL46" s="1"/>
      <c r="EQM46" s="1"/>
      <c r="EQN46" s="1"/>
      <c r="EQO46" s="1"/>
      <c r="EQP46" s="1"/>
      <c r="EQQ46" s="1"/>
      <c r="EQR46" s="1"/>
      <c r="EQS46" s="1"/>
      <c r="EQT46" s="1"/>
      <c r="EQU46" s="1"/>
      <c r="EQV46" s="1"/>
      <c r="EQW46" s="1"/>
      <c r="EQX46" s="1"/>
      <c r="EQY46" s="1"/>
      <c r="EQZ46" s="1"/>
      <c r="ERA46" s="1"/>
      <c r="ERB46" s="1"/>
      <c r="ERC46" s="1"/>
      <c r="ERD46" s="1"/>
      <c r="ERE46" s="1"/>
      <c r="ERF46" s="1"/>
      <c r="ERG46" s="1"/>
      <c r="ERH46" s="1"/>
      <c r="ERI46" s="1"/>
      <c r="ERJ46" s="1"/>
      <c r="ERK46" s="1"/>
      <c r="ERL46" s="1"/>
      <c r="ERM46" s="1"/>
      <c r="ERN46" s="1"/>
      <c r="ERO46" s="1"/>
      <c r="ERP46" s="1"/>
      <c r="ERQ46" s="1"/>
      <c r="ERR46" s="1"/>
      <c r="ERS46" s="1"/>
      <c r="ERT46" s="1"/>
      <c r="ERU46" s="1"/>
      <c r="ERV46" s="1"/>
      <c r="ERW46" s="1"/>
      <c r="ERX46" s="1"/>
      <c r="ERY46" s="1"/>
      <c r="ERZ46" s="1"/>
      <c r="ESA46" s="1"/>
      <c r="ESB46" s="1"/>
      <c r="ESC46" s="1"/>
      <c r="ESD46" s="1"/>
      <c r="ESE46" s="1"/>
      <c r="ESF46" s="1"/>
      <c r="ESG46" s="1"/>
      <c r="ESH46" s="1"/>
      <c r="ESI46" s="1"/>
      <c r="ESJ46" s="1"/>
      <c r="ESK46" s="1"/>
      <c r="ESL46" s="1"/>
      <c r="ESM46" s="1"/>
      <c r="ESN46" s="1"/>
      <c r="ESO46" s="1"/>
      <c r="ESP46" s="1"/>
      <c r="ESQ46" s="1"/>
      <c r="ESR46" s="1"/>
      <c r="ESS46" s="1"/>
      <c r="EST46" s="1"/>
      <c r="ESU46" s="1"/>
      <c r="ESV46" s="1"/>
      <c r="ESW46" s="1"/>
      <c r="ESX46" s="1"/>
      <c r="ESY46" s="1"/>
      <c r="ESZ46" s="1"/>
      <c r="ETA46" s="1"/>
      <c r="ETB46" s="1"/>
      <c r="ETC46" s="1"/>
      <c r="ETD46" s="1"/>
      <c r="ETE46" s="1"/>
      <c r="ETF46" s="1"/>
      <c r="ETG46" s="1"/>
      <c r="ETH46" s="1"/>
      <c r="ETI46" s="1"/>
      <c r="ETJ46" s="1"/>
      <c r="ETK46" s="1"/>
      <c r="ETL46" s="1"/>
      <c r="ETM46" s="1"/>
      <c r="ETN46" s="1"/>
      <c r="ETO46" s="1"/>
      <c r="ETP46" s="1"/>
      <c r="ETQ46" s="1"/>
      <c r="ETR46" s="1"/>
      <c r="ETS46" s="1"/>
      <c r="ETT46" s="1"/>
      <c r="ETU46" s="1"/>
      <c r="ETV46" s="1"/>
      <c r="ETW46" s="1"/>
      <c r="ETX46" s="1"/>
      <c r="ETY46" s="1"/>
      <c r="ETZ46" s="1"/>
      <c r="EUA46" s="1"/>
      <c r="EUB46" s="1"/>
      <c r="EUC46" s="1"/>
      <c r="EUD46" s="1"/>
      <c r="EUE46" s="1"/>
      <c r="EUF46" s="1"/>
      <c r="EUG46" s="1"/>
      <c r="EUH46" s="1"/>
      <c r="EUI46" s="1"/>
      <c r="EUJ46" s="1"/>
      <c r="EUK46" s="1"/>
      <c r="EUL46" s="1"/>
      <c r="EUM46" s="1"/>
      <c r="EUN46" s="1"/>
      <c r="EUO46" s="1"/>
      <c r="EUP46" s="1"/>
      <c r="EUQ46" s="1"/>
      <c r="EUR46" s="1"/>
      <c r="EUS46" s="1"/>
      <c r="EUT46" s="1"/>
      <c r="EUU46" s="1"/>
      <c r="EUV46" s="1"/>
      <c r="EUW46" s="1"/>
      <c r="EUX46" s="1"/>
      <c r="EUY46" s="1"/>
      <c r="EUZ46" s="1"/>
      <c r="EVA46" s="1"/>
      <c r="EVB46" s="1"/>
      <c r="EVC46" s="1"/>
      <c r="EVD46" s="1"/>
      <c r="EVE46" s="1"/>
      <c r="EVF46" s="1"/>
      <c r="EVG46" s="1"/>
      <c r="EVH46" s="1"/>
      <c r="EVI46" s="1"/>
      <c r="EVJ46" s="1"/>
      <c r="EVK46" s="1"/>
      <c r="EVL46" s="1"/>
      <c r="EVM46" s="1"/>
      <c r="EVN46" s="1"/>
      <c r="EVO46" s="1"/>
      <c r="EVP46" s="1"/>
      <c r="EVQ46" s="1"/>
      <c r="EVR46" s="1"/>
      <c r="EVS46" s="1"/>
      <c r="EVT46" s="1"/>
      <c r="EVU46" s="1"/>
      <c r="EVV46" s="1"/>
      <c r="EVW46" s="1"/>
      <c r="EVX46" s="1"/>
      <c r="EVY46" s="1"/>
      <c r="EVZ46" s="1"/>
      <c r="EWA46" s="1"/>
      <c r="EWB46" s="1"/>
      <c r="EWC46" s="1"/>
      <c r="EWD46" s="1"/>
      <c r="EWE46" s="1"/>
      <c r="EWF46" s="1"/>
      <c r="EWG46" s="1"/>
      <c r="EWH46" s="1"/>
      <c r="EWI46" s="1"/>
      <c r="EWJ46" s="1"/>
      <c r="EWK46" s="1"/>
      <c r="EWL46" s="1"/>
      <c r="EWM46" s="1"/>
      <c r="EWN46" s="1"/>
      <c r="EWO46" s="1"/>
      <c r="EWP46" s="1"/>
      <c r="EWQ46" s="1"/>
      <c r="EWR46" s="1"/>
      <c r="EWS46" s="1"/>
      <c r="EWT46" s="1"/>
      <c r="EWU46" s="1"/>
      <c r="EWV46" s="1"/>
      <c r="EWW46" s="1"/>
      <c r="EWX46" s="1"/>
      <c r="EWY46" s="1"/>
      <c r="EWZ46" s="1"/>
      <c r="EXA46" s="1"/>
      <c r="EXB46" s="1"/>
      <c r="EXC46" s="1"/>
      <c r="EXD46" s="1"/>
      <c r="EXE46" s="1"/>
      <c r="EXF46" s="1"/>
      <c r="EXG46" s="1"/>
      <c r="EXH46" s="1"/>
      <c r="EXI46" s="1"/>
      <c r="EXJ46" s="1"/>
      <c r="EXK46" s="1"/>
      <c r="EXL46" s="1"/>
      <c r="EXM46" s="1"/>
      <c r="EXN46" s="1"/>
      <c r="EXO46" s="1"/>
      <c r="EXP46" s="1"/>
      <c r="EXQ46" s="1"/>
      <c r="EXR46" s="1"/>
      <c r="EXS46" s="1"/>
      <c r="EXT46" s="1"/>
      <c r="EXU46" s="1"/>
      <c r="EXV46" s="1"/>
      <c r="EXW46" s="1"/>
      <c r="EXX46" s="1"/>
      <c r="EXY46" s="1"/>
      <c r="EXZ46" s="1"/>
      <c r="EYA46" s="1"/>
      <c r="EYB46" s="1"/>
      <c r="EYC46" s="1"/>
      <c r="EYD46" s="1"/>
      <c r="EYE46" s="1"/>
      <c r="EYF46" s="1"/>
      <c r="EYG46" s="1"/>
      <c r="EYH46" s="1"/>
      <c r="EYI46" s="1"/>
      <c r="EYJ46" s="1"/>
      <c r="EYK46" s="1"/>
      <c r="EYL46" s="1"/>
      <c r="EYM46" s="1"/>
      <c r="EYN46" s="1"/>
      <c r="EYO46" s="1"/>
      <c r="EYP46" s="1"/>
      <c r="EYQ46" s="1"/>
      <c r="EYR46" s="1"/>
      <c r="EYS46" s="1"/>
      <c r="EYT46" s="1"/>
      <c r="EYU46" s="1"/>
      <c r="EYV46" s="1"/>
      <c r="EYW46" s="1"/>
      <c r="EYX46" s="1"/>
      <c r="EYY46" s="1"/>
      <c r="EYZ46" s="1"/>
      <c r="EZA46" s="1"/>
      <c r="EZB46" s="1"/>
      <c r="EZC46" s="1"/>
      <c r="EZD46" s="1"/>
      <c r="EZE46" s="1"/>
      <c r="EZF46" s="1"/>
      <c r="EZG46" s="1"/>
      <c r="EZH46" s="1"/>
      <c r="EZI46" s="1"/>
      <c r="EZJ46" s="1"/>
      <c r="EZK46" s="1"/>
      <c r="EZL46" s="1"/>
      <c r="EZM46" s="1"/>
      <c r="EZN46" s="1"/>
      <c r="EZO46" s="1"/>
      <c r="EZP46" s="1"/>
      <c r="EZQ46" s="1"/>
      <c r="EZR46" s="1"/>
      <c r="EZS46" s="1"/>
      <c r="EZT46" s="1"/>
      <c r="EZU46" s="1"/>
      <c r="EZV46" s="1"/>
      <c r="EZW46" s="1"/>
      <c r="EZX46" s="1"/>
      <c r="EZY46" s="1"/>
      <c r="EZZ46" s="1"/>
      <c r="FAA46" s="1"/>
      <c r="FAB46" s="1"/>
      <c r="FAC46" s="1"/>
      <c r="FAD46" s="1"/>
      <c r="FAE46" s="1"/>
      <c r="FAF46" s="1"/>
      <c r="FAG46" s="1"/>
      <c r="FAH46" s="1"/>
      <c r="FAI46" s="1"/>
      <c r="FAJ46" s="1"/>
      <c r="FAK46" s="1"/>
      <c r="FAL46" s="1"/>
      <c r="FAM46" s="1"/>
      <c r="FAN46" s="1"/>
      <c r="FAO46" s="1"/>
      <c r="FAP46" s="1"/>
      <c r="FAQ46" s="1"/>
      <c r="FAR46" s="1"/>
      <c r="FAS46" s="1"/>
      <c r="FAT46" s="1"/>
      <c r="FAU46" s="1"/>
      <c r="FAV46" s="1"/>
      <c r="FAW46" s="1"/>
      <c r="FAX46" s="1"/>
      <c r="FAY46" s="1"/>
      <c r="FAZ46" s="1"/>
      <c r="FBA46" s="1"/>
      <c r="FBB46" s="1"/>
      <c r="FBC46" s="1"/>
      <c r="FBD46" s="1"/>
      <c r="FBE46" s="1"/>
      <c r="FBF46" s="1"/>
      <c r="FBG46" s="1"/>
      <c r="FBH46" s="1"/>
      <c r="FBI46" s="1"/>
      <c r="FBJ46" s="1"/>
      <c r="FBK46" s="1"/>
      <c r="FBL46" s="1"/>
      <c r="FBM46" s="1"/>
      <c r="FBN46" s="1"/>
      <c r="FBO46" s="1"/>
      <c r="FBP46" s="1"/>
      <c r="FBQ46" s="1"/>
      <c r="FBR46" s="1"/>
      <c r="FBS46" s="1"/>
      <c r="FBT46" s="1"/>
      <c r="FBU46" s="1"/>
      <c r="FBV46" s="1"/>
      <c r="FBW46" s="1"/>
      <c r="FBX46" s="1"/>
      <c r="FBY46" s="1"/>
      <c r="FBZ46" s="1"/>
      <c r="FCA46" s="1"/>
      <c r="FCB46" s="1"/>
      <c r="FCC46" s="1"/>
      <c r="FCD46" s="1"/>
      <c r="FCE46" s="1"/>
      <c r="FCF46" s="1"/>
      <c r="FCG46" s="1"/>
      <c r="FCH46" s="1"/>
      <c r="FCI46" s="1"/>
      <c r="FCJ46" s="1"/>
      <c r="FCK46" s="1"/>
      <c r="FCL46" s="1"/>
      <c r="FCM46" s="1"/>
      <c r="FCN46" s="1"/>
      <c r="FCO46" s="1"/>
      <c r="FCP46" s="1"/>
      <c r="FCQ46" s="1"/>
      <c r="FCR46" s="1"/>
      <c r="FCS46" s="1"/>
      <c r="FCT46" s="1"/>
      <c r="FCU46" s="1"/>
      <c r="FCV46" s="1"/>
      <c r="FCW46" s="1"/>
      <c r="FCX46" s="1"/>
      <c r="FCY46" s="1"/>
      <c r="FCZ46" s="1"/>
      <c r="FDA46" s="1"/>
      <c r="FDB46" s="1"/>
      <c r="FDC46" s="1"/>
      <c r="FDD46" s="1"/>
      <c r="FDE46" s="1"/>
      <c r="FDF46" s="1"/>
      <c r="FDG46" s="1"/>
      <c r="FDH46" s="1"/>
      <c r="FDI46" s="1"/>
      <c r="FDJ46" s="1"/>
      <c r="FDK46" s="1"/>
      <c r="FDL46" s="1"/>
      <c r="FDM46" s="1"/>
      <c r="FDN46" s="1"/>
      <c r="FDO46" s="1"/>
      <c r="FDP46" s="1"/>
      <c r="FDQ46" s="1"/>
      <c r="FDR46" s="1"/>
      <c r="FDS46" s="1"/>
      <c r="FDT46" s="1"/>
      <c r="FDU46" s="1"/>
      <c r="FDV46" s="1"/>
      <c r="FDW46" s="1"/>
      <c r="FDX46" s="1"/>
      <c r="FDY46" s="1"/>
      <c r="FDZ46" s="1"/>
      <c r="FEA46" s="1"/>
      <c r="FEB46" s="1"/>
      <c r="FEC46" s="1"/>
      <c r="FED46" s="1"/>
      <c r="FEE46" s="1"/>
      <c r="FEF46" s="1"/>
      <c r="FEG46" s="1"/>
      <c r="FEH46" s="1"/>
      <c r="FEI46" s="1"/>
      <c r="FEJ46" s="1"/>
      <c r="FEK46" s="1"/>
      <c r="FEL46" s="1"/>
      <c r="FEM46" s="1"/>
      <c r="FEN46" s="1"/>
      <c r="FEO46" s="1"/>
      <c r="FEP46" s="1"/>
      <c r="FEQ46" s="1"/>
      <c r="FER46" s="1"/>
      <c r="FES46" s="1"/>
      <c r="FET46" s="1"/>
      <c r="FEU46" s="1"/>
      <c r="FEV46" s="1"/>
      <c r="FEW46" s="1"/>
      <c r="FEX46" s="1"/>
      <c r="FEY46" s="1"/>
      <c r="FEZ46" s="1"/>
      <c r="FFA46" s="1"/>
      <c r="FFB46" s="1"/>
      <c r="FFC46" s="1"/>
      <c r="FFD46" s="1"/>
      <c r="FFE46" s="1"/>
      <c r="FFF46" s="1"/>
      <c r="FFG46" s="1"/>
      <c r="FFH46" s="1"/>
      <c r="FFI46" s="1"/>
      <c r="FFJ46" s="1"/>
      <c r="FFK46" s="1"/>
      <c r="FFL46" s="1"/>
      <c r="FFM46" s="1"/>
      <c r="FFN46" s="1"/>
      <c r="FFO46" s="1"/>
      <c r="FFP46" s="1"/>
      <c r="FFQ46" s="1"/>
      <c r="FFR46" s="1"/>
      <c r="FFS46" s="1"/>
      <c r="FFT46" s="1"/>
      <c r="FFU46" s="1"/>
      <c r="FFV46" s="1"/>
      <c r="FFW46" s="1"/>
      <c r="FFX46" s="1"/>
      <c r="FFY46" s="1"/>
      <c r="FFZ46" s="1"/>
      <c r="FGA46" s="1"/>
      <c r="FGB46" s="1"/>
      <c r="FGC46" s="1"/>
      <c r="FGD46" s="1"/>
      <c r="FGE46" s="1"/>
      <c r="FGF46" s="1"/>
      <c r="FGG46" s="1"/>
      <c r="FGH46" s="1"/>
      <c r="FGI46" s="1"/>
      <c r="FGJ46" s="1"/>
      <c r="FGK46" s="1"/>
      <c r="FGL46" s="1"/>
      <c r="FGM46" s="1"/>
      <c r="FGN46" s="1"/>
      <c r="FGO46" s="1"/>
      <c r="FGP46" s="1"/>
      <c r="FGQ46" s="1"/>
      <c r="FGR46" s="1"/>
      <c r="FGS46" s="1"/>
      <c r="FGT46" s="1"/>
      <c r="FGU46" s="1"/>
      <c r="FGV46" s="1"/>
      <c r="FGW46" s="1"/>
      <c r="FGX46" s="1"/>
      <c r="FGY46" s="1"/>
      <c r="FGZ46" s="1"/>
      <c r="FHA46" s="1"/>
      <c r="FHB46" s="1"/>
      <c r="FHC46" s="1"/>
      <c r="FHD46" s="1"/>
      <c r="FHE46" s="1"/>
      <c r="FHF46" s="1"/>
      <c r="FHG46" s="1"/>
      <c r="FHH46" s="1"/>
      <c r="FHI46" s="1"/>
      <c r="FHJ46" s="1"/>
      <c r="FHK46" s="1"/>
      <c r="FHL46" s="1"/>
      <c r="FHM46" s="1"/>
      <c r="FHN46" s="1"/>
      <c r="FHO46" s="1"/>
      <c r="FHP46" s="1"/>
      <c r="FHQ46" s="1"/>
      <c r="FHR46" s="1"/>
      <c r="FHS46" s="1"/>
      <c r="FHT46" s="1"/>
      <c r="FHU46" s="1"/>
      <c r="FHV46" s="1"/>
      <c r="FHW46" s="1"/>
      <c r="FHX46" s="1"/>
      <c r="FHY46" s="1"/>
      <c r="FHZ46" s="1"/>
      <c r="FIA46" s="1"/>
      <c r="FIB46" s="1"/>
      <c r="FIC46" s="1"/>
      <c r="FID46" s="1"/>
      <c r="FIE46" s="1"/>
      <c r="FIF46" s="1"/>
      <c r="FIG46" s="1"/>
      <c r="FIH46" s="1"/>
      <c r="FII46" s="1"/>
      <c r="FIJ46" s="1"/>
      <c r="FIK46" s="1"/>
      <c r="FIL46" s="1"/>
      <c r="FIM46" s="1"/>
      <c r="FIN46" s="1"/>
      <c r="FIO46" s="1"/>
      <c r="FIP46" s="1"/>
      <c r="FIQ46" s="1"/>
      <c r="FIR46" s="1"/>
      <c r="FIS46" s="1"/>
      <c r="FIT46" s="1"/>
      <c r="FIU46" s="1"/>
      <c r="FIV46" s="1"/>
      <c r="FIW46" s="1"/>
      <c r="FIX46" s="1"/>
      <c r="FIY46" s="1"/>
      <c r="FIZ46" s="1"/>
      <c r="FJA46" s="1"/>
      <c r="FJB46" s="1"/>
      <c r="FJC46" s="1"/>
      <c r="FJD46" s="1"/>
      <c r="FJE46" s="1"/>
      <c r="FJF46" s="1"/>
      <c r="FJG46" s="1"/>
      <c r="FJH46" s="1"/>
      <c r="FJI46" s="1"/>
      <c r="FJJ46" s="1"/>
      <c r="FJK46" s="1"/>
      <c r="FJL46" s="1"/>
      <c r="FJM46" s="1"/>
      <c r="FJN46" s="1"/>
      <c r="FJO46" s="1"/>
      <c r="FJP46" s="1"/>
      <c r="FJQ46" s="1"/>
      <c r="FJR46" s="1"/>
      <c r="FJS46" s="1"/>
      <c r="FJT46" s="1"/>
      <c r="FJU46" s="1"/>
      <c r="FJV46" s="1"/>
      <c r="FJW46" s="1"/>
      <c r="FJX46" s="1"/>
      <c r="FJY46" s="1"/>
      <c r="FJZ46" s="1"/>
      <c r="FKA46" s="1"/>
      <c r="FKB46" s="1"/>
      <c r="FKC46" s="1"/>
      <c r="FKD46" s="1"/>
      <c r="FKE46" s="1"/>
      <c r="FKF46" s="1"/>
      <c r="FKG46" s="1"/>
      <c r="FKH46" s="1"/>
      <c r="FKI46" s="1"/>
      <c r="FKJ46" s="1"/>
      <c r="FKK46" s="1"/>
      <c r="FKL46" s="1"/>
      <c r="FKM46" s="1"/>
      <c r="FKN46" s="1"/>
      <c r="FKO46" s="1"/>
      <c r="FKP46" s="1"/>
      <c r="FKQ46" s="1"/>
      <c r="FKR46" s="1"/>
      <c r="FKS46" s="1"/>
      <c r="FKT46" s="1"/>
      <c r="FKU46" s="1"/>
      <c r="FKV46" s="1"/>
      <c r="FKW46" s="1"/>
      <c r="FKX46" s="1"/>
      <c r="FKY46" s="1"/>
      <c r="FKZ46" s="1"/>
      <c r="FLA46" s="1"/>
      <c r="FLB46" s="1"/>
      <c r="FLC46" s="1"/>
      <c r="FLD46" s="1"/>
      <c r="FLE46" s="1"/>
      <c r="FLF46" s="1"/>
      <c r="FLG46" s="1"/>
      <c r="FLH46" s="1"/>
      <c r="FLI46" s="1"/>
      <c r="FLJ46" s="1"/>
      <c r="FLK46" s="1"/>
      <c r="FLL46" s="1"/>
      <c r="FLM46" s="1"/>
      <c r="FLN46" s="1"/>
      <c r="FLO46" s="1"/>
      <c r="FLP46" s="1"/>
      <c r="FLQ46" s="1"/>
      <c r="FLR46" s="1"/>
      <c r="FLS46" s="1"/>
      <c r="FLT46" s="1"/>
      <c r="FLU46" s="1"/>
      <c r="FLV46" s="1"/>
      <c r="FLW46" s="1"/>
      <c r="FLX46" s="1"/>
      <c r="FLY46" s="1"/>
      <c r="FLZ46" s="1"/>
      <c r="FMA46" s="1"/>
      <c r="FMB46" s="1"/>
      <c r="FMC46" s="1"/>
      <c r="FMD46" s="1"/>
      <c r="FME46" s="1"/>
      <c r="FMF46" s="1"/>
      <c r="FMG46" s="1"/>
      <c r="FMH46" s="1"/>
      <c r="FMI46" s="1"/>
      <c r="FMJ46" s="1"/>
      <c r="FMK46" s="1"/>
      <c r="FML46" s="1"/>
      <c r="FMM46" s="1"/>
      <c r="FMN46" s="1"/>
      <c r="FMO46" s="1"/>
      <c r="FMP46" s="1"/>
      <c r="FMQ46" s="1"/>
      <c r="FMR46" s="1"/>
      <c r="FMS46" s="1"/>
      <c r="FMT46" s="1"/>
      <c r="FMU46" s="1"/>
      <c r="FMV46" s="1"/>
      <c r="FMW46" s="1"/>
      <c r="FMX46" s="1"/>
      <c r="FMY46" s="1"/>
      <c r="FMZ46" s="1"/>
      <c r="FNA46" s="1"/>
      <c r="FNB46" s="1"/>
      <c r="FNC46" s="1"/>
      <c r="FND46" s="1"/>
      <c r="FNE46" s="1"/>
      <c r="FNF46" s="1"/>
      <c r="FNG46" s="1"/>
      <c r="FNH46" s="1"/>
      <c r="FNI46" s="1"/>
      <c r="FNJ46" s="1"/>
      <c r="FNK46" s="1"/>
      <c r="FNL46" s="1"/>
      <c r="FNM46" s="1"/>
      <c r="FNN46" s="1"/>
      <c r="FNO46" s="1"/>
      <c r="FNP46" s="1"/>
      <c r="FNQ46" s="1"/>
      <c r="FNR46" s="1"/>
      <c r="FNS46" s="1"/>
      <c r="FNT46" s="1"/>
      <c r="FNU46" s="1"/>
      <c r="FNV46" s="1"/>
      <c r="FNW46" s="1"/>
      <c r="FNX46" s="1"/>
      <c r="FNY46" s="1"/>
      <c r="FNZ46" s="1"/>
      <c r="FOA46" s="1"/>
      <c r="FOB46" s="1"/>
      <c r="FOC46" s="1"/>
      <c r="FOD46" s="1"/>
      <c r="FOE46" s="1"/>
      <c r="FOF46" s="1"/>
      <c r="FOG46" s="1"/>
      <c r="FOH46" s="1"/>
      <c r="FOI46" s="1"/>
      <c r="FOJ46" s="1"/>
      <c r="FOK46" s="1"/>
      <c r="FOL46" s="1"/>
      <c r="FOM46" s="1"/>
      <c r="FON46" s="1"/>
      <c r="FOO46" s="1"/>
      <c r="FOP46" s="1"/>
      <c r="FOQ46" s="1"/>
      <c r="FOR46" s="1"/>
      <c r="FOS46" s="1"/>
      <c r="FOT46" s="1"/>
      <c r="FOU46" s="1"/>
      <c r="FOV46" s="1"/>
      <c r="FOW46" s="1"/>
      <c r="FOX46" s="1"/>
      <c r="FOY46" s="1"/>
      <c r="FOZ46" s="1"/>
      <c r="FPA46" s="1"/>
      <c r="FPB46" s="1"/>
      <c r="FPC46" s="1"/>
      <c r="FPD46" s="1"/>
      <c r="FPE46" s="1"/>
      <c r="FPF46" s="1"/>
      <c r="FPG46" s="1"/>
      <c r="FPH46" s="1"/>
      <c r="FPI46" s="1"/>
      <c r="FPJ46" s="1"/>
      <c r="FPK46" s="1"/>
      <c r="FPL46" s="1"/>
      <c r="FPM46" s="1"/>
      <c r="FPN46" s="1"/>
      <c r="FPO46" s="1"/>
      <c r="FPP46" s="1"/>
      <c r="FPQ46" s="1"/>
      <c r="FPR46" s="1"/>
      <c r="FPS46" s="1"/>
      <c r="FPT46" s="1"/>
      <c r="FPU46" s="1"/>
      <c r="FPV46" s="1"/>
      <c r="FPW46" s="1"/>
      <c r="FPX46" s="1"/>
      <c r="FPY46" s="1"/>
      <c r="FPZ46" s="1"/>
      <c r="FQA46" s="1"/>
      <c r="FQB46" s="1"/>
      <c r="FQC46" s="1"/>
      <c r="FQD46" s="1"/>
      <c r="FQE46" s="1"/>
      <c r="FQF46" s="1"/>
      <c r="FQG46" s="1"/>
      <c r="FQH46" s="1"/>
      <c r="FQI46" s="1"/>
      <c r="FQJ46" s="1"/>
      <c r="FQK46" s="1"/>
      <c r="FQL46" s="1"/>
      <c r="FQM46" s="1"/>
      <c r="FQN46" s="1"/>
      <c r="FQO46" s="1"/>
      <c r="FQP46" s="1"/>
      <c r="FQQ46" s="1"/>
      <c r="FQR46" s="1"/>
      <c r="FQS46" s="1"/>
      <c r="FQT46" s="1"/>
      <c r="FQU46" s="1"/>
      <c r="FQV46" s="1"/>
      <c r="FQW46" s="1"/>
      <c r="FQX46" s="1"/>
      <c r="FQY46" s="1"/>
      <c r="FQZ46" s="1"/>
      <c r="FRA46" s="1"/>
      <c r="FRB46" s="1"/>
      <c r="FRC46" s="1"/>
      <c r="FRD46" s="1"/>
      <c r="FRE46" s="1"/>
      <c r="FRF46" s="1"/>
      <c r="FRG46" s="1"/>
      <c r="FRH46" s="1"/>
      <c r="FRI46" s="1"/>
      <c r="FRJ46" s="1"/>
      <c r="FRK46" s="1"/>
      <c r="FRL46" s="1"/>
      <c r="FRM46" s="1"/>
      <c r="FRN46" s="1"/>
      <c r="FRO46" s="1"/>
      <c r="FRP46" s="1"/>
      <c r="FRQ46" s="1"/>
      <c r="FRR46" s="1"/>
      <c r="FRS46" s="1"/>
      <c r="FRT46" s="1"/>
      <c r="FRU46" s="1"/>
      <c r="FRV46" s="1"/>
      <c r="FRW46" s="1"/>
      <c r="FRX46" s="1"/>
      <c r="FRY46" s="1"/>
      <c r="FRZ46" s="1"/>
      <c r="FSA46" s="1"/>
      <c r="FSB46" s="1"/>
      <c r="FSC46" s="1"/>
      <c r="FSD46" s="1"/>
      <c r="FSE46" s="1"/>
      <c r="FSF46" s="1"/>
      <c r="FSG46" s="1"/>
      <c r="FSH46" s="1"/>
      <c r="FSI46" s="1"/>
      <c r="FSJ46" s="1"/>
      <c r="FSK46" s="1"/>
      <c r="FSL46" s="1"/>
      <c r="FSM46" s="1"/>
      <c r="FSN46" s="1"/>
      <c r="FSO46" s="1"/>
      <c r="FSP46" s="1"/>
      <c r="FSQ46" s="1"/>
      <c r="FSR46" s="1"/>
      <c r="FSS46" s="1"/>
      <c r="FST46" s="1"/>
      <c r="FSU46" s="1"/>
      <c r="FSV46" s="1"/>
      <c r="FSW46" s="1"/>
      <c r="FSX46" s="1"/>
      <c r="FSY46" s="1"/>
      <c r="FSZ46" s="1"/>
      <c r="FTA46" s="1"/>
      <c r="FTB46" s="1"/>
      <c r="FTC46" s="1"/>
      <c r="FTD46" s="1"/>
      <c r="FTE46" s="1"/>
      <c r="FTF46" s="1"/>
      <c r="FTG46" s="1"/>
      <c r="FTH46" s="1"/>
      <c r="FTI46" s="1"/>
      <c r="FTJ46" s="1"/>
      <c r="FTK46" s="1"/>
      <c r="FTL46" s="1"/>
      <c r="FTM46" s="1"/>
      <c r="FTN46" s="1"/>
      <c r="FTO46" s="1"/>
      <c r="FTP46" s="1"/>
      <c r="FTQ46" s="1"/>
      <c r="FTR46" s="1"/>
      <c r="FTS46" s="1"/>
      <c r="FTT46" s="1"/>
      <c r="FTU46" s="1"/>
      <c r="FTV46" s="1"/>
      <c r="FTW46" s="1"/>
      <c r="FTX46" s="1"/>
      <c r="FTY46" s="1"/>
      <c r="FTZ46" s="1"/>
      <c r="FUA46" s="1"/>
      <c r="FUB46" s="1"/>
      <c r="FUC46" s="1"/>
      <c r="FUD46" s="1"/>
      <c r="FUE46" s="1"/>
      <c r="FUF46" s="1"/>
      <c r="FUG46" s="1"/>
      <c r="FUH46" s="1"/>
      <c r="FUI46" s="1"/>
      <c r="FUJ46" s="1"/>
      <c r="FUK46" s="1"/>
      <c r="FUL46" s="1"/>
      <c r="FUM46" s="1"/>
      <c r="FUN46" s="1"/>
      <c r="FUO46" s="1"/>
      <c r="FUP46" s="1"/>
      <c r="FUQ46" s="1"/>
      <c r="FUR46" s="1"/>
      <c r="FUS46" s="1"/>
      <c r="FUT46" s="1"/>
      <c r="FUU46" s="1"/>
      <c r="FUV46" s="1"/>
      <c r="FUW46" s="1"/>
      <c r="FUX46" s="1"/>
      <c r="FUY46" s="1"/>
      <c r="FUZ46" s="1"/>
      <c r="FVA46" s="1"/>
      <c r="FVB46" s="1"/>
      <c r="FVC46" s="1"/>
      <c r="FVD46" s="1"/>
      <c r="FVE46" s="1"/>
      <c r="FVF46" s="1"/>
      <c r="FVG46" s="1"/>
      <c r="FVH46" s="1"/>
      <c r="FVI46" s="1"/>
      <c r="FVJ46" s="1"/>
      <c r="FVK46" s="1"/>
      <c r="FVL46" s="1"/>
      <c r="FVM46" s="1"/>
      <c r="FVN46" s="1"/>
      <c r="FVO46" s="1"/>
      <c r="FVP46" s="1"/>
      <c r="FVQ46" s="1"/>
      <c r="FVR46" s="1"/>
      <c r="FVS46" s="1"/>
      <c r="FVT46" s="1"/>
      <c r="FVU46" s="1"/>
      <c r="FVV46" s="1"/>
      <c r="FVW46" s="1"/>
      <c r="FVX46" s="1"/>
      <c r="FVY46" s="1"/>
      <c r="FVZ46" s="1"/>
      <c r="FWA46" s="1"/>
      <c r="FWB46" s="1"/>
      <c r="FWC46" s="1"/>
      <c r="FWD46" s="1"/>
      <c r="FWE46" s="1"/>
      <c r="FWF46" s="1"/>
      <c r="FWG46" s="1"/>
      <c r="FWH46" s="1"/>
      <c r="FWI46" s="1"/>
      <c r="FWJ46" s="1"/>
      <c r="FWK46" s="1"/>
      <c r="FWL46" s="1"/>
      <c r="FWM46" s="1"/>
      <c r="FWN46" s="1"/>
      <c r="FWO46" s="1"/>
      <c r="FWP46" s="1"/>
      <c r="FWQ46" s="1"/>
      <c r="FWR46" s="1"/>
      <c r="FWS46" s="1"/>
      <c r="FWT46" s="1"/>
      <c r="FWU46" s="1"/>
      <c r="FWV46" s="1"/>
      <c r="FWW46" s="1"/>
      <c r="FWX46" s="1"/>
      <c r="FWY46" s="1"/>
      <c r="FWZ46" s="1"/>
      <c r="FXA46" s="1"/>
      <c r="FXB46" s="1"/>
      <c r="FXC46" s="1"/>
      <c r="FXD46" s="1"/>
      <c r="FXE46" s="1"/>
      <c r="FXF46" s="1"/>
      <c r="FXG46" s="1"/>
      <c r="FXH46" s="1"/>
      <c r="FXI46" s="1"/>
      <c r="FXJ46" s="1"/>
      <c r="FXK46" s="1"/>
      <c r="FXL46" s="1"/>
      <c r="FXM46" s="1"/>
      <c r="FXN46" s="1"/>
      <c r="FXO46" s="1"/>
      <c r="FXP46" s="1"/>
      <c r="FXQ46" s="1"/>
      <c r="FXR46" s="1"/>
      <c r="FXS46" s="1"/>
      <c r="FXT46" s="1"/>
      <c r="FXU46" s="1"/>
      <c r="FXV46" s="1"/>
      <c r="FXW46" s="1"/>
      <c r="FXX46" s="1"/>
      <c r="FXY46" s="1"/>
      <c r="FXZ46" s="1"/>
      <c r="FYA46" s="1"/>
      <c r="FYB46" s="1"/>
      <c r="FYC46" s="1"/>
      <c r="FYD46" s="1"/>
      <c r="FYE46" s="1"/>
      <c r="FYF46" s="1"/>
      <c r="FYG46" s="1"/>
      <c r="FYH46" s="1"/>
      <c r="FYI46" s="1"/>
      <c r="FYJ46" s="1"/>
      <c r="FYK46" s="1"/>
      <c r="FYL46" s="1"/>
      <c r="FYM46" s="1"/>
      <c r="FYN46" s="1"/>
      <c r="FYO46" s="1"/>
      <c r="FYP46" s="1"/>
      <c r="FYQ46" s="1"/>
      <c r="FYR46" s="1"/>
      <c r="FYS46" s="1"/>
      <c r="FYT46" s="1"/>
      <c r="FYU46" s="1"/>
      <c r="FYV46" s="1"/>
      <c r="FYW46" s="1"/>
      <c r="FYX46" s="1"/>
      <c r="FYY46" s="1"/>
      <c r="FYZ46" s="1"/>
      <c r="FZA46" s="1"/>
      <c r="FZB46" s="1"/>
      <c r="FZC46" s="1"/>
      <c r="FZD46" s="1"/>
      <c r="FZE46" s="1"/>
      <c r="FZF46" s="1"/>
      <c r="FZG46" s="1"/>
      <c r="FZH46" s="1"/>
      <c r="FZI46" s="1"/>
      <c r="FZJ46" s="1"/>
      <c r="FZK46" s="1"/>
      <c r="FZL46" s="1"/>
      <c r="FZM46" s="1"/>
      <c r="FZN46" s="1"/>
      <c r="FZO46" s="1"/>
      <c r="FZP46" s="1"/>
      <c r="FZQ46" s="1"/>
      <c r="FZR46" s="1"/>
      <c r="FZS46" s="1"/>
      <c r="FZT46" s="1"/>
      <c r="FZU46" s="1"/>
      <c r="FZV46" s="1"/>
      <c r="FZW46" s="1"/>
      <c r="FZX46" s="1"/>
      <c r="FZY46" s="1"/>
      <c r="FZZ46" s="1"/>
      <c r="GAA46" s="1"/>
      <c r="GAB46" s="1"/>
      <c r="GAC46" s="1"/>
      <c r="GAD46" s="1"/>
      <c r="GAE46" s="1"/>
      <c r="GAF46" s="1"/>
      <c r="GAG46" s="1"/>
      <c r="GAH46" s="1"/>
      <c r="GAI46" s="1"/>
      <c r="GAJ46" s="1"/>
      <c r="GAK46" s="1"/>
      <c r="GAL46" s="1"/>
      <c r="GAM46" s="1"/>
      <c r="GAN46" s="1"/>
      <c r="GAO46" s="1"/>
      <c r="GAP46" s="1"/>
      <c r="GAQ46" s="1"/>
      <c r="GAR46" s="1"/>
      <c r="GAS46" s="1"/>
      <c r="GAT46" s="1"/>
      <c r="GAU46" s="1"/>
      <c r="GAV46" s="1"/>
      <c r="GAW46" s="1"/>
      <c r="GAX46" s="1"/>
      <c r="GAY46" s="1"/>
      <c r="GAZ46" s="1"/>
      <c r="GBA46" s="1"/>
      <c r="GBB46" s="1"/>
      <c r="GBC46" s="1"/>
      <c r="GBD46" s="1"/>
      <c r="GBE46" s="1"/>
      <c r="GBF46" s="1"/>
      <c r="GBG46" s="1"/>
      <c r="GBH46" s="1"/>
      <c r="GBI46" s="1"/>
      <c r="GBJ46" s="1"/>
      <c r="GBK46" s="1"/>
      <c r="GBL46" s="1"/>
      <c r="GBM46" s="1"/>
      <c r="GBN46" s="1"/>
      <c r="GBO46" s="1"/>
      <c r="GBP46" s="1"/>
      <c r="GBQ46" s="1"/>
      <c r="GBR46" s="1"/>
      <c r="GBS46" s="1"/>
      <c r="GBT46" s="1"/>
      <c r="GBU46" s="1"/>
      <c r="GBV46" s="1"/>
      <c r="GBW46" s="1"/>
      <c r="GBX46" s="1"/>
      <c r="GBY46" s="1"/>
      <c r="GBZ46" s="1"/>
      <c r="GCA46" s="1"/>
      <c r="GCB46" s="1"/>
      <c r="GCC46" s="1"/>
      <c r="GCD46" s="1"/>
      <c r="GCE46" s="1"/>
      <c r="GCF46" s="1"/>
      <c r="GCG46" s="1"/>
      <c r="GCH46" s="1"/>
      <c r="GCI46" s="1"/>
      <c r="GCJ46" s="1"/>
      <c r="GCK46" s="1"/>
      <c r="GCL46" s="1"/>
      <c r="GCM46" s="1"/>
      <c r="GCN46" s="1"/>
      <c r="GCO46" s="1"/>
      <c r="GCP46" s="1"/>
      <c r="GCQ46" s="1"/>
      <c r="GCR46" s="1"/>
      <c r="GCS46" s="1"/>
      <c r="GCT46" s="1"/>
      <c r="GCU46" s="1"/>
      <c r="GCV46" s="1"/>
      <c r="GCW46" s="1"/>
      <c r="GCX46" s="1"/>
      <c r="GCY46" s="1"/>
      <c r="GCZ46" s="1"/>
      <c r="GDA46" s="1"/>
      <c r="GDB46" s="1"/>
      <c r="GDC46" s="1"/>
      <c r="GDD46" s="1"/>
      <c r="GDE46" s="1"/>
      <c r="GDF46" s="1"/>
      <c r="GDG46" s="1"/>
      <c r="GDH46" s="1"/>
      <c r="GDI46" s="1"/>
      <c r="GDJ46" s="1"/>
      <c r="GDK46" s="1"/>
      <c r="GDL46" s="1"/>
      <c r="GDM46" s="1"/>
      <c r="GDN46" s="1"/>
      <c r="GDO46" s="1"/>
      <c r="GDP46" s="1"/>
      <c r="GDQ46" s="1"/>
      <c r="GDR46" s="1"/>
      <c r="GDS46" s="1"/>
      <c r="GDT46" s="1"/>
      <c r="GDU46" s="1"/>
      <c r="GDV46" s="1"/>
      <c r="GDW46" s="1"/>
      <c r="GDX46" s="1"/>
      <c r="GDY46" s="1"/>
      <c r="GDZ46" s="1"/>
      <c r="GEA46" s="1"/>
      <c r="GEB46" s="1"/>
      <c r="GEC46" s="1"/>
      <c r="GED46" s="1"/>
      <c r="GEE46" s="1"/>
      <c r="GEF46" s="1"/>
      <c r="GEG46" s="1"/>
      <c r="GEH46" s="1"/>
      <c r="GEI46" s="1"/>
      <c r="GEJ46" s="1"/>
      <c r="GEK46" s="1"/>
      <c r="GEL46" s="1"/>
      <c r="GEM46" s="1"/>
      <c r="GEN46" s="1"/>
      <c r="GEO46" s="1"/>
      <c r="GEP46" s="1"/>
      <c r="GEQ46" s="1"/>
      <c r="GER46" s="1"/>
      <c r="GES46" s="1"/>
      <c r="GET46" s="1"/>
      <c r="GEU46" s="1"/>
      <c r="GEV46" s="1"/>
      <c r="GEW46" s="1"/>
      <c r="GEX46" s="1"/>
      <c r="GEY46" s="1"/>
      <c r="GEZ46" s="1"/>
      <c r="GFA46" s="1"/>
      <c r="GFB46" s="1"/>
      <c r="GFC46" s="1"/>
      <c r="GFD46" s="1"/>
      <c r="GFE46" s="1"/>
      <c r="GFF46" s="1"/>
      <c r="GFG46" s="1"/>
      <c r="GFH46" s="1"/>
      <c r="GFI46" s="1"/>
      <c r="GFJ46" s="1"/>
      <c r="GFK46" s="1"/>
      <c r="GFL46" s="1"/>
      <c r="GFM46" s="1"/>
      <c r="GFN46" s="1"/>
      <c r="GFO46" s="1"/>
      <c r="GFP46" s="1"/>
      <c r="GFQ46" s="1"/>
      <c r="GFR46" s="1"/>
      <c r="GFS46" s="1"/>
      <c r="GFT46" s="1"/>
      <c r="GFU46" s="1"/>
      <c r="GFV46" s="1"/>
      <c r="GFW46" s="1"/>
      <c r="GFX46" s="1"/>
      <c r="GFY46" s="1"/>
      <c r="GFZ46" s="1"/>
      <c r="GGA46" s="1"/>
      <c r="GGB46" s="1"/>
      <c r="GGC46" s="1"/>
      <c r="GGD46" s="1"/>
      <c r="GGE46" s="1"/>
      <c r="GGF46" s="1"/>
      <c r="GGG46" s="1"/>
      <c r="GGH46" s="1"/>
      <c r="GGI46" s="1"/>
      <c r="GGJ46" s="1"/>
      <c r="GGK46" s="1"/>
      <c r="GGL46" s="1"/>
      <c r="GGM46" s="1"/>
      <c r="GGN46" s="1"/>
      <c r="GGO46" s="1"/>
      <c r="GGP46" s="1"/>
      <c r="GGQ46" s="1"/>
      <c r="GGR46" s="1"/>
      <c r="GGS46" s="1"/>
      <c r="GGT46" s="1"/>
      <c r="GGU46" s="1"/>
      <c r="GGV46" s="1"/>
      <c r="GGW46" s="1"/>
      <c r="GGX46" s="1"/>
      <c r="GGY46" s="1"/>
      <c r="GGZ46" s="1"/>
      <c r="GHA46" s="1"/>
      <c r="GHB46" s="1"/>
      <c r="GHC46" s="1"/>
      <c r="GHD46" s="1"/>
      <c r="GHE46" s="1"/>
      <c r="GHF46" s="1"/>
      <c r="GHG46" s="1"/>
      <c r="GHH46" s="1"/>
      <c r="GHI46" s="1"/>
      <c r="GHJ46" s="1"/>
      <c r="GHK46" s="1"/>
      <c r="GHL46" s="1"/>
      <c r="GHM46" s="1"/>
      <c r="GHN46" s="1"/>
      <c r="GHO46" s="1"/>
      <c r="GHP46" s="1"/>
      <c r="GHQ46" s="1"/>
      <c r="GHR46" s="1"/>
      <c r="GHS46" s="1"/>
      <c r="GHT46" s="1"/>
      <c r="GHU46" s="1"/>
      <c r="GHV46" s="1"/>
      <c r="GHW46" s="1"/>
      <c r="GHX46" s="1"/>
      <c r="GHY46" s="1"/>
      <c r="GHZ46" s="1"/>
      <c r="GIA46" s="1"/>
      <c r="GIB46" s="1"/>
      <c r="GIC46" s="1"/>
      <c r="GID46" s="1"/>
      <c r="GIE46" s="1"/>
      <c r="GIF46" s="1"/>
      <c r="GIG46" s="1"/>
      <c r="GIH46" s="1"/>
      <c r="GII46" s="1"/>
      <c r="GIJ46" s="1"/>
      <c r="GIK46" s="1"/>
      <c r="GIL46" s="1"/>
      <c r="GIM46" s="1"/>
      <c r="GIN46" s="1"/>
      <c r="GIO46" s="1"/>
      <c r="GIP46" s="1"/>
      <c r="GIQ46" s="1"/>
      <c r="GIR46" s="1"/>
      <c r="GIS46" s="1"/>
      <c r="GIT46" s="1"/>
      <c r="GIU46" s="1"/>
      <c r="GIV46" s="1"/>
      <c r="GIW46" s="1"/>
      <c r="GIX46" s="1"/>
      <c r="GIY46" s="1"/>
      <c r="GIZ46" s="1"/>
      <c r="GJA46" s="1"/>
      <c r="GJB46" s="1"/>
      <c r="GJC46" s="1"/>
      <c r="GJD46" s="1"/>
      <c r="GJE46" s="1"/>
      <c r="GJF46" s="1"/>
      <c r="GJG46" s="1"/>
      <c r="GJH46" s="1"/>
      <c r="GJI46" s="1"/>
      <c r="GJJ46" s="1"/>
      <c r="GJK46" s="1"/>
      <c r="GJL46" s="1"/>
      <c r="GJM46" s="1"/>
      <c r="GJN46" s="1"/>
      <c r="GJO46" s="1"/>
      <c r="GJP46" s="1"/>
      <c r="GJQ46" s="1"/>
      <c r="GJR46" s="1"/>
      <c r="GJS46" s="1"/>
      <c r="GJT46" s="1"/>
      <c r="GJU46" s="1"/>
      <c r="GJV46" s="1"/>
      <c r="GJW46" s="1"/>
      <c r="GJX46" s="1"/>
      <c r="GJY46" s="1"/>
      <c r="GJZ46" s="1"/>
      <c r="GKA46" s="1"/>
      <c r="GKB46" s="1"/>
      <c r="GKC46" s="1"/>
      <c r="GKD46" s="1"/>
      <c r="GKE46" s="1"/>
      <c r="GKF46" s="1"/>
      <c r="GKG46" s="1"/>
      <c r="GKH46" s="1"/>
      <c r="GKI46" s="1"/>
      <c r="GKJ46" s="1"/>
      <c r="GKK46" s="1"/>
      <c r="GKL46" s="1"/>
      <c r="GKM46" s="1"/>
      <c r="GKN46" s="1"/>
      <c r="GKO46" s="1"/>
      <c r="GKP46" s="1"/>
      <c r="GKQ46" s="1"/>
      <c r="GKR46" s="1"/>
      <c r="GKS46" s="1"/>
      <c r="GKT46" s="1"/>
      <c r="GKU46" s="1"/>
      <c r="GKV46" s="1"/>
      <c r="GKW46" s="1"/>
      <c r="GKX46" s="1"/>
      <c r="GKY46" s="1"/>
      <c r="GKZ46" s="1"/>
      <c r="GLA46" s="1"/>
      <c r="GLB46" s="1"/>
      <c r="GLC46" s="1"/>
      <c r="GLD46" s="1"/>
      <c r="GLE46" s="1"/>
      <c r="GLF46" s="1"/>
      <c r="GLG46" s="1"/>
      <c r="GLH46" s="1"/>
      <c r="GLI46" s="1"/>
      <c r="GLJ46" s="1"/>
      <c r="GLK46" s="1"/>
      <c r="GLL46" s="1"/>
      <c r="GLM46" s="1"/>
      <c r="GLN46" s="1"/>
      <c r="GLO46" s="1"/>
      <c r="GLP46" s="1"/>
      <c r="GLQ46" s="1"/>
      <c r="GLR46" s="1"/>
      <c r="GLS46" s="1"/>
      <c r="GLT46" s="1"/>
      <c r="GLU46" s="1"/>
      <c r="GLV46" s="1"/>
      <c r="GLW46" s="1"/>
      <c r="GLX46" s="1"/>
      <c r="GLY46" s="1"/>
      <c r="GLZ46" s="1"/>
      <c r="GMA46" s="1"/>
      <c r="GMB46" s="1"/>
      <c r="GMC46" s="1"/>
      <c r="GMD46" s="1"/>
      <c r="GME46" s="1"/>
      <c r="GMF46" s="1"/>
      <c r="GMG46" s="1"/>
      <c r="GMH46" s="1"/>
      <c r="GMI46" s="1"/>
      <c r="GMJ46" s="1"/>
      <c r="GMK46" s="1"/>
      <c r="GML46" s="1"/>
      <c r="GMM46" s="1"/>
      <c r="GMN46" s="1"/>
      <c r="GMO46" s="1"/>
      <c r="GMP46" s="1"/>
      <c r="GMQ46" s="1"/>
      <c r="GMR46" s="1"/>
      <c r="GMS46" s="1"/>
      <c r="GMT46" s="1"/>
      <c r="GMU46" s="1"/>
      <c r="GMV46" s="1"/>
      <c r="GMW46" s="1"/>
      <c r="GMX46" s="1"/>
      <c r="GMY46" s="1"/>
      <c r="GMZ46" s="1"/>
      <c r="GNA46" s="1"/>
      <c r="GNB46" s="1"/>
      <c r="GNC46" s="1"/>
      <c r="GND46" s="1"/>
      <c r="GNE46" s="1"/>
      <c r="GNF46" s="1"/>
      <c r="GNG46" s="1"/>
      <c r="GNH46" s="1"/>
      <c r="GNI46" s="1"/>
      <c r="GNJ46" s="1"/>
      <c r="GNK46" s="1"/>
      <c r="GNL46" s="1"/>
      <c r="GNM46" s="1"/>
      <c r="GNN46" s="1"/>
      <c r="GNO46" s="1"/>
      <c r="GNP46" s="1"/>
      <c r="GNQ46" s="1"/>
      <c r="GNR46" s="1"/>
      <c r="GNS46" s="1"/>
      <c r="GNT46" s="1"/>
      <c r="GNU46" s="1"/>
      <c r="GNV46" s="1"/>
      <c r="GNW46" s="1"/>
      <c r="GNX46" s="1"/>
      <c r="GNY46" s="1"/>
      <c r="GNZ46" s="1"/>
      <c r="GOA46" s="1"/>
      <c r="GOB46" s="1"/>
      <c r="GOC46" s="1"/>
      <c r="GOD46" s="1"/>
      <c r="GOE46" s="1"/>
      <c r="GOF46" s="1"/>
      <c r="GOG46" s="1"/>
      <c r="GOH46" s="1"/>
      <c r="GOI46" s="1"/>
      <c r="GOJ46" s="1"/>
      <c r="GOK46" s="1"/>
      <c r="GOL46" s="1"/>
      <c r="GOM46" s="1"/>
      <c r="GON46" s="1"/>
      <c r="GOO46" s="1"/>
      <c r="GOP46" s="1"/>
      <c r="GOQ46" s="1"/>
      <c r="GOR46" s="1"/>
      <c r="GOS46" s="1"/>
      <c r="GOT46" s="1"/>
      <c r="GOU46" s="1"/>
      <c r="GOV46" s="1"/>
      <c r="GOW46" s="1"/>
      <c r="GOX46" s="1"/>
      <c r="GOY46" s="1"/>
      <c r="GOZ46" s="1"/>
      <c r="GPA46" s="1"/>
      <c r="GPB46" s="1"/>
      <c r="GPC46" s="1"/>
      <c r="GPD46" s="1"/>
      <c r="GPE46" s="1"/>
      <c r="GPF46" s="1"/>
      <c r="GPG46" s="1"/>
      <c r="GPH46" s="1"/>
      <c r="GPI46" s="1"/>
      <c r="GPJ46" s="1"/>
      <c r="GPK46" s="1"/>
      <c r="GPL46" s="1"/>
      <c r="GPM46" s="1"/>
      <c r="GPN46" s="1"/>
      <c r="GPO46" s="1"/>
      <c r="GPP46" s="1"/>
      <c r="GPQ46" s="1"/>
      <c r="GPR46" s="1"/>
      <c r="GPS46" s="1"/>
      <c r="GPT46" s="1"/>
      <c r="GPU46" s="1"/>
      <c r="GPV46" s="1"/>
      <c r="GPW46" s="1"/>
      <c r="GPX46" s="1"/>
      <c r="GPY46" s="1"/>
      <c r="GPZ46" s="1"/>
      <c r="GQA46" s="1"/>
      <c r="GQB46" s="1"/>
      <c r="GQC46" s="1"/>
      <c r="GQD46" s="1"/>
      <c r="GQE46" s="1"/>
      <c r="GQF46" s="1"/>
      <c r="GQG46" s="1"/>
      <c r="GQH46" s="1"/>
      <c r="GQI46" s="1"/>
      <c r="GQJ46" s="1"/>
      <c r="GQK46" s="1"/>
      <c r="GQL46" s="1"/>
      <c r="GQM46" s="1"/>
      <c r="GQN46" s="1"/>
      <c r="GQO46" s="1"/>
      <c r="GQP46" s="1"/>
      <c r="GQQ46" s="1"/>
      <c r="GQR46" s="1"/>
      <c r="GQS46" s="1"/>
      <c r="GQT46" s="1"/>
      <c r="GQU46" s="1"/>
      <c r="GQV46" s="1"/>
      <c r="GQW46" s="1"/>
      <c r="GQX46" s="1"/>
      <c r="GQY46" s="1"/>
      <c r="GQZ46" s="1"/>
      <c r="GRA46" s="1"/>
      <c r="GRB46" s="1"/>
      <c r="GRC46" s="1"/>
      <c r="GRD46" s="1"/>
      <c r="GRE46" s="1"/>
      <c r="GRF46" s="1"/>
      <c r="GRG46" s="1"/>
      <c r="GRH46" s="1"/>
      <c r="GRI46" s="1"/>
      <c r="GRJ46" s="1"/>
      <c r="GRK46" s="1"/>
      <c r="GRL46" s="1"/>
      <c r="GRM46" s="1"/>
      <c r="GRN46" s="1"/>
      <c r="GRO46" s="1"/>
      <c r="GRP46" s="1"/>
      <c r="GRQ46" s="1"/>
      <c r="GRR46" s="1"/>
      <c r="GRS46" s="1"/>
      <c r="GRT46" s="1"/>
      <c r="GRU46" s="1"/>
      <c r="GRV46" s="1"/>
      <c r="GRW46" s="1"/>
      <c r="GRX46" s="1"/>
      <c r="GRY46" s="1"/>
      <c r="GRZ46" s="1"/>
      <c r="GSA46" s="1"/>
      <c r="GSB46" s="1"/>
      <c r="GSC46" s="1"/>
      <c r="GSD46" s="1"/>
      <c r="GSE46" s="1"/>
      <c r="GSF46" s="1"/>
      <c r="GSG46" s="1"/>
      <c r="GSH46" s="1"/>
      <c r="GSI46" s="1"/>
      <c r="GSJ46" s="1"/>
      <c r="GSK46" s="1"/>
      <c r="GSL46" s="1"/>
      <c r="GSM46" s="1"/>
      <c r="GSN46" s="1"/>
      <c r="GSO46" s="1"/>
      <c r="GSP46" s="1"/>
      <c r="GSQ46" s="1"/>
      <c r="GSR46" s="1"/>
      <c r="GSS46" s="1"/>
      <c r="GST46" s="1"/>
      <c r="GSU46" s="1"/>
      <c r="GSV46" s="1"/>
      <c r="GSW46" s="1"/>
      <c r="GSX46" s="1"/>
      <c r="GSY46" s="1"/>
      <c r="GSZ46" s="1"/>
      <c r="GTA46" s="1"/>
      <c r="GTB46" s="1"/>
      <c r="GTC46" s="1"/>
      <c r="GTD46" s="1"/>
      <c r="GTE46" s="1"/>
      <c r="GTF46" s="1"/>
      <c r="GTG46" s="1"/>
      <c r="GTH46" s="1"/>
      <c r="GTI46" s="1"/>
      <c r="GTJ46" s="1"/>
      <c r="GTK46" s="1"/>
      <c r="GTL46" s="1"/>
      <c r="GTM46" s="1"/>
      <c r="GTN46" s="1"/>
      <c r="GTO46" s="1"/>
      <c r="GTP46" s="1"/>
      <c r="GTQ46" s="1"/>
      <c r="GTR46" s="1"/>
      <c r="GTS46" s="1"/>
      <c r="GTT46" s="1"/>
      <c r="GTU46" s="1"/>
      <c r="GTV46" s="1"/>
      <c r="GTW46" s="1"/>
      <c r="GTX46" s="1"/>
      <c r="GTY46" s="1"/>
      <c r="GTZ46" s="1"/>
      <c r="GUA46" s="1"/>
      <c r="GUB46" s="1"/>
      <c r="GUC46" s="1"/>
      <c r="GUD46" s="1"/>
      <c r="GUE46" s="1"/>
      <c r="GUF46" s="1"/>
      <c r="GUG46" s="1"/>
      <c r="GUH46" s="1"/>
      <c r="GUI46" s="1"/>
      <c r="GUJ46" s="1"/>
      <c r="GUK46" s="1"/>
      <c r="GUL46" s="1"/>
      <c r="GUM46" s="1"/>
      <c r="GUN46" s="1"/>
      <c r="GUO46" s="1"/>
      <c r="GUP46" s="1"/>
      <c r="GUQ46" s="1"/>
      <c r="GUR46" s="1"/>
      <c r="GUS46" s="1"/>
      <c r="GUT46" s="1"/>
      <c r="GUU46" s="1"/>
      <c r="GUV46" s="1"/>
      <c r="GUW46" s="1"/>
      <c r="GUX46" s="1"/>
      <c r="GUY46" s="1"/>
      <c r="GUZ46" s="1"/>
      <c r="GVA46" s="1"/>
      <c r="GVB46" s="1"/>
      <c r="GVC46" s="1"/>
      <c r="GVD46" s="1"/>
      <c r="GVE46" s="1"/>
      <c r="GVF46" s="1"/>
      <c r="GVG46" s="1"/>
      <c r="GVH46" s="1"/>
      <c r="GVI46" s="1"/>
      <c r="GVJ46" s="1"/>
      <c r="GVK46" s="1"/>
      <c r="GVL46" s="1"/>
      <c r="GVM46" s="1"/>
      <c r="GVN46" s="1"/>
      <c r="GVO46" s="1"/>
      <c r="GVP46" s="1"/>
      <c r="GVQ46" s="1"/>
      <c r="GVR46" s="1"/>
      <c r="GVS46" s="1"/>
      <c r="GVT46" s="1"/>
      <c r="GVU46" s="1"/>
      <c r="GVV46" s="1"/>
      <c r="GVW46" s="1"/>
      <c r="GVX46" s="1"/>
      <c r="GVY46" s="1"/>
      <c r="GVZ46" s="1"/>
      <c r="GWA46" s="1"/>
      <c r="GWB46" s="1"/>
      <c r="GWC46" s="1"/>
      <c r="GWD46" s="1"/>
      <c r="GWE46" s="1"/>
      <c r="GWF46" s="1"/>
      <c r="GWG46" s="1"/>
      <c r="GWH46" s="1"/>
      <c r="GWI46" s="1"/>
      <c r="GWJ46" s="1"/>
      <c r="GWK46" s="1"/>
      <c r="GWL46" s="1"/>
      <c r="GWM46" s="1"/>
      <c r="GWN46" s="1"/>
      <c r="GWO46" s="1"/>
      <c r="GWP46" s="1"/>
      <c r="GWQ46" s="1"/>
      <c r="GWR46" s="1"/>
      <c r="GWS46" s="1"/>
      <c r="GWT46" s="1"/>
      <c r="GWU46" s="1"/>
      <c r="GWV46" s="1"/>
      <c r="GWW46" s="1"/>
      <c r="GWX46" s="1"/>
      <c r="GWY46" s="1"/>
      <c r="GWZ46" s="1"/>
      <c r="GXA46" s="1"/>
      <c r="GXB46" s="1"/>
      <c r="GXC46" s="1"/>
      <c r="GXD46" s="1"/>
      <c r="GXE46" s="1"/>
      <c r="GXF46" s="1"/>
      <c r="GXG46" s="1"/>
      <c r="GXH46" s="1"/>
      <c r="GXI46" s="1"/>
      <c r="GXJ46" s="1"/>
      <c r="GXK46" s="1"/>
      <c r="GXL46" s="1"/>
      <c r="GXM46" s="1"/>
      <c r="GXN46" s="1"/>
      <c r="GXO46" s="1"/>
      <c r="GXP46" s="1"/>
      <c r="GXQ46" s="1"/>
      <c r="GXR46" s="1"/>
      <c r="GXS46" s="1"/>
      <c r="GXT46" s="1"/>
      <c r="GXU46" s="1"/>
      <c r="GXV46" s="1"/>
      <c r="GXW46" s="1"/>
      <c r="GXX46" s="1"/>
      <c r="GXY46" s="1"/>
      <c r="GXZ46" s="1"/>
      <c r="GYA46" s="1"/>
      <c r="GYB46" s="1"/>
      <c r="GYC46" s="1"/>
      <c r="GYD46" s="1"/>
      <c r="GYE46" s="1"/>
      <c r="GYF46" s="1"/>
      <c r="GYG46" s="1"/>
      <c r="GYH46" s="1"/>
      <c r="GYI46" s="1"/>
      <c r="GYJ46" s="1"/>
      <c r="GYK46" s="1"/>
      <c r="GYL46" s="1"/>
      <c r="GYM46" s="1"/>
      <c r="GYN46" s="1"/>
      <c r="GYO46" s="1"/>
      <c r="GYP46" s="1"/>
      <c r="GYQ46" s="1"/>
      <c r="GYR46" s="1"/>
      <c r="GYS46" s="1"/>
      <c r="GYT46" s="1"/>
      <c r="GYU46" s="1"/>
      <c r="GYV46" s="1"/>
      <c r="GYW46" s="1"/>
      <c r="GYX46" s="1"/>
      <c r="GYY46" s="1"/>
      <c r="GYZ46" s="1"/>
      <c r="GZA46" s="1"/>
      <c r="GZB46" s="1"/>
      <c r="GZC46" s="1"/>
      <c r="GZD46" s="1"/>
      <c r="GZE46" s="1"/>
      <c r="GZF46" s="1"/>
      <c r="GZG46" s="1"/>
      <c r="GZH46" s="1"/>
      <c r="GZI46" s="1"/>
      <c r="GZJ46" s="1"/>
      <c r="GZK46" s="1"/>
      <c r="GZL46" s="1"/>
      <c r="GZM46" s="1"/>
      <c r="GZN46" s="1"/>
      <c r="GZO46" s="1"/>
      <c r="GZP46" s="1"/>
      <c r="GZQ46" s="1"/>
      <c r="GZR46" s="1"/>
      <c r="GZS46" s="1"/>
      <c r="GZT46" s="1"/>
      <c r="GZU46" s="1"/>
      <c r="GZV46" s="1"/>
      <c r="GZW46" s="1"/>
      <c r="GZX46" s="1"/>
      <c r="GZY46" s="1"/>
      <c r="GZZ46" s="1"/>
      <c r="HAA46" s="1"/>
      <c r="HAB46" s="1"/>
      <c r="HAC46" s="1"/>
      <c r="HAD46" s="1"/>
      <c r="HAE46" s="1"/>
      <c r="HAF46" s="1"/>
      <c r="HAG46" s="1"/>
      <c r="HAH46" s="1"/>
      <c r="HAI46" s="1"/>
      <c r="HAJ46" s="1"/>
      <c r="HAK46" s="1"/>
      <c r="HAL46" s="1"/>
      <c r="HAM46" s="1"/>
      <c r="HAN46" s="1"/>
      <c r="HAO46" s="1"/>
      <c r="HAP46" s="1"/>
      <c r="HAQ46" s="1"/>
      <c r="HAR46" s="1"/>
      <c r="HAS46" s="1"/>
      <c r="HAT46" s="1"/>
      <c r="HAU46" s="1"/>
      <c r="HAV46" s="1"/>
      <c r="HAW46" s="1"/>
      <c r="HAX46" s="1"/>
      <c r="HAY46" s="1"/>
      <c r="HAZ46" s="1"/>
      <c r="HBA46" s="1"/>
      <c r="HBB46" s="1"/>
      <c r="HBC46" s="1"/>
      <c r="HBD46" s="1"/>
      <c r="HBE46" s="1"/>
      <c r="HBF46" s="1"/>
      <c r="HBG46" s="1"/>
      <c r="HBH46" s="1"/>
      <c r="HBI46" s="1"/>
      <c r="HBJ46" s="1"/>
      <c r="HBK46" s="1"/>
      <c r="HBL46" s="1"/>
      <c r="HBM46" s="1"/>
      <c r="HBN46" s="1"/>
      <c r="HBO46" s="1"/>
      <c r="HBP46" s="1"/>
      <c r="HBQ46" s="1"/>
      <c r="HBR46" s="1"/>
      <c r="HBS46" s="1"/>
      <c r="HBT46" s="1"/>
      <c r="HBU46" s="1"/>
      <c r="HBV46" s="1"/>
      <c r="HBW46" s="1"/>
      <c r="HBX46" s="1"/>
      <c r="HBY46" s="1"/>
      <c r="HBZ46" s="1"/>
      <c r="HCA46" s="1"/>
      <c r="HCB46" s="1"/>
      <c r="HCC46" s="1"/>
      <c r="HCD46" s="1"/>
      <c r="HCE46" s="1"/>
      <c r="HCF46" s="1"/>
      <c r="HCG46" s="1"/>
      <c r="HCH46" s="1"/>
      <c r="HCI46" s="1"/>
      <c r="HCJ46" s="1"/>
      <c r="HCK46" s="1"/>
      <c r="HCL46" s="1"/>
      <c r="HCM46" s="1"/>
      <c r="HCN46" s="1"/>
      <c r="HCO46" s="1"/>
      <c r="HCP46" s="1"/>
      <c r="HCQ46" s="1"/>
      <c r="HCR46" s="1"/>
      <c r="HCS46" s="1"/>
      <c r="HCT46" s="1"/>
      <c r="HCU46" s="1"/>
      <c r="HCV46" s="1"/>
      <c r="HCW46" s="1"/>
      <c r="HCX46" s="1"/>
      <c r="HCY46" s="1"/>
      <c r="HCZ46" s="1"/>
      <c r="HDA46" s="1"/>
      <c r="HDB46" s="1"/>
      <c r="HDC46" s="1"/>
      <c r="HDD46" s="1"/>
      <c r="HDE46" s="1"/>
      <c r="HDF46" s="1"/>
      <c r="HDG46" s="1"/>
      <c r="HDH46" s="1"/>
      <c r="HDI46" s="1"/>
      <c r="HDJ46" s="1"/>
      <c r="HDK46" s="1"/>
      <c r="HDL46" s="1"/>
      <c r="HDM46" s="1"/>
      <c r="HDN46" s="1"/>
      <c r="HDO46" s="1"/>
      <c r="HDP46" s="1"/>
      <c r="HDQ46" s="1"/>
      <c r="HDR46" s="1"/>
      <c r="HDS46" s="1"/>
      <c r="HDT46" s="1"/>
      <c r="HDU46" s="1"/>
      <c r="HDV46" s="1"/>
      <c r="HDW46" s="1"/>
      <c r="HDX46" s="1"/>
      <c r="HDY46" s="1"/>
      <c r="HDZ46" s="1"/>
      <c r="HEA46" s="1"/>
      <c r="HEB46" s="1"/>
      <c r="HEC46" s="1"/>
      <c r="HED46" s="1"/>
      <c r="HEE46" s="1"/>
      <c r="HEF46" s="1"/>
      <c r="HEG46" s="1"/>
      <c r="HEH46" s="1"/>
      <c r="HEI46" s="1"/>
      <c r="HEJ46" s="1"/>
      <c r="HEK46" s="1"/>
      <c r="HEL46" s="1"/>
      <c r="HEM46" s="1"/>
      <c r="HEN46" s="1"/>
      <c r="HEO46" s="1"/>
      <c r="HEP46" s="1"/>
      <c r="HEQ46" s="1"/>
      <c r="HER46" s="1"/>
      <c r="HES46" s="1"/>
      <c r="HET46" s="1"/>
      <c r="HEU46" s="1"/>
      <c r="HEV46" s="1"/>
      <c r="HEW46" s="1"/>
      <c r="HEX46" s="1"/>
      <c r="HEY46" s="1"/>
      <c r="HEZ46" s="1"/>
      <c r="HFA46" s="1"/>
      <c r="HFB46" s="1"/>
      <c r="HFC46" s="1"/>
      <c r="HFD46" s="1"/>
      <c r="HFE46" s="1"/>
      <c r="HFF46" s="1"/>
      <c r="HFG46" s="1"/>
      <c r="HFH46" s="1"/>
      <c r="HFI46" s="1"/>
      <c r="HFJ46" s="1"/>
      <c r="HFK46" s="1"/>
      <c r="HFL46" s="1"/>
      <c r="HFM46" s="1"/>
      <c r="HFN46" s="1"/>
      <c r="HFO46" s="1"/>
      <c r="HFP46" s="1"/>
      <c r="HFQ46" s="1"/>
      <c r="HFR46" s="1"/>
      <c r="HFS46" s="1"/>
      <c r="HFT46" s="1"/>
      <c r="HFU46" s="1"/>
      <c r="HFV46" s="1"/>
      <c r="HFW46" s="1"/>
      <c r="HFX46" s="1"/>
      <c r="HFY46" s="1"/>
      <c r="HFZ46" s="1"/>
      <c r="HGA46" s="1"/>
      <c r="HGB46" s="1"/>
      <c r="HGC46" s="1"/>
      <c r="HGD46" s="1"/>
      <c r="HGE46" s="1"/>
      <c r="HGF46" s="1"/>
      <c r="HGG46" s="1"/>
      <c r="HGH46" s="1"/>
      <c r="HGI46" s="1"/>
      <c r="HGJ46" s="1"/>
      <c r="HGK46" s="1"/>
      <c r="HGL46" s="1"/>
      <c r="HGM46" s="1"/>
      <c r="HGN46" s="1"/>
      <c r="HGO46" s="1"/>
      <c r="HGP46" s="1"/>
      <c r="HGQ46" s="1"/>
      <c r="HGR46" s="1"/>
      <c r="HGS46" s="1"/>
      <c r="HGT46" s="1"/>
      <c r="HGU46" s="1"/>
      <c r="HGV46" s="1"/>
      <c r="HGW46" s="1"/>
      <c r="HGX46" s="1"/>
      <c r="HGY46" s="1"/>
      <c r="HGZ46" s="1"/>
      <c r="HHA46" s="1"/>
      <c r="HHB46" s="1"/>
      <c r="HHC46" s="1"/>
      <c r="HHD46" s="1"/>
      <c r="HHE46" s="1"/>
      <c r="HHF46" s="1"/>
      <c r="HHG46" s="1"/>
      <c r="HHH46" s="1"/>
      <c r="HHI46" s="1"/>
      <c r="HHJ46" s="1"/>
      <c r="HHK46" s="1"/>
      <c r="HHL46" s="1"/>
      <c r="HHM46" s="1"/>
      <c r="HHN46" s="1"/>
      <c r="HHO46" s="1"/>
      <c r="HHP46" s="1"/>
      <c r="HHQ46" s="1"/>
      <c r="HHR46" s="1"/>
      <c r="HHS46" s="1"/>
      <c r="HHT46" s="1"/>
      <c r="HHU46" s="1"/>
      <c r="HHV46" s="1"/>
      <c r="HHW46" s="1"/>
      <c r="HHX46" s="1"/>
      <c r="HHY46" s="1"/>
      <c r="HHZ46" s="1"/>
      <c r="HIA46" s="1"/>
      <c r="HIB46" s="1"/>
      <c r="HIC46" s="1"/>
      <c r="HID46" s="1"/>
      <c r="HIE46" s="1"/>
      <c r="HIF46" s="1"/>
      <c r="HIG46" s="1"/>
      <c r="HIH46" s="1"/>
      <c r="HII46" s="1"/>
      <c r="HIJ46" s="1"/>
      <c r="HIK46" s="1"/>
      <c r="HIL46" s="1"/>
      <c r="HIM46" s="1"/>
      <c r="HIN46" s="1"/>
      <c r="HIO46" s="1"/>
      <c r="HIP46" s="1"/>
      <c r="HIQ46" s="1"/>
      <c r="HIR46" s="1"/>
      <c r="HIS46" s="1"/>
      <c r="HIT46" s="1"/>
      <c r="HIU46" s="1"/>
      <c r="HIV46" s="1"/>
      <c r="HIW46" s="1"/>
      <c r="HIX46" s="1"/>
      <c r="HIY46" s="1"/>
      <c r="HIZ46" s="1"/>
      <c r="HJA46" s="1"/>
      <c r="HJB46" s="1"/>
      <c r="HJC46" s="1"/>
      <c r="HJD46" s="1"/>
      <c r="HJE46" s="1"/>
      <c r="HJF46" s="1"/>
      <c r="HJG46" s="1"/>
      <c r="HJH46" s="1"/>
      <c r="HJI46" s="1"/>
      <c r="HJJ46" s="1"/>
      <c r="HJK46" s="1"/>
      <c r="HJL46" s="1"/>
      <c r="HJM46" s="1"/>
      <c r="HJN46" s="1"/>
      <c r="HJO46" s="1"/>
      <c r="HJP46" s="1"/>
      <c r="HJQ46" s="1"/>
      <c r="HJR46" s="1"/>
      <c r="HJS46" s="1"/>
      <c r="HJT46" s="1"/>
      <c r="HJU46" s="1"/>
      <c r="HJV46" s="1"/>
      <c r="HJW46" s="1"/>
      <c r="HJX46" s="1"/>
      <c r="HJY46" s="1"/>
      <c r="HJZ46" s="1"/>
      <c r="HKA46" s="1"/>
      <c r="HKB46" s="1"/>
      <c r="HKC46" s="1"/>
      <c r="HKD46" s="1"/>
      <c r="HKE46" s="1"/>
      <c r="HKF46" s="1"/>
      <c r="HKG46" s="1"/>
      <c r="HKH46" s="1"/>
      <c r="HKI46" s="1"/>
      <c r="HKJ46" s="1"/>
      <c r="HKK46" s="1"/>
      <c r="HKL46" s="1"/>
      <c r="HKM46" s="1"/>
      <c r="HKN46" s="1"/>
      <c r="HKO46" s="1"/>
      <c r="HKP46" s="1"/>
      <c r="HKQ46" s="1"/>
      <c r="HKR46" s="1"/>
      <c r="HKS46" s="1"/>
      <c r="HKT46" s="1"/>
      <c r="HKU46" s="1"/>
      <c r="HKV46" s="1"/>
      <c r="HKW46" s="1"/>
      <c r="HKX46" s="1"/>
      <c r="HKY46" s="1"/>
      <c r="HKZ46" s="1"/>
      <c r="HLA46" s="1"/>
      <c r="HLB46" s="1"/>
      <c r="HLC46" s="1"/>
      <c r="HLD46" s="1"/>
      <c r="HLE46" s="1"/>
      <c r="HLF46" s="1"/>
      <c r="HLG46" s="1"/>
      <c r="HLH46" s="1"/>
      <c r="HLI46" s="1"/>
      <c r="HLJ46" s="1"/>
      <c r="HLK46" s="1"/>
      <c r="HLL46" s="1"/>
      <c r="HLM46" s="1"/>
      <c r="HLN46" s="1"/>
      <c r="HLO46" s="1"/>
      <c r="HLP46" s="1"/>
      <c r="HLQ46" s="1"/>
      <c r="HLR46" s="1"/>
      <c r="HLS46" s="1"/>
      <c r="HLT46" s="1"/>
      <c r="HLU46" s="1"/>
      <c r="HLV46" s="1"/>
      <c r="HLW46" s="1"/>
      <c r="HLX46" s="1"/>
      <c r="HLY46" s="1"/>
      <c r="HLZ46" s="1"/>
      <c r="HMA46" s="1"/>
      <c r="HMB46" s="1"/>
      <c r="HMC46" s="1"/>
      <c r="HMD46" s="1"/>
      <c r="HME46" s="1"/>
      <c r="HMF46" s="1"/>
      <c r="HMG46" s="1"/>
      <c r="HMH46" s="1"/>
      <c r="HMI46" s="1"/>
      <c r="HMJ46" s="1"/>
      <c r="HMK46" s="1"/>
      <c r="HML46" s="1"/>
      <c r="HMM46" s="1"/>
      <c r="HMN46" s="1"/>
      <c r="HMO46" s="1"/>
      <c r="HMP46" s="1"/>
      <c r="HMQ46" s="1"/>
      <c r="HMR46" s="1"/>
      <c r="HMS46" s="1"/>
      <c r="HMT46" s="1"/>
      <c r="HMU46" s="1"/>
      <c r="HMV46" s="1"/>
      <c r="HMW46" s="1"/>
      <c r="HMX46" s="1"/>
      <c r="HMY46" s="1"/>
      <c r="HMZ46" s="1"/>
      <c r="HNA46" s="1"/>
      <c r="HNB46" s="1"/>
      <c r="HNC46" s="1"/>
      <c r="HND46" s="1"/>
      <c r="HNE46" s="1"/>
      <c r="HNF46" s="1"/>
      <c r="HNG46" s="1"/>
      <c r="HNH46" s="1"/>
      <c r="HNI46" s="1"/>
      <c r="HNJ46" s="1"/>
      <c r="HNK46" s="1"/>
      <c r="HNL46" s="1"/>
      <c r="HNM46" s="1"/>
      <c r="HNN46" s="1"/>
      <c r="HNO46" s="1"/>
      <c r="HNP46" s="1"/>
      <c r="HNQ46" s="1"/>
      <c r="HNR46" s="1"/>
      <c r="HNS46" s="1"/>
      <c r="HNT46" s="1"/>
      <c r="HNU46" s="1"/>
      <c r="HNV46" s="1"/>
      <c r="HNW46" s="1"/>
      <c r="HNX46" s="1"/>
      <c r="HNY46" s="1"/>
      <c r="HNZ46" s="1"/>
      <c r="HOA46" s="1"/>
      <c r="HOB46" s="1"/>
      <c r="HOC46" s="1"/>
      <c r="HOD46" s="1"/>
      <c r="HOE46" s="1"/>
      <c r="HOF46" s="1"/>
      <c r="HOG46" s="1"/>
      <c r="HOH46" s="1"/>
      <c r="HOI46" s="1"/>
      <c r="HOJ46" s="1"/>
      <c r="HOK46" s="1"/>
      <c r="HOL46" s="1"/>
      <c r="HOM46" s="1"/>
      <c r="HON46" s="1"/>
      <c r="HOO46" s="1"/>
      <c r="HOP46" s="1"/>
      <c r="HOQ46" s="1"/>
      <c r="HOR46" s="1"/>
      <c r="HOS46" s="1"/>
      <c r="HOT46" s="1"/>
      <c r="HOU46" s="1"/>
      <c r="HOV46" s="1"/>
      <c r="HOW46" s="1"/>
      <c r="HOX46" s="1"/>
      <c r="HOY46" s="1"/>
      <c r="HOZ46" s="1"/>
      <c r="HPA46" s="1"/>
      <c r="HPB46" s="1"/>
      <c r="HPC46" s="1"/>
      <c r="HPD46" s="1"/>
      <c r="HPE46" s="1"/>
      <c r="HPF46" s="1"/>
      <c r="HPG46" s="1"/>
      <c r="HPH46" s="1"/>
      <c r="HPI46" s="1"/>
      <c r="HPJ46" s="1"/>
      <c r="HPK46" s="1"/>
      <c r="HPL46" s="1"/>
      <c r="HPM46" s="1"/>
      <c r="HPN46" s="1"/>
      <c r="HPO46" s="1"/>
      <c r="HPP46" s="1"/>
      <c r="HPQ46" s="1"/>
      <c r="HPR46" s="1"/>
      <c r="HPS46" s="1"/>
      <c r="HPT46" s="1"/>
      <c r="HPU46" s="1"/>
      <c r="HPV46" s="1"/>
      <c r="HPW46" s="1"/>
      <c r="HPX46" s="1"/>
      <c r="HPY46" s="1"/>
      <c r="HPZ46" s="1"/>
      <c r="HQA46" s="1"/>
      <c r="HQB46" s="1"/>
      <c r="HQC46" s="1"/>
      <c r="HQD46" s="1"/>
      <c r="HQE46" s="1"/>
      <c r="HQF46" s="1"/>
      <c r="HQG46" s="1"/>
      <c r="HQH46" s="1"/>
      <c r="HQI46" s="1"/>
      <c r="HQJ46" s="1"/>
      <c r="HQK46" s="1"/>
      <c r="HQL46" s="1"/>
      <c r="HQM46" s="1"/>
      <c r="HQN46" s="1"/>
      <c r="HQO46" s="1"/>
      <c r="HQP46" s="1"/>
      <c r="HQQ46" s="1"/>
      <c r="HQR46" s="1"/>
      <c r="HQS46" s="1"/>
      <c r="HQT46" s="1"/>
      <c r="HQU46" s="1"/>
      <c r="HQV46" s="1"/>
      <c r="HQW46" s="1"/>
      <c r="HQX46" s="1"/>
      <c r="HQY46" s="1"/>
      <c r="HQZ46" s="1"/>
      <c r="HRA46" s="1"/>
      <c r="HRB46" s="1"/>
      <c r="HRC46" s="1"/>
      <c r="HRD46" s="1"/>
      <c r="HRE46" s="1"/>
      <c r="HRF46" s="1"/>
      <c r="HRG46" s="1"/>
      <c r="HRH46" s="1"/>
      <c r="HRI46" s="1"/>
      <c r="HRJ46" s="1"/>
      <c r="HRK46" s="1"/>
      <c r="HRL46" s="1"/>
      <c r="HRM46" s="1"/>
      <c r="HRN46" s="1"/>
      <c r="HRO46" s="1"/>
      <c r="HRP46" s="1"/>
      <c r="HRQ46" s="1"/>
      <c r="HRR46" s="1"/>
      <c r="HRS46" s="1"/>
      <c r="HRT46" s="1"/>
      <c r="HRU46" s="1"/>
      <c r="HRV46" s="1"/>
      <c r="HRW46" s="1"/>
      <c r="HRX46" s="1"/>
      <c r="HRY46" s="1"/>
      <c r="HRZ46" s="1"/>
      <c r="HSA46" s="1"/>
      <c r="HSB46" s="1"/>
      <c r="HSC46" s="1"/>
      <c r="HSD46" s="1"/>
      <c r="HSE46" s="1"/>
      <c r="HSF46" s="1"/>
      <c r="HSG46" s="1"/>
      <c r="HSH46" s="1"/>
      <c r="HSI46" s="1"/>
      <c r="HSJ46" s="1"/>
      <c r="HSK46" s="1"/>
      <c r="HSL46" s="1"/>
      <c r="HSM46" s="1"/>
      <c r="HSN46" s="1"/>
      <c r="HSO46" s="1"/>
      <c r="HSP46" s="1"/>
      <c r="HSQ46" s="1"/>
      <c r="HSR46" s="1"/>
      <c r="HSS46" s="1"/>
      <c r="HST46" s="1"/>
      <c r="HSU46" s="1"/>
      <c r="HSV46" s="1"/>
      <c r="HSW46" s="1"/>
      <c r="HSX46" s="1"/>
      <c r="HSY46" s="1"/>
      <c r="HSZ46" s="1"/>
      <c r="HTA46" s="1"/>
      <c r="HTB46" s="1"/>
      <c r="HTC46" s="1"/>
      <c r="HTD46" s="1"/>
      <c r="HTE46" s="1"/>
      <c r="HTF46" s="1"/>
      <c r="HTG46" s="1"/>
      <c r="HTH46" s="1"/>
      <c r="HTI46" s="1"/>
      <c r="HTJ46" s="1"/>
      <c r="HTK46" s="1"/>
      <c r="HTL46" s="1"/>
      <c r="HTM46" s="1"/>
      <c r="HTN46" s="1"/>
      <c r="HTO46" s="1"/>
      <c r="HTP46" s="1"/>
      <c r="HTQ46" s="1"/>
      <c r="HTR46" s="1"/>
      <c r="HTS46" s="1"/>
      <c r="HTT46" s="1"/>
      <c r="HTU46" s="1"/>
      <c r="HTV46" s="1"/>
      <c r="HTW46" s="1"/>
      <c r="HTX46" s="1"/>
      <c r="HTY46" s="1"/>
      <c r="HTZ46" s="1"/>
      <c r="HUA46" s="1"/>
      <c r="HUB46" s="1"/>
      <c r="HUC46" s="1"/>
      <c r="HUD46" s="1"/>
      <c r="HUE46" s="1"/>
      <c r="HUF46" s="1"/>
      <c r="HUG46" s="1"/>
      <c r="HUH46" s="1"/>
      <c r="HUI46" s="1"/>
      <c r="HUJ46" s="1"/>
      <c r="HUK46" s="1"/>
      <c r="HUL46" s="1"/>
      <c r="HUM46" s="1"/>
      <c r="HUN46" s="1"/>
      <c r="HUO46" s="1"/>
      <c r="HUP46" s="1"/>
      <c r="HUQ46" s="1"/>
      <c r="HUR46" s="1"/>
      <c r="HUS46" s="1"/>
      <c r="HUT46" s="1"/>
      <c r="HUU46" s="1"/>
      <c r="HUV46" s="1"/>
      <c r="HUW46" s="1"/>
      <c r="HUX46" s="1"/>
      <c r="HUY46" s="1"/>
      <c r="HUZ46" s="1"/>
      <c r="HVA46" s="1"/>
      <c r="HVB46" s="1"/>
      <c r="HVC46" s="1"/>
      <c r="HVD46" s="1"/>
      <c r="HVE46" s="1"/>
      <c r="HVF46" s="1"/>
      <c r="HVG46" s="1"/>
      <c r="HVH46" s="1"/>
      <c r="HVI46" s="1"/>
      <c r="HVJ46" s="1"/>
      <c r="HVK46" s="1"/>
      <c r="HVL46" s="1"/>
      <c r="HVM46" s="1"/>
      <c r="HVN46" s="1"/>
      <c r="HVO46" s="1"/>
      <c r="HVP46" s="1"/>
      <c r="HVQ46" s="1"/>
      <c r="HVR46" s="1"/>
      <c r="HVS46" s="1"/>
      <c r="HVT46" s="1"/>
      <c r="HVU46" s="1"/>
      <c r="HVV46" s="1"/>
      <c r="HVW46" s="1"/>
      <c r="HVX46" s="1"/>
      <c r="HVY46" s="1"/>
      <c r="HVZ46" s="1"/>
      <c r="HWA46" s="1"/>
      <c r="HWB46" s="1"/>
      <c r="HWC46" s="1"/>
      <c r="HWD46" s="1"/>
      <c r="HWE46" s="1"/>
      <c r="HWF46" s="1"/>
      <c r="HWG46" s="1"/>
      <c r="HWH46" s="1"/>
      <c r="HWI46" s="1"/>
      <c r="HWJ46" s="1"/>
      <c r="HWK46" s="1"/>
      <c r="HWL46" s="1"/>
      <c r="HWM46" s="1"/>
      <c r="HWN46" s="1"/>
      <c r="HWO46" s="1"/>
      <c r="HWP46" s="1"/>
      <c r="HWQ46" s="1"/>
      <c r="HWR46" s="1"/>
      <c r="HWS46" s="1"/>
      <c r="HWT46" s="1"/>
      <c r="HWU46" s="1"/>
      <c r="HWV46" s="1"/>
      <c r="HWW46" s="1"/>
      <c r="HWX46" s="1"/>
      <c r="HWY46" s="1"/>
      <c r="HWZ46" s="1"/>
      <c r="HXA46" s="1"/>
      <c r="HXB46" s="1"/>
      <c r="HXC46" s="1"/>
      <c r="HXD46" s="1"/>
      <c r="HXE46" s="1"/>
      <c r="HXF46" s="1"/>
      <c r="HXG46" s="1"/>
      <c r="HXH46" s="1"/>
      <c r="HXI46" s="1"/>
      <c r="HXJ46" s="1"/>
      <c r="HXK46" s="1"/>
      <c r="HXL46" s="1"/>
      <c r="HXM46" s="1"/>
      <c r="HXN46" s="1"/>
      <c r="HXO46" s="1"/>
      <c r="HXP46" s="1"/>
      <c r="HXQ46" s="1"/>
      <c r="HXR46" s="1"/>
      <c r="HXS46" s="1"/>
      <c r="HXT46" s="1"/>
      <c r="HXU46" s="1"/>
      <c r="HXV46" s="1"/>
      <c r="HXW46" s="1"/>
      <c r="HXX46" s="1"/>
      <c r="HXY46" s="1"/>
      <c r="HXZ46" s="1"/>
      <c r="HYA46" s="1"/>
      <c r="HYB46" s="1"/>
      <c r="HYC46" s="1"/>
      <c r="HYD46" s="1"/>
      <c r="HYE46" s="1"/>
      <c r="HYF46" s="1"/>
      <c r="HYG46" s="1"/>
      <c r="HYH46" s="1"/>
      <c r="HYI46" s="1"/>
      <c r="HYJ46" s="1"/>
      <c r="HYK46" s="1"/>
      <c r="HYL46" s="1"/>
      <c r="HYM46" s="1"/>
      <c r="HYN46" s="1"/>
      <c r="HYO46" s="1"/>
      <c r="HYP46" s="1"/>
      <c r="HYQ46" s="1"/>
      <c r="HYR46" s="1"/>
      <c r="HYS46" s="1"/>
      <c r="HYT46" s="1"/>
      <c r="HYU46" s="1"/>
      <c r="HYV46" s="1"/>
      <c r="HYW46" s="1"/>
      <c r="HYX46" s="1"/>
      <c r="HYY46" s="1"/>
      <c r="HYZ46" s="1"/>
      <c r="HZA46" s="1"/>
      <c r="HZB46" s="1"/>
      <c r="HZC46" s="1"/>
      <c r="HZD46" s="1"/>
      <c r="HZE46" s="1"/>
      <c r="HZF46" s="1"/>
      <c r="HZG46" s="1"/>
      <c r="HZH46" s="1"/>
      <c r="HZI46" s="1"/>
      <c r="HZJ46" s="1"/>
      <c r="HZK46" s="1"/>
      <c r="HZL46" s="1"/>
      <c r="HZM46" s="1"/>
      <c r="HZN46" s="1"/>
      <c r="HZO46" s="1"/>
      <c r="HZP46" s="1"/>
      <c r="HZQ46" s="1"/>
      <c r="HZR46" s="1"/>
      <c r="HZS46" s="1"/>
      <c r="HZT46" s="1"/>
      <c r="HZU46" s="1"/>
      <c r="HZV46" s="1"/>
      <c r="HZW46" s="1"/>
      <c r="HZX46" s="1"/>
      <c r="HZY46" s="1"/>
      <c r="HZZ46" s="1"/>
      <c r="IAA46" s="1"/>
      <c r="IAB46" s="1"/>
      <c r="IAC46" s="1"/>
      <c r="IAD46" s="1"/>
      <c r="IAE46" s="1"/>
      <c r="IAF46" s="1"/>
      <c r="IAG46" s="1"/>
      <c r="IAH46" s="1"/>
      <c r="IAI46" s="1"/>
      <c r="IAJ46" s="1"/>
      <c r="IAK46" s="1"/>
      <c r="IAL46" s="1"/>
      <c r="IAM46" s="1"/>
      <c r="IAN46" s="1"/>
      <c r="IAO46" s="1"/>
      <c r="IAP46" s="1"/>
      <c r="IAQ46" s="1"/>
      <c r="IAR46" s="1"/>
      <c r="IAS46" s="1"/>
      <c r="IAT46" s="1"/>
      <c r="IAU46" s="1"/>
      <c r="IAV46" s="1"/>
      <c r="IAW46" s="1"/>
      <c r="IAX46" s="1"/>
      <c r="IAY46" s="1"/>
      <c r="IAZ46" s="1"/>
      <c r="IBA46" s="1"/>
      <c r="IBB46" s="1"/>
      <c r="IBC46" s="1"/>
      <c r="IBD46" s="1"/>
      <c r="IBE46" s="1"/>
      <c r="IBF46" s="1"/>
      <c r="IBG46" s="1"/>
      <c r="IBH46" s="1"/>
      <c r="IBI46" s="1"/>
      <c r="IBJ46" s="1"/>
      <c r="IBK46" s="1"/>
      <c r="IBL46" s="1"/>
      <c r="IBM46" s="1"/>
      <c r="IBN46" s="1"/>
      <c r="IBO46" s="1"/>
      <c r="IBP46" s="1"/>
      <c r="IBQ46" s="1"/>
      <c r="IBR46" s="1"/>
      <c r="IBS46" s="1"/>
      <c r="IBT46" s="1"/>
      <c r="IBU46" s="1"/>
      <c r="IBV46" s="1"/>
      <c r="IBW46" s="1"/>
      <c r="IBX46" s="1"/>
      <c r="IBY46" s="1"/>
      <c r="IBZ46" s="1"/>
      <c r="ICA46" s="1"/>
      <c r="ICB46" s="1"/>
      <c r="ICC46" s="1"/>
      <c r="ICD46" s="1"/>
      <c r="ICE46" s="1"/>
      <c r="ICF46" s="1"/>
      <c r="ICG46" s="1"/>
      <c r="ICH46" s="1"/>
      <c r="ICI46" s="1"/>
      <c r="ICJ46" s="1"/>
      <c r="ICK46" s="1"/>
      <c r="ICL46" s="1"/>
      <c r="ICM46" s="1"/>
      <c r="ICN46" s="1"/>
      <c r="ICO46" s="1"/>
      <c r="ICP46" s="1"/>
      <c r="ICQ46" s="1"/>
      <c r="ICR46" s="1"/>
      <c r="ICS46" s="1"/>
      <c r="ICT46" s="1"/>
      <c r="ICU46" s="1"/>
      <c r="ICV46" s="1"/>
      <c r="ICW46" s="1"/>
      <c r="ICX46" s="1"/>
      <c r="ICY46" s="1"/>
      <c r="ICZ46" s="1"/>
      <c r="IDA46" s="1"/>
      <c r="IDB46" s="1"/>
      <c r="IDC46" s="1"/>
      <c r="IDD46" s="1"/>
      <c r="IDE46" s="1"/>
      <c r="IDF46" s="1"/>
      <c r="IDG46" s="1"/>
      <c r="IDH46" s="1"/>
      <c r="IDI46" s="1"/>
      <c r="IDJ46" s="1"/>
      <c r="IDK46" s="1"/>
      <c r="IDL46" s="1"/>
      <c r="IDM46" s="1"/>
      <c r="IDN46" s="1"/>
      <c r="IDO46" s="1"/>
      <c r="IDP46" s="1"/>
      <c r="IDQ46" s="1"/>
      <c r="IDR46" s="1"/>
      <c r="IDS46" s="1"/>
      <c r="IDT46" s="1"/>
      <c r="IDU46" s="1"/>
      <c r="IDV46" s="1"/>
      <c r="IDW46" s="1"/>
      <c r="IDX46" s="1"/>
      <c r="IDY46" s="1"/>
      <c r="IDZ46" s="1"/>
      <c r="IEA46" s="1"/>
      <c r="IEB46" s="1"/>
      <c r="IEC46" s="1"/>
      <c r="IED46" s="1"/>
      <c r="IEE46" s="1"/>
      <c r="IEF46" s="1"/>
      <c r="IEG46" s="1"/>
      <c r="IEH46" s="1"/>
      <c r="IEI46" s="1"/>
      <c r="IEJ46" s="1"/>
      <c r="IEK46" s="1"/>
      <c r="IEL46" s="1"/>
      <c r="IEM46" s="1"/>
      <c r="IEN46" s="1"/>
      <c r="IEO46" s="1"/>
      <c r="IEP46" s="1"/>
      <c r="IEQ46" s="1"/>
      <c r="IER46" s="1"/>
      <c r="IES46" s="1"/>
      <c r="IET46" s="1"/>
      <c r="IEU46" s="1"/>
      <c r="IEV46" s="1"/>
      <c r="IEW46" s="1"/>
      <c r="IEX46" s="1"/>
      <c r="IEY46" s="1"/>
      <c r="IEZ46" s="1"/>
      <c r="IFA46" s="1"/>
      <c r="IFB46" s="1"/>
      <c r="IFC46" s="1"/>
      <c r="IFD46" s="1"/>
      <c r="IFE46" s="1"/>
      <c r="IFF46" s="1"/>
      <c r="IFG46" s="1"/>
      <c r="IFH46" s="1"/>
      <c r="IFI46" s="1"/>
      <c r="IFJ46" s="1"/>
      <c r="IFK46" s="1"/>
      <c r="IFL46" s="1"/>
      <c r="IFM46" s="1"/>
      <c r="IFN46" s="1"/>
      <c r="IFO46" s="1"/>
      <c r="IFP46" s="1"/>
      <c r="IFQ46" s="1"/>
      <c r="IFR46" s="1"/>
      <c r="IFS46" s="1"/>
      <c r="IFT46" s="1"/>
      <c r="IFU46" s="1"/>
      <c r="IFV46" s="1"/>
      <c r="IFW46" s="1"/>
      <c r="IFX46" s="1"/>
      <c r="IFY46" s="1"/>
      <c r="IFZ46" s="1"/>
      <c r="IGA46" s="1"/>
      <c r="IGB46" s="1"/>
      <c r="IGC46" s="1"/>
      <c r="IGD46" s="1"/>
      <c r="IGE46" s="1"/>
      <c r="IGF46" s="1"/>
      <c r="IGG46" s="1"/>
      <c r="IGH46" s="1"/>
      <c r="IGI46" s="1"/>
      <c r="IGJ46" s="1"/>
      <c r="IGK46" s="1"/>
      <c r="IGL46" s="1"/>
      <c r="IGM46" s="1"/>
      <c r="IGN46" s="1"/>
      <c r="IGO46" s="1"/>
      <c r="IGP46" s="1"/>
      <c r="IGQ46" s="1"/>
      <c r="IGR46" s="1"/>
      <c r="IGS46" s="1"/>
      <c r="IGT46" s="1"/>
      <c r="IGU46" s="1"/>
      <c r="IGV46" s="1"/>
      <c r="IGW46" s="1"/>
      <c r="IGX46" s="1"/>
      <c r="IGY46" s="1"/>
      <c r="IGZ46" s="1"/>
      <c r="IHA46" s="1"/>
      <c r="IHB46" s="1"/>
      <c r="IHC46" s="1"/>
      <c r="IHD46" s="1"/>
      <c r="IHE46" s="1"/>
      <c r="IHF46" s="1"/>
      <c r="IHG46" s="1"/>
      <c r="IHH46" s="1"/>
      <c r="IHI46" s="1"/>
      <c r="IHJ46" s="1"/>
      <c r="IHK46" s="1"/>
      <c r="IHL46" s="1"/>
      <c r="IHM46" s="1"/>
      <c r="IHN46" s="1"/>
      <c r="IHO46" s="1"/>
      <c r="IHP46" s="1"/>
      <c r="IHQ46" s="1"/>
      <c r="IHR46" s="1"/>
      <c r="IHS46" s="1"/>
      <c r="IHT46" s="1"/>
      <c r="IHU46" s="1"/>
      <c r="IHV46" s="1"/>
      <c r="IHW46" s="1"/>
      <c r="IHX46" s="1"/>
      <c r="IHY46" s="1"/>
      <c r="IHZ46" s="1"/>
      <c r="IIA46" s="1"/>
      <c r="IIB46" s="1"/>
      <c r="IIC46" s="1"/>
      <c r="IID46" s="1"/>
      <c r="IIE46" s="1"/>
      <c r="IIF46" s="1"/>
      <c r="IIG46" s="1"/>
      <c r="IIH46" s="1"/>
      <c r="III46" s="1"/>
      <c r="IIJ46" s="1"/>
      <c r="IIK46" s="1"/>
      <c r="IIL46" s="1"/>
      <c r="IIM46" s="1"/>
      <c r="IIN46" s="1"/>
      <c r="IIO46" s="1"/>
      <c r="IIP46" s="1"/>
      <c r="IIQ46" s="1"/>
      <c r="IIR46" s="1"/>
      <c r="IIS46" s="1"/>
      <c r="IIT46" s="1"/>
      <c r="IIU46" s="1"/>
      <c r="IIV46" s="1"/>
      <c r="IIW46" s="1"/>
      <c r="IIX46" s="1"/>
      <c r="IIY46" s="1"/>
      <c r="IIZ46" s="1"/>
      <c r="IJA46" s="1"/>
      <c r="IJB46" s="1"/>
      <c r="IJC46" s="1"/>
      <c r="IJD46" s="1"/>
      <c r="IJE46" s="1"/>
      <c r="IJF46" s="1"/>
      <c r="IJG46" s="1"/>
      <c r="IJH46" s="1"/>
      <c r="IJI46" s="1"/>
      <c r="IJJ46" s="1"/>
      <c r="IJK46" s="1"/>
      <c r="IJL46" s="1"/>
      <c r="IJM46" s="1"/>
      <c r="IJN46" s="1"/>
      <c r="IJO46" s="1"/>
      <c r="IJP46" s="1"/>
      <c r="IJQ46" s="1"/>
      <c r="IJR46" s="1"/>
      <c r="IJS46" s="1"/>
      <c r="IJT46" s="1"/>
      <c r="IJU46" s="1"/>
      <c r="IJV46" s="1"/>
      <c r="IJW46" s="1"/>
      <c r="IJX46" s="1"/>
      <c r="IJY46" s="1"/>
      <c r="IJZ46" s="1"/>
      <c r="IKA46" s="1"/>
      <c r="IKB46" s="1"/>
      <c r="IKC46" s="1"/>
      <c r="IKD46" s="1"/>
      <c r="IKE46" s="1"/>
      <c r="IKF46" s="1"/>
      <c r="IKG46" s="1"/>
      <c r="IKH46" s="1"/>
      <c r="IKI46" s="1"/>
      <c r="IKJ46" s="1"/>
      <c r="IKK46" s="1"/>
      <c r="IKL46" s="1"/>
      <c r="IKM46" s="1"/>
      <c r="IKN46" s="1"/>
      <c r="IKO46" s="1"/>
      <c r="IKP46" s="1"/>
      <c r="IKQ46" s="1"/>
      <c r="IKR46" s="1"/>
      <c r="IKS46" s="1"/>
      <c r="IKT46" s="1"/>
      <c r="IKU46" s="1"/>
      <c r="IKV46" s="1"/>
      <c r="IKW46" s="1"/>
      <c r="IKX46" s="1"/>
      <c r="IKY46" s="1"/>
      <c r="IKZ46" s="1"/>
      <c r="ILA46" s="1"/>
      <c r="ILB46" s="1"/>
      <c r="ILC46" s="1"/>
      <c r="ILD46" s="1"/>
      <c r="ILE46" s="1"/>
      <c r="ILF46" s="1"/>
      <c r="ILG46" s="1"/>
      <c r="ILH46" s="1"/>
      <c r="ILI46" s="1"/>
      <c r="ILJ46" s="1"/>
      <c r="ILK46" s="1"/>
      <c r="ILL46" s="1"/>
      <c r="ILM46" s="1"/>
      <c r="ILN46" s="1"/>
      <c r="ILO46" s="1"/>
      <c r="ILP46" s="1"/>
      <c r="ILQ46" s="1"/>
      <c r="ILR46" s="1"/>
      <c r="ILS46" s="1"/>
      <c r="ILT46" s="1"/>
      <c r="ILU46" s="1"/>
      <c r="ILV46" s="1"/>
      <c r="ILW46" s="1"/>
      <c r="ILX46" s="1"/>
      <c r="ILY46" s="1"/>
      <c r="ILZ46" s="1"/>
      <c r="IMA46" s="1"/>
      <c r="IMB46" s="1"/>
      <c r="IMC46" s="1"/>
      <c r="IMD46" s="1"/>
      <c r="IME46" s="1"/>
      <c r="IMF46" s="1"/>
      <c r="IMG46" s="1"/>
      <c r="IMH46" s="1"/>
      <c r="IMI46" s="1"/>
      <c r="IMJ46" s="1"/>
      <c r="IMK46" s="1"/>
      <c r="IML46" s="1"/>
      <c r="IMM46" s="1"/>
      <c r="IMN46" s="1"/>
      <c r="IMO46" s="1"/>
      <c r="IMP46" s="1"/>
      <c r="IMQ46" s="1"/>
      <c r="IMR46" s="1"/>
      <c r="IMS46" s="1"/>
      <c r="IMT46" s="1"/>
      <c r="IMU46" s="1"/>
      <c r="IMV46" s="1"/>
      <c r="IMW46" s="1"/>
      <c r="IMX46" s="1"/>
      <c r="IMY46" s="1"/>
      <c r="IMZ46" s="1"/>
      <c r="INA46" s="1"/>
      <c r="INB46" s="1"/>
      <c r="INC46" s="1"/>
      <c r="IND46" s="1"/>
      <c r="INE46" s="1"/>
      <c r="INF46" s="1"/>
      <c r="ING46" s="1"/>
      <c r="INH46" s="1"/>
      <c r="INI46" s="1"/>
      <c r="INJ46" s="1"/>
      <c r="INK46" s="1"/>
      <c r="INL46" s="1"/>
      <c r="INM46" s="1"/>
      <c r="INN46" s="1"/>
      <c r="INO46" s="1"/>
      <c r="INP46" s="1"/>
      <c r="INQ46" s="1"/>
      <c r="INR46" s="1"/>
      <c r="INS46" s="1"/>
      <c r="INT46" s="1"/>
      <c r="INU46" s="1"/>
      <c r="INV46" s="1"/>
      <c r="INW46" s="1"/>
      <c r="INX46" s="1"/>
      <c r="INY46" s="1"/>
      <c r="INZ46" s="1"/>
      <c r="IOA46" s="1"/>
      <c r="IOB46" s="1"/>
      <c r="IOC46" s="1"/>
      <c r="IOD46" s="1"/>
      <c r="IOE46" s="1"/>
      <c r="IOF46" s="1"/>
      <c r="IOG46" s="1"/>
      <c r="IOH46" s="1"/>
      <c r="IOI46" s="1"/>
      <c r="IOJ46" s="1"/>
      <c r="IOK46" s="1"/>
      <c r="IOL46" s="1"/>
      <c r="IOM46" s="1"/>
      <c r="ION46" s="1"/>
      <c r="IOO46" s="1"/>
      <c r="IOP46" s="1"/>
      <c r="IOQ46" s="1"/>
      <c r="IOR46" s="1"/>
      <c r="IOS46" s="1"/>
      <c r="IOT46" s="1"/>
      <c r="IOU46" s="1"/>
      <c r="IOV46" s="1"/>
      <c r="IOW46" s="1"/>
      <c r="IOX46" s="1"/>
      <c r="IOY46" s="1"/>
      <c r="IOZ46" s="1"/>
      <c r="IPA46" s="1"/>
      <c r="IPB46" s="1"/>
      <c r="IPC46" s="1"/>
      <c r="IPD46" s="1"/>
      <c r="IPE46" s="1"/>
      <c r="IPF46" s="1"/>
      <c r="IPG46" s="1"/>
      <c r="IPH46" s="1"/>
      <c r="IPI46" s="1"/>
      <c r="IPJ46" s="1"/>
      <c r="IPK46" s="1"/>
      <c r="IPL46" s="1"/>
      <c r="IPM46" s="1"/>
      <c r="IPN46" s="1"/>
      <c r="IPO46" s="1"/>
      <c r="IPP46" s="1"/>
      <c r="IPQ46" s="1"/>
      <c r="IPR46" s="1"/>
      <c r="IPS46" s="1"/>
      <c r="IPT46" s="1"/>
      <c r="IPU46" s="1"/>
      <c r="IPV46" s="1"/>
      <c r="IPW46" s="1"/>
      <c r="IPX46" s="1"/>
      <c r="IPY46" s="1"/>
      <c r="IPZ46" s="1"/>
      <c r="IQA46" s="1"/>
      <c r="IQB46" s="1"/>
      <c r="IQC46" s="1"/>
      <c r="IQD46" s="1"/>
      <c r="IQE46" s="1"/>
      <c r="IQF46" s="1"/>
      <c r="IQG46" s="1"/>
      <c r="IQH46" s="1"/>
      <c r="IQI46" s="1"/>
      <c r="IQJ46" s="1"/>
      <c r="IQK46" s="1"/>
      <c r="IQL46" s="1"/>
      <c r="IQM46" s="1"/>
      <c r="IQN46" s="1"/>
      <c r="IQO46" s="1"/>
      <c r="IQP46" s="1"/>
      <c r="IQQ46" s="1"/>
      <c r="IQR46" s="1"/>
      <c r="IQS46" s="1"/>
      <c r="IQT46" s="1"/>
      <c r="IQU46" s="1"/>
      <c r="IQV46" s="1"/>
      <c r="IQW46" s="1"/>
      <c r="IQX46" s="1"/>
      <c r="IQY46" s="1"/>
      <c r="IQZ46" s="1"/>
      <c r="IRA46" s="1"/>
      <c r="IRB46" s="1"/>
      <c r="IRC46" s="1"/>
      <c r="IRD46" s="1"/>
      <c r="IRE46" s="1"/>
      <c r="IRF46" s="1"/>
      <c r="IRG46" s="1"/>
      <c r="IRH46" s="1"/>
      <c r="IRI46" s="1"/>
      <c r="IRJ46" s="1"/>
      <c r="IRK46" s="1"/>
      <c r="IRL46" s="1"/>
      <c r="IRM46" s="1"/>
      <c r="IRN46" s="1"/>
      <c r="IRO46" s="1"/>
      <c r="IRP46" s="1"/>
      <c r="IRQ46" s="1"/>
      <c r="IRR46" s="1"/>
      <c r="IRS46" s="1"/>
      <c r="IRT46" s="1"/>
      <c r="IRU46" s="1"/>
      <c r="IRV46" s="1"/>
      <c r="IRW46" s="1"/>
      <c r="IRX46" s="1"/>
      <c r="IRY46" s="1"/>
      <c r="IRZ46" s="1"/>
      <c r="ISA46" s="1"/>
      <c r="ISB46" s="1"/>
      <c r="ISC46" s="1"/>
      <c r="ISD46" s="1"/>
      <c r="ISE46" s="1"/>
      <c r="ISF46" s="1"/>
      <c r="ISG46" s="1"/>
      <c r="ISH46" s="1"/>
      <c r="ISI46" s="1"/>
      <c r="ISJ46" s="1"/>
      <c r="ISK46" s="1"/>
      <c r="ISL46" s="1"/>
      <c r="ISM46" s="1"/>
      <c r="ISN46" s="1"/>
      <c r="ISO46" s="1"/>
      <c r="ISP46" s="1"/>
      <c r="ISQ46" s="1"/>
      <c r="ISR46" s="1"/>
      <c r="ISS46" s="1"/>
      <c r="IST46" s="1"/>
      <c r="ISU46" s="1"/>
      <c r="ISV46" s="1"/>
      <c r="ISW46" s="1"/>
      <c r="ISX46" s="1"/>
      <c r="ISY46" s="1"/>
      <c r="ISZ46" s="1"/>
      <c r="ITA46" s="1"/>
      <c r="ITB46" s="1"/>
      <c r="ITC46" s="1"/>
      <c r="ITD46" s="1"/>
      <c r="ITE46" s="1"/>
      <c r="ITF46" s="1"/>
      <c r="ITG46" s="1"/>
      <c r="ITH46" s="1"/>
      <c r="ITI46" s="1"/>
      <c r="ITJ46" s="1"/>
      <c r="ITK46" s="1"/>
      <c r="ITL46" s="1"/>
      <c r="ITM46" s="1"/>
      <c r="ITN46" s="1"/>
      <c r="ITO46" s="1"/>
      <c r="ITP46" s="1"/>
      <c r="ITQ46" s="1"/>
      <c r="ITR46" s="1"/>
      <c r="ITS46" s="1"/>
      <c r="ITT46" s="1"/>
      <c r="ITU46" s="1"/>
      <c r="ITV46" s="1"/>
      <c r="ITW46" s="1"/>
      <c r="ITX46" s="1"/>
      <c r="ITY46" s="1"/>
      <c r="ITZ46" s="1"/>
      <c r="IUA46" s="1"/>
      <c r="IUB46" s="1"/>
      <c r="IUC46" s="1"/>
      <c r="IUD46" s="1"/>
      <c r="IUE46" s="1"/>
      <c r="IUF46" s="1"/>
      <c r="IUG46" s="1"/>
      <c r="IUH46" s="1"/>
      <c r="IUI46" s="1"/>
      <c r="IUJ46" s="1"/>
      <c r="IUK46" s="1"/>
      <c r="IUL46" s="1"/>
      <c r="IUM46" s="1"/>
      <c r="IUN46" s="1"/>
      <c r="IUO46" s="1"/>
      <c r="IUP46" s="1"/>
      <c r="IUQ46" s="1"/>
      <c r="IUR46" s="1"/>
      <c r="IUS46" s="1"/>
      <c r="IUT46" s="1"/>
      <c r="IUU46" s="1"/>
      <c r="IUV46" s="1"/>
      <c r="IUW46" s="1"/>
      <c r="IUX46" s="1"/>
      <c r="IUY46" s="1"/>
      <c r="IUZ46" s="1"/>
      <c r="IVA46" s="1"/>
      <c r="IVB46" s="1"/>
      <c r="IVC46" s="1"/>
      <c r="IVD46" s="1"/>
      <c r="IVE46" s="1"/>
      <c r="IVF46" s="1"/>
      <c r="IVG46" s="1"/>
      <c r="IVH46" s="1"/>
      <c r="IVI46" s="1"/>
      <c r="IVJ46" s="1"/>
      <c r="IVK46" s="1"/>
      <c r="IVL46" s="1"/>
      <c r="IVM46" s="1"/>
      <c r="IVN46" s="1"/>
      <c r="IVO46" s="1"/>
      <c r="IVP46" s="1"/>
      <c r="IVQ46" s="1"/>
      <c r="IVR46" s="1"/>
      <c r="IVS46" s="1"/>
      <c r="IVT46" s="1"/>
      <c r="IVU46" s="1"/>
      <c r="IVV46" s="1"/>
      <c r="IVW46" s="1"/>
      <c r="IVX46" s="1"/>
      <c r="IVY46" s="1"/>
      <c r="IVZ46" s="1"/>
      <c r="IWA46" s="1"/>
      <c r="IWB46" s="1"/>
      <c r="IWC46" s="1"/>
      <c r="IWD46" s="1"/>
      <c r="IWE46" s="1"/>
      <c r="IWF46" s="1"/>
      <c r="IWG46" s="1"/>
      <c r="IWH46" s="1"/>
      <c r="IWI46" s="1"/>
      <c r="IWJ46" s="1"/>
      <c r="IWK46" s="1"/>
      <c r="IWL46" s="1"/>
      <c r="IWM46" s="1"/>
      <c r="IWN46" s="1"/>
      <c r="IWO46" s="1"/>
      <c r="IWP46" s="1"/>
      <c r="IWQ46" s="1"/>
      <c r="IWR46" s="1"/>
      <c r="IWS46" s="1"/>
      <c r="IWT46" s="1"/>
      <c r="IWU46" s="1"/>
      <c r="IWV46" s="1"/>
      <c r="IWW46" s="1"/>
      <c r="IWX46" s="1"/>
      <c r="IWY46" s="1"/>
      <c r="IWZ46" s="1"/>
      <c r="IXA46" s="1"/>
      <c r="IXB46" s="1"/>
      <c r="IXC46" s="1"/>
      <c r="IXD46" s="1"/>
      <c r="IXE46" s="1"/>
      <c r="IXF46" s="1"/>
      <c r="IXG46" s="1"/>
      <c r="IXH46" s="1"/>
      <c r="IXI46" s="1"/>
      <c r="IXJ46" s="1"/>
      <c r="IXK46" s="1"/>
      <c r="IXL46" s="1"/>
      <c r="IXM46" s="1"/>
      <c r="IXN46" s="1"/>
      <c r="IXO46" s="1"/>
      <c r="IXP46" s="1"/>
      <c r="IXQ46" s="1"/>
      <c r="IXR46" s="1"/>
      <c r="IXS46" s="1"/>
      <c r="IXT46" s="1"/>
      <c r="IXU46" s="1"/>
      <c r="IXV46" s="1"/>
      <c r="IXW46" s="1"/>
      <c r="IXX46" s="1"/>
      <c r="IXY46" s="1"/>
      <c r="IXZ46" s="1"/>
      <c r="IYA46" s="1"/>
      <c r="IYB46" s="1"/>
      <c r="IYC46" s="1"/>
      <c r="IYD46" s="1"/>
      <c r="IYE46" s="1"/>
      <c r="IYF46" s="1"/>
      <c r="IYG46" s="1"/>
      <c r="IYH46" s="1"/>
      <c r="IYI46" s="1"/>
      <c r="IYJ46" s="1"/>
      <c r="IYK46" s="1"/>
      <c r="IYL46" s="1"/>
      <c r="IYM46" s="1"/>
      <c r="IYN46" s="1"/>
      <c r="IYO46" s="1"/>
      <c r="IYP46" s="1"/>
      <c r="IYQ46" s="1"/>
      <c r="IYR46" s="1"/>
      <c r="IYS46" s="1"/>
      <c r="IYT46" s="1"/>
      <c r="IYU46" s="1"/>
      <c r="IYV46" s="1"/>
      <c r="IYW46" s="1"/>
      <c r="IYX46" s="1"/>
      <c r="IYY46" s="1"/>
      <c r="IYZ46" s="1"/>
      <c r="IZA46" s="1"/>
      <c r="IZB46" s="1"/>
      <c r="IZC46" s="1"/>
      <c r="IZD46" s="1"/>
      <c r="IZE46" s="1"/>
      <c r="IZF46" s="1"/>
      <c r="IZG46" s="1"/>
      <c r="IZH46" s="1"/>
      <c r="IZI46" s="1"/>
      <c r="IZJ46" s="1"/>
      <c r="IZK46" s="1"/>
      <c r="IZL46" s="1"/>
      <c r="IZM46" s="1"/>
      <c r="IZN46" s="1"/>
      <c r="IZO46" s="1"/>
      <c r="IZP46" s="1"/>
      <c r="IZQ46" s="1"/>
      <c r="IZR46" s="1"/>
      <c r="IZS46" s="1"/>
      <c r="IZT46" s="1"/>
      <c r="IZU46" s="1"/>
      <c r="IZV46" s="1"/>
      <c r="IZW46" s="1"/>
      <c r="IZX46" s="1"/>
      <c r="IZY46" s="1"/>
      <c r="IZZ46" s="1"/>
      <c r="JAA46" s="1"/>
      <c r="JAB46" s="1"/>
      <c r="JAC46" s="1"/>
      <c r="JAD46" s="1"/>
      <c r="JAE46" s="1"/>
      <c r="JAF46" s="1"/>
      <c r="JAG46" s="1"/>
      <c r="JAH46" s="1"/>
      <c r="JAI46" s="1"/>
      <c r="JAJ46" s="1"/>
      <c r="JAK46" s="1"/>
      <c r="JAL46" s="1"/>
      <c r="JAM46" s="1"/>
      <c r="JAN46" s="1"/>
      <c r="JAO46" s="1"/>
      <c r="JAP46" s="1"/>
      <c r="JAQ46" s="1"/>
      <c r="JAR46" s="1"/>
      <c r="JAS46" s="1"/>
      <c r="JAT46" s="1"/>
      <c r="JAU46" s="1"/>
      <c r="JAV46" s="1"/>
      <c r="JAW46" s="1"/>
      <c r="JAX46" s="1"/>
      <c r="JAY46" s="1"/>
      <c r="JAZ46" s="1"/>
      <c r="JBA46" s="1"/>
      <c r="JBB46" s="1"/>
      <c r="JBC46" s="1"/>
      <c r="JBD46" s="1"/>
      <c r="JBE46" s="1"/>
      <c r="JBF46" s="1"/>
      <c r="JBG46" s="1"/>
      <c r="JBH46" s="1"/>
      <c r="JBI46" s="1"/>
      <c r="JBJ46" s="1"/>
      <c r="JBK46" s="1"/>
      <c r="JBL46" s="1"/>
      <c r="JBM46" s="1"/>
      <c r="JBN46" s="1"/>
      <c r="JBO46" s="1"/>
      <c r="JBP46" s="1"/>
      <c r="JBQ46" s="1"/>
      <c r="JBR46" s="1"/>
      <c r="JBS46" s="1"/>
      <c r="JBT46" s="1"/>
      <c r="JBU46" s="1"/>
      <c r="JBV46" s="1"/>
      <c r="JBW46" s="1"/>
      <c r="JBX46" s="1"/>
      <c r="JBY46" s="1"/>
      <c r="JBZ46" s="1"/>
      <c r="JCA46" s="1"/>
      <c r="JCB46" s="1"/>
      <c r="JCC46" s="1"/>
      <c r="JCD46" s="1"/>
      <c r="JCE46" s="1"/>
      <c r="JCF46" s="1"/>
      <c r="JCG46" s="1"/>
      <c r="JCH46" s="1"/>
      <c r="JCI46" s="1"/>
      <c r="JCJ46" s="1"/>
      <c r="JCK46" s="1"/>
      <c r="JCL46" s="1"/>
      <c r="JCM46" s="1"/>
      <c r="JCN46" s="1"/>
      <c r="JCO46" s="1"/>
      <c r="JCP46" s="1"/>
      <c r="JCQ46" s="1"/>
      <c r="JCR46" s="1"/>
      <c r="JCS46" s="1"/>
      <c r="JCT46" s="1"/>
      <c r="JCU46" s="1"/>
      <c r="JCV46" s="1"/>
      <c r="JCW46" s="1"/>
      <c r="JCX46" s="1"/>
      <c r="JCY46" s="1"/>
      <c r="JCZ46" s="1"/>
      <c r="JDA46" s="1"/>
      <c r="JDB46" s="1"/>
      <c r="JDC46" s="1"/>
      <c r="JDD46" s="1"/>
      <c r="JDE46" s="1"/>
      <c r="JDF46" s="1"/>
      <c r="JDG46" s="1"/>
      <c r="JDH46" s="1"/>
      <c r="JDI46" s="1"/>
      <c r="JDJ46" s="1"/>
      <c r="JDK46" s="1"/>
      <c r="JDL46" s="1"/>
      <c r="JDM46" s="1"/>
      <c r="JDN46" s="1"/>
      <c r="JDO46" s="1"/>
      <c r="JDP46" s="1"/>
      <c r="JDQ46" s="1"/>
      <c r="JDR46" s="1"/>
      <c r="JDS46" s="1"/>
      <c r="JDT46" s="1"/>
      <c r="JDU46" s="1"/>
      <c r="JDV46" s="1"/>
      <c r="JDW46" s="1"/>
      <c r="JDX46" s="1"/>
      <c r="JDY46" s="1"/>
      <c r="JDZ46" s="1"/>
      <c r="JEA46" s="1"/>
      <c r="JEB46" s="1"/>
      <c r="JEC46" s="1"/>
      <c r="JED46" s="1"/>
      <c r="JEE46" s="1"/>
      <c r="JEF46" s="1"/>
      <c r="JEG46" s="1"/>
      <c r="JEH46" s="1"/>
      <c r="JEI46" s="1"/>
      <c r="JEJ46" s="1"/>
      <c r="JEK46" s="1"/>
      <c r="JEL46" s="1"/>
      <c r="JEM46" s="1"/>
      <c r="JEN46" s="1"/>
      <c r="JEO46" s="1"/>
      <c r="JEP46" s="1"/>
      <c r="JEQ46" s="1"/>
      <c r="JER46" s="1"/>
      <c r="JES46" s="1"/>
      <c r="JET46" s="1"/>
      <c r="JEU46" s="1"/>
      <c r="JEV46" s="1"/>
      <c r="JEW46" s="1"/>
      <c r="JEX46" s="1"/>
      <c r="JEY46" s="1"/>
      <c r="JEZ46" s="1"/>
      <c r="JFA46" s="1"/>
      <c r="JFB46" s="1"/>
      <c r="JFC46" s="1"/>
      <c r="JFD46" s="1"/>
      <c r="JFE46" s="1"/>
      <c r="JFF46" s="1"/>
      <c r="JFG46" s="1"/>
      <c r="JFH46" s="1"/>
      <c r="JFI46" s="1"/>
      <c r="JFJ46" s="1"/>
      <c r="JFK46" s="1"/>
      <c r="JFL46" s="1"/>
      <c r="JFM46" s="1"/>
      <c r="JFN46" s="1"/>
      <c r="JFO46" s="1"/>
      <c r="JFP46" s="1"/>
      <c r="JFQ46" s="1"/>
      <c r="JFR46" s="1"/>
      <c r="JFS46" s="1"/>
      <c r="JFT46" s="1"/>
      <c r="JFU46" s="1"/>
      <c r="JFV46" s="1"/>
      <c r="JFW46" s="1"/>
      <c r="JFX46" s="1"/>
      <c r="JFY46" s="1"/>
      <c r="JFZ46" s="1"/>
      <c r="JGA46" s="1"/>
      <c r="JGB46" s="1"/>
      <c r="JGC46" s="1"/>
      <c r="JGD46" s="1"/>
      <c r="JGE46" s="1"/>
      <c r="JGF46" s="1"/>
      <c r="JGG46" s="1"/>
      <c r="JGH46" s="1"/>
      <c r="JGI46" s="1"/>
      <c r="JGJ46" s="1"/>
      <c r="JGK46" s="1"/>
      <c r="JGL46" s="1"/>
      <c r="JGM46" s="1"/>
      <c r="JGN46" s="1"/>
      <c r="JGO46" s="1"/>
      <c r="JGP46" s="1"/>
      <c r="JGQ46" s="1"/>
      <c r="JGR46" s="1"/>
      <c r="JGS46" s="1"/>
      <c r="JGT46" s="1"/>
      <c r="JGU46" s="1"/>
      <c r="JGV46" s="1"/>
      <c r="JGW46" s="1"/>
      <c r="JGX46" s="1"/>
      <c r="JGY46" s="1"/>
      <c r="JGZ46" s="1"/>
      <c r="JHA46" s="1"/>
      <c r="JHB46" s="1"/>
      <c r="JHC46" s="1"/>
      <c r="JHD46" s="1"/>
      <c r="JHE46" s="1"/>
      <c r="JHF46" s="1"/>
      <c r="JHG46" s="1"/>
      <c r="JHH46" s="1"/>
      <c r="JHI46" s="1"/>
      <c r="JHJ46" s="1"/>
      <c r="JHK46" s="1"/>
      <c r="JHL46" s="1"/>
      <c r="JHM46" s="1"/>
      <c r="JHN46" s="1"/>
      <c r="JHO46" s="1"/>
      <c r="JHP46" s="1"/>
      <c r="JHQ46" s="1"/>
      <c r="JHR46" s="1"/>
      <c r="JHS46" s="1"/>
      <c r="JHT46" s="1"/>
      <c r="JHU46" s="1"/>
      <c r="JHV46" s="1"/>
      <c r="JHW46" s="1"/>
      <c r="JHX46" s="1"/>
      <c r="JHY46" s="1"/>
      <c r="JHZ46" s="1"/>
      <c r="JIA46" s="1"/>
      <c r="JIB46" s="1"/>
      <c r="JIC46" s="1"/>
      <c r="JID46" s="1"/>
      <c r="JIE46" s="1"/>
      <c r="JIF46" s="1"/>
      <c r="JIG46" s="1"/>
      <c r="JIH46" s="1"/>
      <c r="JII46" s="1"/>
      <c r="JIJ46" s="1"/>
      <c r="JIK46" s="1"/>
      <c r="JIL46" s="1"/>
      <c r="JIM46" s="1"/>
      <c r="JIN46" s="1"/>
      <c r="JIO46" s="1"/>
      <c r="JIP46" s="1"/>
      <c r="JIQ46" s="1"/>
      <c r="JIR46" s="1"/>
      <c r="JIS46" s="1"/>
      <c r="JIT46" s="1"/>
      <c r="JIU46" s="1"/>
      <c r="JIV46" s="1"/>
      <c r="JIW46" s="1"/>
      <c r="JIX46" s="1"/>
      <c r="JIY46" s="1"/>
      <c r="JIZ46" s="1"/>
      <c r="JJA46" s="1"/>
      <c r="JJB46" s="1"/>
      <c r="JJC46" s="1"/>
      <c r="JJD46" s="1"/>
      <c r="JJE46" s="1"/>
      <c r="JJF46" s="1"/>
      <c r="JJG46" s="1"/>
      <c r="JJH46" s="1"/>
      <c r="JJI46" s="1"/>
      <c r="JJJ46" s="1"/>
      <c r="JJK46" s="1"/>
      <c r="JJL46" s="1"/>
      <c r="JJM46" s="1"/>
      <c r="JJN46" s="1"/>
      <c r="JJO46" s="1"/>
      <c r="JJP46" s="1"/>
      <c r="JJQ46" s="1"/>
      <c r="JJR46" s="1"/>
      <c r="JJS46" s="1"/>
      <c r="JJT46" s="1"/>
      <c r="JJU46" s="1"/>
      <c r="JJV46" s="1"/>
      <c r="JJW46" s="1"/>
      <c r="JJX46" s="1"/>
      <c r="JJY46" s="1"/>
      <c r="JJZ46" s="1"/>
      <c r="JKA46" s="1"/>
      <c r="JKB46" s="1"/>
      <c r="JKC46" s="1"/>
      <c r="JKD46" s="1"/>
      <c r="JKE46" s="1"/>
      <c r="JKF46" s="1"/>
      <c r="JKG46" s="1"/>
      <c r="JKH46" s="1"/>
      <c r="JKI46" s="1"/>
      <c r="JKJ46" s="1"/>
      <c r="JKK46" s="1"/>
      <c r="JKL46" s="1"/>
      <c r="JKM46" s="1"/>
      <c r="JKN46" s="1"/>
      <c r="JKO46" s="1"/>
      <c r="JKP46" s="1"/>
      <c r="JKQ46" s="1"/>
      <c r="JKR46" s="1"/>
      <c r="JKS46" s="1"/>
      <c r="JKT46" s="1"/>
      <c r="JKU46" s="1"/>
      <c r="JKV46" s="1"/>
      <c r="JKW46" s="1"/>
      <c r="JKX46" s="1"/>
      <c r="JKY46" s="1"/>
      <c r="JKZ46" s="1"/>
      <c r="JLA46" s="1"/>
      <c r="JLB46" s="1"/>
      <c r="JLC46" s="1"/>
      <c r="JLD46" s="1"/>
      <c r="JLE46" s="1"/>
      <c r="JLF46" s="1"/>
      <c r="JLG46" s="1"/>
      <c r="JLH46" s="1"/>
      <c r="JLI46" s="1"/>
      <c r="JLJ46" s="1"/>
      <c r="JLK46" s="1"/>
      <c r="JLL46" s="1"/>
      <c r="JLM46" s="1"/>
      <c r="JLN46" s="1"/>
      <c r="JLO46" s="1"/>
      <c r="JLP46" s="1"/>
      <c r="JLQ46" s="1"/>
      <c r="JLR46" s="1"/>
      <c r="JLS46" s="1"/>
      <c r="JLT46" s="1"/>
      <c r="JLU46" s="1"/>
      <c r="JLV46" s="1"/>
      <c r="JLW46" s="1"/>
      <c r="JLX46" s="1"/>
      <c r="JLY46" s="1"/>
      <c r="JLZ46" s="1"/>
      <c r="JMA46" s="1"/>
      <c r="JMB46" s="1"/>
      <c r="JMC46" s="1"/>
      <c r="JMD46" s="1"/>
      <c r="JME46" s="1"/>
      <c r="JMF46" s="1"/>
      <c r="JMG46" s="1"/>
      <c r="JMH46" s="1"/>
      <c r="JMI46" s="1"/>
      <c r="JMJ46" s="1"/>
      <c r="JMK46" s="1"/>
      <c r="JML46" s="1"/>
      <c r="JMM46" s="1"/>
      <c r="JMN46" s="1"/>
      <c r="JMO46" s="1"/>
      <c r="JMP46" s="1"/>
      <c r="JMQ46" s="1"/>
      <c r="JMR46" s="1"/>
      <c r="JMS46" s="1"/>
      <c r="JMT46" s="1"/>
      <c r="JMU46" s="1"/>
      <c r="JMV46" s="1"/>
      <c r="JMW46" s="1"/>
      <c r="JMX46" s="1"/>
      <c r="JMY46" s="1"/>
      <c r="JMZ46" s="1"/>
      <c r="JNA46" s="1"/>
      <c r="JNB46" s="1"/>
      <c r="JNC46" s="1"/>
      <c r="JND46" s="1"/>
      <c r="JNE46" s="1"/>
      <c r="JNF46" s="1"/>
      <c r="JNG46" s="1"/>
      <c r="JNH46" s="1"/>
      <c r="JNI46" s="1"/>
      <c r="JNJ46" s="1"/>
      <c r="JNK46" s="1"/>
      <c r="JNL46" s="1"/>
      <c r="JNM46" s="1"/>
      <c r="JNN46" s="1"/>
      <c r="JNO46" s="1"/>
      <c r="JNP46" s="1"/>
      <c r="JNQ46" s="1"/>
      <c r="JNR46" s="1"/>
      <c r="JNS46" s="1"/>
      <c r="JNT46" s="1"/>
      <c r="JNU46" s="1"/>
      <c r="JNV46" s="1"/>
      <c r="JNW46" s="1"/>
      <c r="JNX46" s="1"/>
      <c r="JNY46" s="1"/>
      <c r="JNZ46" s="1"/>
      <c r="JOA46" s="1"/>
      <c r="JOB46" s="1"/>
      <c r="JOC46" s="1"/>
      <c r="JOD46" s="1"/>
      <c r="JOE46" s="1"/>
      <c r="JOF46" s="1"/>
      <c r="JOG46" s="1"/>
      <c r="JOH46" s="1"/>
      <c r="JOI46" s="1"/>
      <c r="JOJ46" s="1"/>
      <c r="JOK46" s="1"/>
      <c r="JOL46" s="1"/>
      <c r="JOM46" s="1"/>
      <c r="JON46" s="1"/>
      <c r="JOO46" s="1"/>
      <c r="JOP46" s="1"/>
      <c r="JOQ46" s="1"/>
      <c r="JOR46" s="1"/>
      <c r="JOS46" s="1"/>
      <c r="JOT46" s="1"/>
      <c r="JOU46" s="1"/>
      <c r="JOV46" s="1"/>
      <c r="JOW46" s="1"/>
      <c r="JOX46" s="1"/>
      <c r="JOY46" s="1"/>
      <c r="JOZ46" s="1"/>
      <c r="JPA46" s="1"/>
      <c r="JPB46" s="1"/>
      <c r="JPC46" s="1"/>
      <c r="JPD46" s="1"/>
      <c r="JPE46" s="1"/>
      <c r="JPF46" s="1"/>
      <c r="JPG46" s="1"/>
      <c r="JPH46" s="1"/>
      <c r="JPI46" s="1"/>
      <c r="JPJ46" s="1"/>
      <c r="JPK46" s="1"/>
      <c r="JPL46" s="1"/>
      <c r="JPM46" s="1"/>
      <c r="JPN46" s="1"/>
      <c r="JPO46" s="1"/>
      <c r="JPP46" s="1"/>
      <c r="JPQ46" s="1"/>
      <c r="JPR46" s="1"/>
      <c r="JPS46" s="1"/>
      <c r="JPT46" s="1"/>
      <c r="JPU46" s="1"/>
      <c r="JPV46" s="1"/>
      <c r="JPW46" s="1"/>
      <c r="JPX46" s="1"/>
      <c r="JPY46" s="1"/>
      <c r="JPZ46" s="1"/>
      <c r="JQA46" s="1"/>
      <c r="JQB46" s="1"/>
      <c r="JQC46" s="1"/>
      <c r="JQD46" s="1"/>
      <c r="JQE46" s="1"/>
      <c r="JQF46" s="1"/>
      <c r="JQG46" s="1"/>
      <c r="JQH46" s="1"/>
      <c r="JQI46" s="1"/>
      <c r="JQJ46" s="1"/>
      <c r="JQK46" s="1"/>
      <c r="JQL46" s="1"/>
      <c r="JQM46" s="1"/>
      <c r="JQN46" s="1"/>
      <c r="JQO46" s="1"/>
      <c r="JQP46" s="1"/>
      <c r="JQQ46" s="1"/>
      <c r="JQR46" s="1"/>
      <c r="JQS46" s="1"/>
      <c r="JQT46" s="1"/>
      <c r="JQU46" s="1"/>
      <c r="JQV46" s="1"/>
      <c r="JQW46" s="1"/>
      <c r="JQX46" s="1"/>
      <c r="JQY46" s="1"/>
      <c r="JQZ46" s="1"/>
      <c r="JRA46" s="1"/>
      <c r="JRB46" s="1"/>
      <c r="JRC46" s="1"/>
      <c r="JRD46" s="1"/>
      <c r="JRE46" s="1"/>
      <c r="JRF46" s="1"/>
      <c r="JRG46" s="1"/>
      <c r="JRH46" s="1"/>
      <c r="JRI46" s="1"/>
      <c r="JRJ46" s="1"/>
      <c r="JRK46" s="1"/>
      <c r="JRL46" s="1"/>
      <c r="JRM46" s="1"/>
      <c r="JRN46" s="1"/>
      <c r="JRO46" s="1"/>
      <c r="JRP46" s="1"/>
      <c r="JRQ46" s="1"/>
      <c r="JRR46" s="1"/>
      <c r="JRS46" s="1"/>
      <c r="JRT46" s="1"/>
      <c r="JRU46" s="1"/>
      <c r="JRV46" s="1"/>
      <c r="JRW46" s="1"/>
      <c r="JRX46" s="1"/>
      <c r="JRY46" s="1"/>
      <c r="JRZ46" s="1"/>
      <c r="JSA46" s="1"/>
      <c r="JSB46" s="1"/>
      <c r="JSC46" s="1"/>
      <c r="JSD46" s="1"/>
      <c r="JSE46" s="1"/>
      <c r="JSF46" s="1"/>
      <c r="JSG46" s="1"/>
      <c r="JSH46" s="1"/>
      <c r="JSI46" s="1"/>
      <c r="JSJ46" s="1"/>
      <c r="JSK46" s="1"/>
      <c r="JSL46" s="1"/>
      <c r="JSM46" s="1"/>
      <c r="JSN46" s="1"/>
      <c r="JSO46" s="1"/>
      <c r="JSP46" s="1"/>
      <c r="JSQ46" s="1"/>
      <c r="JSR46" s="1"/>
      <c r="JSS46" s="1"/>
      <c r="JST46" s="1"/>
      <c r="JSU46" s="1"/>
      <c r="JSV46" s="1"/>
      <c r="JSW46" s="1"/>
      <c r="JSX46" s="1"/>
      <c r="JSY46" s="1"/>
      <c r="JSZ46" s="1"/>
      <c r="JTA46" s="1"/>
      <c r="JTB46" s="1"/>
      <c r="JTC46" s="1"/>
      <c r="JTD46" s="1"/>
      <c r="JTE46" s="1"/>
      <c r="JTF46" s="1"/>
      <c r="JTG46" s="1"/>
      <c r="JTH46" s="1"/>
      <c r="JTI46" s="1"/>
      <c r="JTJ46" s="1"/>
      <c r="JTK46" s="1"/>
      <c r="JTL46" s="1"/>
      <c r="JTM46" s="1"/>
      <c r="JTN46" s="1"/>
      <c r="JTO46" s="1"/>
      <c r="JTP46" s="1"/>
      <c r="JTQ46" s="1"/>
      <c r="JTR46" s="1"/>
      <c r="JTS46" s="1"/>
      <c r="JTT46" s="1"/>
      <c r="JTU46" s="1"/>
      <c r="JTV46" s="1"/>
      <c r="JTW46" s="1"/>
      <c r="JTX46" s="1"/>
      <c r="JTY46" s="1"/>
      <c r="JTZ46" s="1"/>
      <c r="JUA46" s="1"/>
      <c r="JUB46" s="1"/>
      <c r="JUC46" s="1"/>
      <c r="JUD46" s="1"/>
      <c r="JUE46" s="1"/>
      <c r="JUF46" s="1"/>
      <c r="JUG46" s="1"/>
      <c r="JUH46" s="1"/>
      <c r="JUI46" s="1"/>
      <c r="JUJ46" s="1"/>
      <c r="JUK46" s="1"/>
      <c r="JUL46" s="1"/>
      <c r="JUM46" s="1"/>
      <c r="JUN46" s="1"/>
      <c r="JUO46" s="1"/>
      <c r="JUP46" s="1"/>
      <c r="JUQ46" s="1"/>
      <c r="JUR46" s="1"/>
      <c r="JUS46" s="1"/>
      <c r="JUT46" s="1"/>
      <c r="JUU46" s="1"/>
      <c r="JUV46" s="1"/>
      <c r="JUW46" s="1"/>
      <c r="JUX46" s="1"/>
      <c r="JUY46" s="1"/>
      <c r="JUZ46" s="1"/>
      <c r="JVA46" s="1"/>
      <c r="JVB46" s="1"/>
      <c r="JVC46" s="1"/>
      <c r="JVD46" s="1"/>
      <c r="JVE46" s="1"/>
      <c r="JVF46" s="1"/>
      <c r="JVG46" s="1"/>
      <c r="JVH46" s="1"/>
      <c r="JVI46" s="1"/>
      <c r="JVJ46" s="1"/>
      <c r="JVK46" s="1"/>
      <c r="JVL46" s="1"/>
      <c r="JVM46" s="1"/>
      <c r="JVN46" s="1"/>
      <c r="JVO46" s="1"/>
      <c r="JVP46" s="1"/>
      <c r="JVQ46" s="1"/>
      <c r="JVR46" s="1"/>
      <c r="JVS46" s="1"/>
      <c r="JVT46" s="1"/>
      <c r="JVU46" s="1"/>
      <c r="JVV46" s="1"/>
      <c r="JVW46" s="1"/>
      <c r="JVX46" s="1"/>
      <c r="JVY46" s="1"/>
      <c r="JVZ46" s="1"/>
      <c r="JWA46" s="1"/>
      <c r="JWB46" s="1"/>
      <c r="JWC46" s="1"/>
      <c r="JWD46" s="1"/>
      <c r="JWE46" s="1"/>
      <c r="JWF46" s="1"/>
      <c r="JWG46" s="1"/>
      <c r="JWH46" s="1"/>
      <c r="JWI46" s="1"/>
      <c r="JWJ46" s="1"/>
      <c r="JWK46" s="1"/>
      <c r="JWL46" s="1"/>
      <c r="JWM46" s="1"/>
      <c r="JWN46" s="1"/>
      <c r="JWO46" s="1"/>
      <c r="JWP46" s="1"/>
      <c r="JWQ46" s="1"/>
      <c r="JWR46" s="1"/>
      <c r="JWS46" s="1"/>
      <c r="JWT46" s="1"/>
      <c r="JWU46" s="1"/>
      <c r="JWV46" s="1"/>
      <c r="JWW46" s="1"/>
      <c r="JWX46" s="1"/>
      <c r="JWY46" s="1"/>
      <c r="JWZ46" s="1"/>
      <c r="JXA46" s="1"/>
      <c r="JXB46" s="1"/>
      <c r="JXC46" s="1"/>
      <c r="JXD46" s="1"/>
      <c r="JXE46" s="1"/>
      <c r="JXF46" s="1"/>
      <c r="JXG46" s="1"/>
      <c r="JXH46" s="1"/>
      <c r="JXI46" s="1"/>
      <c r="JXJ46" s="1"/>
      <c r="JXK46" s="1"/>
      <c r="JXL46" s="1"/>
      <c r="JXM46" s="1"/>
      <c r="JXN46" s="1"/>
      <c r="JXO46" s="1"/>
      <c r="JXP46" s="1"/>
      <c r="JXQ46" s="1"/>
      <c r="JXR46" s="1"/>
      <c r="JXS46" s="1"/>
      <c r="JXT46" s="1"/>
      <c r="JXU46" s="1"/>
      <c r="JXV46" s="1"/>
      <c r="JXW46" s="1"/>
      <c r="JXX46" s="1"/>
      <c r="JXY46" s="1"/>
      <c r="JXZ46" s="1"/>
      <c r="JYA46" s="1"/>
      <c r="JYB46" s="1"/>
      <c r="JYC46" s="1"/>
      <c r="JYD46" s="1"/>
      <c r="JYE46" s="1"/>
      <c r="JYF46" s="1"/>
      <c r="JYG46" s="1"/>
      <c r="JYH46" s="1"/>
      <c r="JYI46" s="1"/>
      <c r="JYJ46" s="1"/>
      <c r="JYK46" s="1"/>
      <c r="JYL46" s="1"/>
      <c r="JYM46" s="1"/>
      <c r="JYN46" s="1"/>
      <c r="JYO46" s="1"/>
      <c r="JYP46" s="1"/>
      <c r="JYQ46" s="1"/>
      <c r="JYR46" s="1"/>
      <c r="JYS46" s="1"/>
      <c r="JYT46" s="1"/>
      <c r="JYU46" s="1"/>
      <c r="JYV46" s="1"/>
      <c r="JYW46" s="1"/>
      <c r="JYX46" s="1"/>
      <c r="JYY46" s="1"/>
      <c r="JYZ46" s="1"/>
      <c r="JZA46" s="1"/>
      <c r="JZB46" s="1"/>
      <c r="JZC46" s="1"/>
      <c r="JZD46" s="1"/>
      <c r="JZE46" s="1"/>
      <c r="JZF46" s="1"/>
      <c r="JZG46" s="1"/>
      <c r="JZH46" s="1"/>
      <c r="JZI46" s="1"/>
      <c r="JZJ46" s="1"/>
      <c r="JZK46" s="1"/>
      <c r="JZL46" s="1"/>
      <c r="JZM46" s="1"/>
      <c r="JZN46" s="1"/>
      <c r="JZO46" s="1"/>
      <c r="JZP46" s="1"/>
      <c r="JZQ46" s="1"/>
      <c r="JZR46" s="1"/>
      <c r="JZS46" s="1"/>
      <c r="JZT46" s="1"/>
      <c r="JZU46" s="1"/>
      <c r="JZV46" s="1"/>
      <c r="JZW46" s="1"/>
      <c r="JZX46" s="1"/>
      <c r="JZY46" s="1"/>
      <c r="JZZ46" s="1"/>
      <c r="KAA46" s="1"/>
      <c r="KAB46" s="1"/>
      <c r="KAC46" s="1"/>
      <c r="KAD46" s="1"/>
      <c r="KAE46" s="1"/>
      <c r="KAF46" s="1"/>
      <c r="KAG46" s="1"/>
      <c r="KAH46" s="1"/>
      <c r="KAI46" s="1"/>
      <c r="KAJ46" s="1"/>
      <c r="KAK46" s="1"/>
      <c r="KAL46" s="1"/>
      <c r="KAM46" s="1"/>
      <c r="KAN46" s="1"/>
      <c r="KAO46" s="1"/>
      <c r="KAP46" s="1"/>
      <c r="KAQ46" s="1"/>
      <c r="KAR46" s="1"/>
      <c r="KAS46" s="1"/>
      <c r="KAT46" s="1"/>
      <c r="KAU46" s="1"/>
      <c r="KAV46" s="1"/>
      <c r="KAW46" s="1"/>
      <c r="KAX46" s="1"/>
      <c r="KAY46" s="1"/>
      <c r="KAZ46" s="1"/>
      <c r="KBA46" s="1"/>
      <c r="KBB46" s="1"/>
      <c r="KBC46" s="1"/>
      <c r="KBD46" s="1"/>
      <c r="KBE46" s="1"/>
      <c r="KBF46" s="1"/>
      <c r="KBG46" s="1"/>
      <c r="KBH46" s="1"/>
      <c r="KBI46" s="1"/>
      <c r="KBJ46" s="1"/>
      <c r="KBK46" s="1"/>
      <c r="KBL46" s="1"/>
      <c r="KBM46" s="1"/>
      <c r="KBN46" s="1"/>
      <c r="KBO46" s="1"/>
      <c r="KBP46" s="1"/>
      <c r="KBQ46" s="1"/>
      <c r="KBR46" s="1"/>
      <c r="KBS46" s="1"/>
      <c r="KBT46" s="1"/>
      <c r="KBU46" s="1"/>
      <c r="KBV46" s="1"/>
      <c r="KBW46" s="1"/>
      <c r="KBX46" s="1"/>
      <c r="KBY46" s="1"/>
      <c r="KBZ46" s="1"/>
      <c r="KCA46" s="1"/>
      <c r="KCB46" s="1"/>
      <c r="KCC46" s="1"/>
      <c r="KCD46" s="1"/>
      <c r="KCE46" s="1"/>
      <c r="KCF46" s="1"/>
      <c r="KCG46" s="1"/>
      <c r="KCH46" s="1"/>
      <c r="KCI46" s="1"/>
      <c r="KCJ46" s="1"/>
      <c r="KCK46" s="1"/>
      <c r="KCL46" s="1"/>
      <c r="KCM46" s="1"/>
      <c r="KCN46" s="1"/>
      <c r="KCO46" s="1"/>
      <c r="KCP46" s="1"/>
      <c r="KCQ46" s="1"/>
      <c r="KCR46" s="1"/>
      <c r="KCS46" s="1"/>
      <c r="KCT46" s="1"/>
      <c r="KCU46" s="1"/>
      <c r="KCV46" s="1"/>
      <c r="KCW46" s="1"/>
      <c r="KCX46" s="1"/>
      <c r="KCY46" s="1"/>
      <c r="KCZ46" s="1"/>
      <c r="KDA46" s="1"/>
      <c r="KDB46" s="1"/>
      <c r="KDC46" s="1"/>
      <c r="KDD46" s="1"/>
      <c r="KDE46" s="1"/>
      <c r="KDF46" s="1"/>
      <c r="KDG46" s="1"/>
      <c r="KDH46" s="1"/>
      <c r="KDI46" s="1"/>
      <c r="KDJ46" s="1"/>
      <c r="KDK46" s="1"/>
      <c r="KDL46" s="1"/>
      <c r="KDM46" s="1"/>
      <c r="KDN46" s="1"/>
      <c r="KDO46" s="1"/>
      <c r="KDP46" s="1"/>
      <c r="KDQ46" s="1"/>
      <c r="KDR46" s="1"/>
      <c r="KDS46" s="1"/>
      <c r="KDT46" s="1"/>
      <c r="KDU46" s="1"/>
      <c r="KDV46" s="1"/>
      <c r="KDW46" s="1"/>
      <c r="KDX46" s="1"/>
      <c r="KDY46" s="1"/>
      <c r="KDZ46" s="1"/>
      <c r="KEA46" s="1"/>
      <c r="KEB46" s="1"/>
      <c r="KEC46" s="1"/>
      <c r="KED46" s="1"/>
      <c r="KEE46" s="1"/>
      <c r="KEF46" s="1"/>
      <c r="KEG46" s="1"/>
      <c r="KEH46" s="1"/>
      <c r="KEI46" s="1"/>
      <c r="KEJ46" s="1"/>
      <c r="KEK46" s="1"/>
      <c r="KEL46" s="1"/>
      <c r="KEM46" s="1"/>
      <c r="KEN46" s="1"/>
      <c r="KEO46" s="1"/>
      <c r="KEP46" s="1"/>
      <c r="KEQ46" s="1"/>
      <c r="KER46" s="1"/>
      <c r="KES46" s="1"/>
      <c r="KET46" s="1"/>
      <c r="KEU46" s="1"/>
      <c r="KEV46" s="1"/>
      <c r="KEW46" s="1"/>
      <c r="KEX46" s="1"/>
      <c r="KEY46" s="1"/>
      <c r="KEZ46" s="1"/>
      <c r="KFA46" s="1"/>
      <c r="KFB46" s="1"/>
      <c r="KFC46" s="1"/>
      <c r="KFD46" s="1"/>
      <c r="KFE46" s="1"/>
      <c r="KFF46" s="1"/>
      <c r="KFG46" s="1"/>
      <c r="KFH46" s="1"/>
      <c r="KFI46" s="1"/>
      <c r="KFJ46" s="1"/>
      <c r="KFK46" s="1"/>
      <c r="KFL46" s="1"/>
      <c r="KFM46" s="1"/>
      <c r="KFN46" s="1"/>
      <c r="KFO46" s="1"/>
      <c r="KFP46" s="1"/>
      <c r="KFQ46" s="1"/>
      <c r="KFR46" s="1"/>
      <c r="KFS46" s="1"/>
      <c r="KFT46" s="1"/>
      <c r="KFU46" s="1"/>
      <c r="KFV46" s="1"/>
      <c r="KFW46" s="1"/>
      <c r="KFX46" s="1"/>
      <c r="KFY46" s="1"/>
      <c r="KFZ46" s="1"/>
      <c r="KGA46" s="1"/>
      <c r="KGB46" s="1"/>
      <c r="KGC46" s="1"/>
      <c r="KGD46" s="1"/>
      <c r="KGE46" s="1"/>
      <c r="KGF46" s="1"/>
      <c r="KGG46" s="1"/>
      <c r="KGH46" s="1"/>
      <c r="KGI46" s="1"/>
      <c r="KGJ46" s="1"/>
      <c r="KGK46" s="1"/>
      <c r="KGL46" s="1"/>
      <c r="KGM46" s="1"/>
      <c r="KGN46" s="1"/>
      <c r="KGO46" s="1"/>
      <c r="KGP46" s="1"/>
      <c r="KGQ46" s="1"/>
      <c r="KGR46" s="1"/>
      <c r="KGS46" s="1"/>
      <c r="KGT46" s="1"/>
      <c r="KGU46" s="1"/>
      <c r="KGV46" s="1"/>
      <c r="KGW46" s="1"/>
      <c r="KGX46" s="1"/>
      <c r="KGY46" s="1"/>
      <c r="KGZ46" s="1"/>
      <c r="KHA46" s="1"/>
      <c r="KHB46" s="1"/>
      <c r="KHC46" s="1"/>
      <c r="KHD46" s="1"/>
      <c r="KHE46" s="1"/>
      <c r="KHF46" s="1"/>
      <c r="KHG46" s="1"/>
      <c r="KHH46" s="1"/>
      <c r="KHI46" s="1"/>
      <c r="KHJ46" s="1"/>
      <c r="KHK46" s="1"/>
      <c r="KHL46" s="1"/>
      <c r="KHM46" s="1"/>
      <c r="KHN46" s="1"/>
      <c r="KHO46" s="1"/>
      <c r="KHP46" s="1"/>
      <c r="KHQ46" s="1"/>
      <c r="KHR46" s="1"/>
      <c r="KHS46" s="1"/>
      <c r="KHT46" s="1"/>
      <c r="KHU46" s="1"/>
      <c r="KHV46" s="1"/>
      <c r="KHW46" s="1"/>
      <c r="KHX46" s="1"/>
      <c r="KHY46" s="1"/>
      <c r="KHZ46" s="1"/>
      <c r="KIA46" s="1"/>
      <c r="KIB46" s="1"/>
      <c r="KIC46" s="1"/>
      <c r="KID46" s="1"/>
      <c r="KIE46" s="1"/>
      <c r="KIF46" s="1"/>
      <c r="KIG46" s="1"/>
      <c r="KIH46" s="1"/>
      <c r="KII46" s="1"/>
      <c r="KIJ46" s="1"/>
      <c r="KIK46" s="1"/>
      <c r="KIL46" s="1"/>
      <c r="KIM46" s="1"/>
      <c r="KIN46" s="1"/>
      <c r="KIO46" s="1"/>
      <c r="KIP46" s="1"/>
      <c r="KIQ46" s="1"/>
      <c r="KIR46" s="1"/>
      <c r="KIS46" s="1"/>
      <c r="KIT46" s="1"/>
      <c r="KIU46" s="1"/>
      <c r="KIV46" s="1"/>
      <c r="KIW46" s="1"/>
      <c r="KIX46" s="1"/>
      <c r="KIY46" s="1"/>
      <c r="KIZ46" s="1"/>
      <c r="KJA46" s="1"/>
      <c r="KJB46" s="1"/>
      <c r="KJC46" s="1"/>
      <c r="KJD46" s="1"/>
      <c r="KJE46" s="1"/>
      <c r="KJF46" s="1"/>
      <c r="KJG46" s="1"/>
      <c r="KJH46" s="1"/>
      <c r="KJI46" s="1"/>
      <c r="KJJ46" s="1"/>
      <c r="KJK46" s="1"/>
      <c r="KJL46" s="1"/>
      <c r="KJM46" s="1"/>
      <c r="KJN46" s="1"/>
      <c r="KJO46" s="1"/>
      <c r="KJP46" s="1"/>
      <c r="KJQ46" s="1"/>
      <c r="KJR46" s="1"/>
      <c r="KJS46" s="1"/>
      <c r="KJT46" s="1"/>
      <c r="KJU46" s="1"/>
      <c r="KJV46" s="1"/>
      <c r="KJW46" s="1"/>
      <c r="KJX46" s="1"/>
      <c r="KJY46" s="1"/>
      <c r="KJZ46" s="1"/>
      <c r="KKA46" s="1"/>
      <c r="KKB46" s="1"/>
      <c r="KKC46" s="1"/>
      <c r="KKD46" s="1"/>
      <c r="KKE46" s="1"/>
      <c r="KKF46" s="1"/>
      <c r="KKG46" s="1"/>
      <c r="KKH46" s="1"/>
      <c r="KKI46" s="1"/>
      <c r="KKJ46" s="1"/>
      <c r="KKK46" s="1"/>
      <c r="KKL46" s="1"/>
      <c r="KKM46" s="1"/>
      <c r="KKN46" s="1"/>
      <c r="KKO46" s="1"/>
      <c r="KKP46" s="1"/>
      <c r="KKQ46" s="1"/>
      <c r="KKR46" s="1"/>
      <c r="KKS46" s="1"/>
      <c r="KKT46" s="1"/>
      <c r="KKU46" s="1"/>
      <c r="KKV46" s="1"/>
      <c r="KKW46" s="1"/>
      <c r="KKX46" s="1"/>
      <c r="KKY46" s="1"/>
      <c r="KKZ46" s="1"/>
      <c r="KLA46" s="1"/>
      <c r="KLB46" s="1"/>
      <c r="KLC46" s="1"/>
      <c r="KLD46" s="1"/>
      <c r="KLE46" s="1"/>
      <c r="KLF46" s="1"/>
      <c r="KLG46" s="1"/>
      <c r="KLH46" s="1"/>
      <c r="KLI46" s="1"/>
      <c r="KLJ46" s="1"/>
      <c r="KLK46" s="1"/>
      <c r="KLL46" s="1"/>
      <c r="KLM46" s="1"/>
      <c r="KLN46" s="1"/>
      <c r="KLO46" s="1"/>
      <c r="KLP46" s="1"/>
      <c r="KLQ46" s="1"/>
      <c r="KLR46" s="1"/>
      <c r="KLS46" s="1"/>
      <c r="KLT46" s="1"/>
      <c r="KLU46" s="1"/>
      <c r="KLV46" s="1"/>
      <c r="KLW46" s="1"/>
      <c r="KLX46" s="1"/>
      <c r="KLY46" s="1"/>
      <c r="KLZ46" s="1"/>
      <c r="KMA46" s="1"/>
      <c r="KMB46" s="1"/>
      <c r="KMC46" s="1"/>
      <c r="KMD46" s="1"/>
      <c r="KME46" s="1"/>
      <c r="KMF46" s="1"/>
      <c r="KMG46" s="1"/>
      <c r="KMH46" s="1"/>
      <c r="KMI46" s="1"/>
      <c r="KMJ46" s="1"/>
      <c r="KMK46" s="1"/>
      <c r="KML46" s="1"/>
      <c r="KMM46" s="1"/>
      <c r="KMN46" s="1"/>
      <c r="KMO46" s="1"/>
      <c r="KMP46" s="1"/>
      <c r="KMQ46" s="1"/>
      <c r="KMR46" s="1"/>
      <c r="KMS46" s="1"/>
      <c r="KMT46" s="1"/>
      <c r="KMU46" s="1"/>
      <c r="KMV46" s="1"/>
      <c r="KMW46" s="1"/>
      <c r="KMX46" s="1"/>
      <c r="KMY46" s="1"/>
      <c r="KMZ46" s="1"/>
      <c r="KNA46" s="1"/>
      <c r="KNB46" s="1"/>
      <c r="KNC46" s="1"/>
      <c r="KND46" s="1"/>
      <c r="KNE46" s="1"/>
      <c r="KNF46" s="1"/>
      <c r="KNG46" s="1"/>
      <c r="KNH46" s="1"/>
      <c r="KNI46" s="1"/>
      <c r="KNJ46" s="1"/>
      <c r="KNK46" s="1"/>
      <c r="KNL46" s="1"/>
      <c r="KNM46" s="1"/>
      <c r="KNN46" s="1"/>
      <c r="KNO46" s="1"/>
      <c r="KNP46" s="1"/>
      <c r="KNQ46" s="1"/>
      <c r="KNR46" s="1"/>
      <c r="KNS46" s="1"/>
      <c r="KNT46" s="1"/>
      <c r="KNU46" s="1"/>
      <c r="KNV46" s="1"/>
      <c r="KNW46" s="1"/>
      <c r="KNX46" s="1"/>
      <c r="KNY46" s="1"/>
      <c r="KNZ46" s="1"/>
      <c r="KOA46" s="1"/>
      <c r="KOB46" s="1"/>
      <c r="KOC46" s="1"/>
      <c r="KOD46" s="1"/>
      <c r="KOE46" s="1"/>
      <c r="KOF46" s="1"/>
      <c r="KOG46" s="1"/>
      <c r="KOH46" s="1"/>
      <c r="KOI46" s="1"/>
      <c r="KOJ46" s="1"/>
      <c r="KOK46" s="1"/>
      <c r="KOL46" s="1"/>
      <c r="KOM46" s="1"/>
      <c r="KON46" s="1"/>
      <c r="KOO46" s="1"/>
      <c r="KOP46" s="1"/>
      <c r="KOQ46" s="1"/>
      <c r="KOR46" s="1"/>
      <c r="KOS46" s="1"/>
      <c r="KOT46" s="1"/>
      <c r="KOU46" s="1"/>
      <c r="KOV46" s="1"/>
      <c r="KOW46" s="1"/>
      <c r="KOX46" s="1"/>
      <c r="KOY46" s="1"/>
      <c r="KOZ46" s="1"/>
      <c r="KPA46" s="1"/>
      <c r="KPB46" s="1"/>
      <c r="KPC46" s="1"/>
      <c r="KPD46" s="1"/>
      <c r="KPE46" s="1"/>
      <c r="KPF46" s="1"/>
      <c r="KPG46" s="1"/>
      <c r="KPH46" s="1"/>
      <c r="KPI46" s="1"/>
      <c r="KPJ46" s="1"/>
      <c r="KPK46" s="1"/>
      <c r="KPL46" s="1"/>
      <c r="KPM46" s="1"/>
      <c r="KPN46" s="1"/>
      <c r="KPO46" s="1"/>
      <c r="KPP46" s="1"/>
      <c r="KPQ46" s="1"/>
      <c r="KPR46" s="1"/>
      <c r="KPS46" s="1"/>
      <c r="KPT46" s="1"/>
      <c r="KPU46" s="1"/>
      <c r="KPV46" s="1"/>
      <c r="KPW46" s="1"/>
      <c r="KPX46" s="1"/>
      <c r="KPY46" s="1"/>
      <c r="KPZ46" s="1"/>
      <c r="KQA46" s="1"/>
      <c r="KQB46" s="1"/>
      <c r="KQC46" s="1"/>
      <c r="KQD46" s="1"/>
      <c r="KQE46" s="1"/>
      <c r="KQF46" s="1"/>
      <c r="KQG46" s="1"/>
      <c r="KQH46" s="1"/>
      <c r="KQI46" s="1"/>
      <c r="KQJ46" s="1"/>
      <c r="KQK46" s="1"/>
      <c r="KQL46" s="1"/>
      <c r="KQM46" s="1"/>
      <c r="KQN46" s="1"/>
      <c r="KQO46" s="1"/>
      <c r="KQP46" s="1"/>
      <c r="KQQ46" s="1"/>
      <c r="KQR46" s="1"/>
      <c r="KQS46" s="1"/>
      <c r="KQT46" s="1"/>
      <c r="KQU46" s="1"/>
      <c r="KQV46" s="1"/>
      <c r="KQW46" s="1"/>
      <c r="KQX46" s="1"/>
      <c r="KQY46" s="1"/>
      <c r="KQZ46" s="1"/>
      <c r="KRA46" s="1"/>
      <c r="KRB46" s="1"/>
      <c r="KRC46" s="1"/>
      <c r="KRD46" s="1"/>
      <c r="KRE46" s="1"/>
      <c r="KRF46" s="1"/>
      <c r="KRG46" s="1"/>
      <c r="KRH46" s="1"/>
      <c r="KRI46" s="1"/>
      <c r="KRJ46" s="1"/>
      <c r="KRK46" s="1"/>
      <c r="KRL46" s="1"/>
      <c r="KRM46" s="1"/>
      <c r="KRN46" s="1"/>
      <c r="KRO46" s="1"/>
      <c r="KRP46" s="1"/>
      <c r="KRQ46" s="1"/>
      <c r="KRR46" s="1"/>
      <c r="KRS46" s="1"/>
      <c r="KRT46" s="1"/>
      <c r="KRU46" s="1"/>
      <c r="KRV46" s="1"/>
      <c r="KRW46" s="1"/>
      <c r="KRX46" s="1"/>
      <c r="KRY46" s="1"/>
      <c r="KRZ46" s="1"/>
      <c r="KSA46" s="1"/>
      <c r="KSB46" s="1"/>
      <c r="KSC46" s="1"/>
      <c r="KSD46" s="1"/>
      <c r="KSE46" s="1"/>
      <c r="KSF46" s="1"/>
      <c r="KSG46" s="1"/>
      <c r="KSH46" s="1"/>
      <c r="KSI46" s="1"/>
      <c r="KSJ46" s="1"/>
      <c r="KSK46" s="1"/>
      <c r="KSL46" s="1"/>
      <c r="KSM46" s="1"/>
      <c r="KSN46" s="1"/>
      <c r="KSO46" s="1"/>
      <c r="KSP46" s="1"/>
      <c r="KSQ46" s="1"/>
      <c r="KSR46" s="1"/>
      <c r="KSS46" s="1"/>
      <c r="KST46" s="1"/>
      <c r="KSU46" s="1"/>
      <c r="KSV46" s="1"/>
      <c r="KSW46" s="1"/>
      <c r="KSX46" s="1"/>
      <c r="KSY46" s="1"/>
      <c r="KSZ46" s="1"/>
      <c r="KTA46" s="1"/>
      <c r="KTB46" s="1"/>
      <c r="KTC46" s="1"/>
      <c r="KTD46" s="1"/>
      <c r="KTE46" s="1"/>
      <c r="KTF46" s="1"/>
      <c r="KTG46" s="1"/>
      <c r="KTH46" s="1"/>
      <c r="KTI46" s="1"/>
      <c r="KTJ46" s="1"/>
      <c r="KTK46" s="1"/>
      <c r="KTL46" s="1"/>
      <c r="KTM46" s="1"/>
      <c r="KTN46" s="1"/>
      <c r="KTO46" s="1"/>
      <c r="KTP46" s="1"/>
      <c r="KTQ46" s="1"/>
      <c r="KTR46" s="1"/>
      <c r="KTS46" s="1"/>
      <c r="KTT46" s="1"/>
      <c r="KTU46" s="1"/>
      <c r="KTV46" s="1"/>
      <c r="KTW46" s="1"/>
      <c r="KTX46" s="1"/>
      <c r="KTY46" s="1"/>
      <c r="KTZ46" s="1"/>
      <c r="KUA46" s="1"/>
      <c r="KUB46" s="1"/>
      <c r="KUC46" s="1"/>
      <c r="KUD46" s="1"/>
      <c r="KUE46" s="1"/>
      <c r="KUF46" s="1"/>
      <c r="KUG46" s="1"/>
      <c r="KUH46" s="1"/>
      <c r="KUI46" s="1"/>
      <c r="KUJ46" s="1"/>
      <c r="KUK46" s="1"/>
      <c r="KUL46" s="1"/>
      <c r="KUM46" s="1"/>
      <c r="KUN46" s="1"/>
      <c r="KUO46" s="1"/>
      <c r="KUP46" s="1"/>
      <c r="KUQ46" s="1"/>
      <c r="KUR46" s="1"/>
      <c r="KUS46" s="1"/>
      <c r="KUT46" s="1"/>
      <c r="KUU46" s="1"/>
      <c r="KUV46" s="1"/>
      <c r="KUW46" s="1"/>
      <c r="KUX46" s="1"/>
      <c r="KUY46" s="1"/>
      <c r="KUZ46" s="1"/>
      <c r="KVA46" s="1"/>
      <c r="KVB46" s="1"/>
      <c r="KVC46" s="1"/>
      <c r="KVD46" s="1"/>
      <c r="KVE46" s="1"/>
      <c r="KVF46" s="1"/>
      <c r="KVG46" s="1"/>
      <c r="KVH46" s="1"/>
      <c r="KVI46" s="1"/>
      <c r="KVJ46" s="1"/>
      <c r="KVK46" s="1"/>
      <c r="KVL46" s="1"/>
      <c r="KVM46" s="1"/>
      <c r="KVN46" s="1"/>
      <c r="KVO46" s="1"/>
      <c r="KVP46" s="1"/>
      <c r="KVQ46" s="1"/>
      <c r="KVR46" s="1"/>
      <c r="KVS46" s="1"/>
      <c r="KVT46" s="1"/>
      <c r="KVU46" s="1"/>
      <c r="KVV46" s="1"/>
      <c r="KVW46" s="1"/>
      <c r="KVX46" s="1"/>
      <c r="KVY46" s="1"/>
      <c r="KVZ46" s="1"/>
      <c r="KWA46" s="1"/>
      <c r="KWB46" s="1"/>
      <c r="KWC46" s="1"/>
      <c r="KWD46" s="1"/>
      <c r="KWE46" s="1"/>
      <c r="KWF46" s="1"/>
      <c r="KWG46" s="1"/>
      <c r="KWH46" s="1"/>
      <c r="KWI46" s="1"/>
      <c r="KWJ46" s="1"/>
      <c r="KWK46" s="1"/>
      <c r="KWL46" s="1"/>
      <c r="KWM46" s="1"/>
      <c r="KWN46" s="1"/>
      <c r="KWO46" s="1"/>
      <c r="KWP46" s="1"/>
      <c r="KWQ46" s="1"/>
      <c r="KWR46" s="1"/>
      <c r="KWS46" s="1"/>
      <c r="KWT46" s="1"/>
      <c r="KWU46" s="1"/>
      <c r="KWV46" s="1"/>
      <c r="KWW46" s="1"/>
      <c r="KWX46" s="1"/>
      <c r="KWY46" s="1"/>
      <c r="KWZ46" s="1"/>
      <c r="KXA46" s="1"/>
      <c r="KXB46" s="1"/>
      <c r="KXC46" s="1"/>
      <c r="KXD46" s="1"/>
      <c r="KXE46" s="1"/>
      <c r="KXF46" s="1"/>
      <c r="KXG46" s="1"/>
      <c r="KXH46" s="1"/>
      <c r="KXI46" s="1"/>
      <c r="KXJ46" s="1"/>
      <c r="KXK46" s="1"/>
      <c r="KXL46" s="1"/>
      <c r="KXM46" s="1"/>
      <c r="KXN46" s="1"/>
      <c r="KXO46" s="1"/>
      <c r="KXP46" s="1"/>
      <c r="KXQ46" s="1"/>
      <c r="KXR46" s="1"/>
      <c r="KXS46" s="1"/>
      <c r="KXT46" s="1"/>
      <c r="KXU46" s="1"/>
      <c r="KXV46" s="1"/>
      <c r="KXW46" s="1"/>
      <c r="KXX46" s="1"/>
      <c r="KXY46" s="1"/>
      <c r="KXZ46" s="1"/>
      <c r="KYA46" s="1"/>
      <c r="KYB46" s="1"/>
      <c r="KYC46" s="1"/>
      <c r="KYD46" s="1"/>
      <c r="KYE46" s="1"/>
      <c r="KYF46" s="1"/>
      <c r="KYG46" s="1"/>
      <c r="KYH46" s="1"/>
      <c r="KYI46" s="1"/>
      <c r="KYJ46" s="1"/>
      <c r="KYK46" s="1"/>
      <c r="KYL46" s="1"/>
      <c r="KYM46" s="1"/>
      <c r="KYN46" s="1"/>
      <c r="KYO46" s="1"/>
      <c r="KYP46" s="1"/>
      <c r="KYQ46" s="1"/>
      <c r="KYR46" s="1"/>
      <c r="KYS46" s="1"/>
      <c r="KYT46" s="1"/>
      <c r="KYU46" s="1"/>
      <c r="KYV46" s="1"/>
      <c r="KYW46" s="1"/>
      <c r="KYX46" s="1"/>
      <c r="KYY46" s="1"/>
      <c r="KYZ46" s="1"/>
      <c r="KZA46" s="1"/>
      <c r="KZB46" s="1"/>
      <c r="KZC46" s="1"/>
      <c r="KZD46" s="1"/>
      <c r="KZE46" s="1"/>
      <c r="KZF46" s="1"/>
      <c r="KZG46" s="1"/>
      <c r="KZH46" s="1"/>
      <c r="KZI46" s="1"/>
      <c r="KZJ46" s="1"/>
      <c r="KZK46" s="1"/>
      <c r="KZL46" s="1"/>
      <c r="KZM46" s="1"/>
      <c r="KZN46" s="1"/>
      <c r="KZO46" s="1"/>
      <c r="KZP46" s="1"/>
      <c r="KZQ46" s="1"/>
      <c r="KZR46" s="1"/>
      <c r="KZS46" s="1"/>
      <c r="KZT46" s="1"/>
      <c r="KZU46" s="1"/>
      <c r="KZV46" s="1"/>
      <c r="KZW46" s="1"/>
      <c r="KZX46" s="1"/>
      <c r="KZY46" s="1"/>
      <c r="KZZ46" s="1"/>
      <c r="LAA46" s="1"/>
      <c r="LAB46" s="1"/>
      <c r="LAC46" s="1"/>
      <c r="LAD46" s="1"/>
      <c r="LAE46" s="1"/>
      <c r="LAF46" s="1"/>
      <c r="LAG46" s="1"/>
      <c r="LAH46" s="1"/>
      <c r="LAI46" s="1"/>
      <c r="LAJ46" s="1"/>
      <c r="LAK46" s="1"/>
      <c r="LAL46" s="1"/>
      <c r="LAM46" s="1"/>
      <c r="LAN46" s="1"/>
      <c r="LAO46" s="1"/>
      <c r="LAP46" s="1"/>
      <c r="LAQ46" s="1"/>
      <c r="LAR46" s="1"/>
      <c r="LAS46" s="1"/>
      <c r="LAT46" s="1"/>
      <c r="LAU46" s="1"/>
      <c r="LAV46" s="1"/>
      <c r="LAW46" s="1"/>
      <c r="LAX46" s="1"/>
      <c r="LAY46" s="1"/>
      <c r="LAZ46" s="1"/>
      <c r="LBA46" s="1"/>
      <c r="LBB46" s="1"/>
      <c r="LBC46" s="1"/>
      <c r="LBD46" s="1"/>
      <c r="LBE46" s="1"/>
      <c r="LBF46" s="1"/>
      <c r="LBG46" s="1"/>
      <c r="LBH46" s="1"/>
      <c r="LBI46" s="1"/>
      <c r="LBJ46" s="1"/>
      <c r="LBK46" s="1"/>
      <c r="LBL46" s="1"/>
      <c r="LBM46" s="1"/>
      <c r="LBN46" s="1"/>
      <c r="LBO46" s="1"/>
      <c r="LBP46" s="1"/>
      <c r="LBQ46" s="1"/>
      <c r="LBR46" s="1"/>
      <c r="LBS46" s="1"/>
      <c r="LBT46" s="1"/>
      <c r="LBU46" s="1"/>
      <c r="LBV46" s="1"/>
      <c r="LBW46" s="1"/>
      <c r="LBX46" s="1"/>
      <c r="LBY46" s="1"/>
      <c r="LBZ46" s="1"/>
      <c r="LCA46" s="1"/>
      <c r="LCB46" s="1"/>
      <c r="LCC46" s="1"/>
      <c r="LCD46" s="1"/>
      <c r="LCE46" s="1"/>
      <c r="LCF46" s="1"/>
      <c r="LCG46" s="1"/>
      <c r="LCH46" s="1"/>
      <c r="LCI46" s="1"/>
      <c r="LCJ46" s="1"/>
      <c r="LCK46" s="1"/>
      <c r="LCL46" s="1"/>
      <c r="LCM46" s="1"/>
      <c r="LCN46" s="1"/>
      <c r="LCO46" s="1"/>
      <c r="LCP46" s="1"/>
      <c r="LCQ46" s="1"/>
      <c r="LCR46" s="1"/>
      <c r="LCS46" s="1"/>
      <c r="LCT46" s="1"/>
      <c r="LCU46" s="1"/>
      <c r="LCV46" s="1"/>
      <c r="LCW46" s="1"/>
      <c r="LCX46" s="1"/>
      <c r="LCY46" s="1"/>
      <c r="LCZ46" s="1"/>
      <c r="LDA46" s="1"/>
      <c r="LDB46" s="1"/>
      <c r="LDC46" s="1"/>
      <c r="LDD46" s="1"/>
      <c r="LDE46" s="1"/>
      <c r="LDF46" s="1"/>
      <c r="LDG46" s="1"/>
      <c r="LDH46" s="1"/>
      <c r="LDI46" s="1"/>
      <c r="LDJ46" s="1"/>
      <c r="LDK46" s="1"/>
      <c r="LDL46" s="1"/>
      <c r="LDM46" s="1"/>
      <c r="LDN46" s="1"/>
      <c r="LDO46" s="1"/>
      <c r="LDP46" s="1"/>
      <c r="LDQ46" s="1"/>
      <c r="LDR46" s="1"/>
      <c r="LDS46" s="1"/>
      <c r="LDT46" s="1"/>
      <c r="LDU46" s="1"/>
      <c r="LDV46" s="1"/>
      <c r="LDW46" s="1"/>
      <c r="LDX46" s="1"/>
      <c r="LDY46" s="1"/>
      <c r="LDZ46" s="1"/>
      <c r="LEA46" s="1"/>
      <c r="LEB46" s="1"/>
      <c r="LEC46" s="1"/>
      <c r="LED46" s="1"/>
      <c r="LEE46" s="1"/>
      <c r="LEF46" s="1"/>
      <c r="LEG46" s="1"/>
      <c r="LEH46" s="1"/>
      <c r="LEI46" s="1"/>
      <c r="LEJ46" s="1"/>
      <c r="LEK46" s="1"/>
      <c r="LEL46" s="1"/>
      <c r="LEM46" s="1"/>
      <c r="LEN46" s="1"/>
      <c r="LEO46" s="1"/>
      <c r="LEP46" s="1"/>
      <c r="LEQ46" s="1"/>
      <c r="LER46" s="1"/>
      <c r="LES46" s="1"/>
      <c r="LET46" s="1"/>
      <c r="LEU46" s="1"/>
      <c r="LEV46" s="1"/>
      <c r="LEW46" s="1"/>
      <c r="LEX46" s="1"/>
      <c r="LEY46" s="1"/>
      <c r="LEZ46" s="1"/>
      <c r="LFA46" s="1"/>
      <c r="LFB46" s="1"/>
      <c r="LFC46" s="1"/>
      <c r="LFD46" s="1"/>
      <c r="LFE46" s="1"/>
      <c r="LFF46" s="1"/>
      <c r="LFG46" s="1"/>
      <c r="LFH46" s="1"/>
      <c r="LFI46" s="1"/>
      <c r="LFJ46" s="1"/>
      <c r="LFK46" s="1"/>
      <c r="LFL46" s="1"/>
      <c r="LFM46" s="1"/>
      <c r="LFN46" s="1"/>
      <c r="LFO46" s="1"/>
      <c r="LFP46" s="1"/>
      <c r="LFQ46" s="1"/>
      <c r="LFR46" s="1"/>
      <c r="LFS46" s="1"/>
      <c r="LFT46" s="1"/>
      <c r="LFU46" s="1"/>
      <c r="LFV46" s="1"/>
      <c r="LFW46" s="1"/>
      <c r="LFX46" s="1"/>
      <c r="LFY46" s="1"/>
      <c r="LFZ46" s="1"/>
      <c r="LGA46" s="1"/>
      <c r="LGB46" s="1"/>
      <c r="LGC46" s="1"/>
      <c r="LGD46" s="1"/>
      <c r="LGE46" s="1"/>
      <c r="LGF46" s="1"/>
      <c r="LGG46" s="1"/>
      <c r="LGH46" s="1"/>
      <c r="LGI46" s="1"/>
      <c r="LGJ46" s="1"/>
      <c r="LGK46" s="1"/>
      <c r="LGL46" s="1"/>
      <c r="LGM46" s="1"/>
      <c r="LGN46" s="1"/>
      <c r="LGO46" s="1"/>
      <c r="LGP46" s="1"/>
      <c r="LGQ46" s="1"/>
      <c r="LGR46" s="1"/>
      <c r="LGS46" s="1"/>
      <c r="LGT46" s="1"/>
      <c r="LGU46" s="1"/>
      <c r="LGV46" s="1"/>
      <c r="LGW46" s="1"/>
      <c r="LGX46" s="1"/>
      <c r="LGY46" s="1"/>
      <c r="LGZ46" s="1"/>
      <c r="LHA46" s="1"/>
      <c r="LHB46" s="1"/>
      <c r="LHC46" s="1"/>
      <c r="LHD46" s="1"/>
      <c r="LHE46" s="1"/>
      <c r="LHF46" s="1"/>
      <c r="LHG46" s="1"/>
      <c r="LHH46" s="1"/>
      <c r="LHI46" s="1"/>
      <c r="LHJ46" s="1"/>
      <c r="LHK46" s="1"/>
      <c r="LHL46" s="1"/>
      <c r="LHM46" s="1"/>
      <c r="LHN46" s="1"/>
      <c r="LHO46" s="1"/>
      <c r="LHP46" s="1"/>
      <c r="LHQ46" s="1"/>
      <c r="LHR46" s="1"/>
      <c r="LHS46" s="1"/>
      <c r="LHT46" s="1"/>
      <c r="LHU46" s="1"/>
      <c r="LHV46" s="1"/>
      <c r="LHW46" s="1"/>
      <c r="LHX46" s="1"/>
      <c r="LHY46" s="1"/>
      <c r="LHZ46" s="1"/>
      <c r="LIA46" s="1"/>
      <c r="LIB46" s="1"/>
      <c r="LIC46" s="1"/>
      <c r="LID46" s="1"/>
      <c r="LIE46" s="1"/>
      <c r="LIF46" s="1"/>
      <c r="LIG46" s="1"/>
      <c r="LIH46" s="1"/>
      <c r="LII46" s="1"/>
      <c r="LIJ46" s="1"/>
      <c r="LIK46" s="1"/>
      <c r="LIL46" s="1"/>
      <c r="LIM46" s="1"/>
      <c r="LIN46" s="1"/>
      <c r="LIO46" s="1"/>
      <c r="LIP46" s="1"/>
      <c r="LIQ46" s="1"/>
      <c r="LIR46" s="1"/>
      <c r="LIS46" s="1"/>
      <c r="LIT46" s="1"/>
      <c r="LIU46" s="1"/>
      <c r="LIV46" s="1"/>
      <c r="LIW46" s="1"/>
      <c r="LIX46" s="1"/>
      <c r="LIY46" s="1"/>
      <c r="LIZ46" s="1"/>
      <c r="LJA46" s="1"/>
      <c r="LJB46" s="1"/>
      <c r="LJC46" s="1"/>
      <c r="LJD46" s="1"/>
      <c r="LJE46" s="1"/>
      <c r="LJF46" s="1"/>
      <c r="LJG46" s="1"/>
      <c r="LJH46" s="1"/>
      <c r="LJI46" s="1"/>
      <c r="LJJ46" s="1"/>
      <c r="LJK46" s="1"/>
      <c r="LJL46" s="1"/>
      <c r="LJM46" s="1"/>
      <c r="LJN46" s="1"/>
      <c r="LJO46" s="1"/>
      <c r="LJP46" s="1"/>
      <c r="LJQ46" s="1"/>
      <c r="LJR46" s="1"/>
      <c r="LJS46" s="1"/>
      <c r="LJT46" s="1"/>
      <c r="LJU46" s="1"/>
      <c r="LJV46" s="1"/>
      <c r="LJW46" s="1"/>
      <c r="LJX46" s="1"/>
      <c r="LJY46" s="1"/>
      <c r="LJZ46" s="1"/>
      <c r="LKA46" s="1"/>
      <c r="LKB46" s="1"/>
      <c r="LKC46" s="1"/>
      <c r="LKD46" s="1"/>
      <c r="LKE46" s="1"/>
      <c r="LKF46" s="1"/>
      <c r="LKG46" s="1"/>
      <c r="LKH46" s="1"/>
      <c r="LKI46" s="1"/>
      <c r="LKJ46" s="1"/>
      <c r="LKK46" s="1"/>
      <c r="LKL46" s="1"/>
      <c r="LKM46" s="1"/>
      <c r="LKN46" s="1"/>
      <c r="LKO46" s="1"/>
      <c r="LKP46" s="1"/>
      <c r="LKQ46" s="1"/>
      <c r="LKR46" s="1"/>
      <c r="LKS46" s="1"/>
      <c r="LKT46" s="1"/>
      <c r="LKU46" s="1"/>
      <c r="LKV46" s="1"/>
      <c r="LKW46" s="1"/>
      <c r="LKX46" s="1"/>
      <c r="LKY46" s="1"/>
      <c r="LKZ46" s="1"/>
      <c r="LLA46" s="1"/>
      <c r="LLB46" s="1"/>
      <c r="LLC46" s="1"/>
      <c r="LLD46" s="1"/>
      <c r="LLE46" s="1"/>
      <c r="LLF46" s="1"/>
      <c r="LLG46" s="1"/>
      <c r="LLH46" s="1"/>
      <c r="LLI46" s="1"/>
      <c r="LLJ46" s="1"/>
      <c r="LLK46" s="1"/>
      <c r="LLL46" s="1"/>
      <c r="LLM46" s="1"/>
      <c r="LLN46" s="1"/>
      <c r="LLO46" s="1"/>
      <c r="LLP46" s="1"/>
      <c r="LLQ46" s="1"/>
      <c r="LLR46" s="1"/>
      <c r="LLS46" s="1"/>
      <c r="LLT46" s="1"/>
      <c r="LLU46" s="1"/>
      <c r="LLV46" s="1"/>
      <c r="LLW46" s="1"/>
      <c r="LLX46" s="1"/>
      <c r="LLY46" s="1"/>
      <c r="LLZ46" s="1"/>
      <c r="LMA46" s="1"/>
      <c r="LMB46" s="1"/>
      <c r="LMC46" s="1"/>
      <c r="LMD46" s="1"/>
      <c r="LME46" s="1"/>
      <c r="LMF46" s="1"/>
      <c r="LMG46" s="1"/>
      <c r="LMH46" s="1"/>
      <c r="LMI46" s="1"/>
      <c r="LMJ46" s="1"/>
      <c r="LMK46" s="1"/>
      <c r="LML46" s="1"/>
      <c r="LMM46" s="1"/>
      <c r="LMN46" s="1"/>
      <c r="LMO46" s="1"/>
      <c r="LMP46" s="1"/>
      <c r="LMQ46" s="1"/>
      <c r="LMR46" s="1"/>
      <c r="LMS46" s="1"/>
      <c r="LMT46" s="1"/>
      <c r="LMU46" s="1"/>
      <c r="LMV46" s="1"/>
      <c r="LMW46" s="1"/>
      <c r="LMX46" s="1"/>
      <c r="LMY46" s="1"/>
      <c r="LMZ46" s="1"/>
      <c r="LNA46" s="1"/>
      <c r="LNB46" s="1"/>
      <c r="LNC46" s="1"/>
      <c r="LND46" s="1"/>
      <c r="LNE46" s="1"/>
      <c r="LNF46" s="1"/>
      <c r="LNG46" s="1"/>
      <c r="LNH46" s="1"/>
      <c r="LNI46" s="1"/>
      <c r="LNJ46" s="1"/>
      <c r="LNK46" s="1"/>
      <c r="LNL46" s="1"/>
      <c r="LNM46" s="1"/>
      <c r="LNN46" s="1"/>
      <c r="LNO46" s="1"/>
      <c r="LNP46" s="1"/>
      <c r="LNQ46" s="1"/>
      <c r="LNR46" s="1"/>
      <c r="LNS46" s="1"/>
      <c r="LNT46" s="1"/>
      <c r="LNU46" s="1"/>
      <c r="LNV46" s="1"/>
      <c r="LNW46" s="1"/>
      <c r="LNX46" s="1"/>
      <c r="LNY46" s="1"/>
      <c r="LNZ46" s="1"/>
      <c r="LOA46" s="1"/>
      <c r="LOB46" s="1"/>
      <c r="LOC46" s="1"/>
      <c r="LOD46" s="1"/>
      <c r="LOE46" s="1"/>
      <c r="LOF46" s="1"/>
      <c r="LOG46" s="1"/>
      <c r="LOH46" s="1"/>
      <c r="LOI46" s="1"/>
      <c r="LOJ46" s="1"/>
      <c r="LOK46" s="1"/>
      <c r="LOL46" s="1"/>
      <c r="LOM46" s="1"/>
      <c r="LON46" s="1"/>
      <c r="LOO46" s="1"/>
      <c r="LOP46" s="1"/>
      <c r="LOQ46" s="1"/>
      <c r="LOR46" s="1"/>
      <c r="LOS46" s="1"/>
      <c r="LOT46" s="1"/>
      <c r="LOU46" s="1"/>
      <c r="LOV46" s="1"/>
      <c r="LOW46" s="1"/>
      <c r="LOX46" s="1"/>
      <c r="LOY46" s="1"/>
      <c r="LOZ46" s="1"/>
      <c r="LPA46" s="1"/>
      <c r="LPB46" s="1"/>
      <c r="LPC46" s="1"/>
      <c r="LPD46" s="1"/>
      <c r="LPE46" s="1"/>
      <c r="LPF46" s="1"/>
      <c r="LPG46" s="1"/>
      <c r="LPH46" s="1"/>
      <c r="LPI46" s="1"/>
      <c r="LPJ46" s="1"/>
      <c r="LPK46" s="1"/>
      <c r="LPL46" s="1"/>
      <c r="LPM46" s="1"/>
      <c r="LPN46" s="1"/>
      <c r="LPO46" s="1"/>
      <c r="LPP46" s="1"/>
      <c r="LPQ46" s="1"/>
      <c r="LPR46" s="1"/>
      <c r="LPS46" s="1"/>
      <c r="LPT46" s="1"/>
      <c r="LPU46" s="1"/>
      <c r="LPV46" s="1"/>
      <c r="LPW46" s="1"/>
      <c r="LPX46" s="1"/>
      <c r="LPY46" s="1"/>
      <c r="LPZ46" s="1"/>
      <c r="LQA46" s="1"/>
      <c r="LQB46" s="1"/>
      <c r="LQC46" s="1"/>
      <c r="LQD46" s="1"/>
      <c r="LQE46" s="1"/>
      <c r="LQF46" s="1"/>
      <c r="LQG46" s="1"/>
      <c r="LQH46" s="1"/>
      <c r="LQI46" s="1"/>
      <c r="LQJ46" s="1"/>
      <c r="LQK46" s="1"/>
      <c r="LQL46" s="1"/>
      <c r="LQM46" s="1"/>
      <c r="LQN46" s="1"/>
      <c r="LQO46" s="1"/>
      <c r="LQP46" s="1"/>
      <c r="LQQ46" s="1"/>
      <c r="LQR46" s="1"/>
      <c r="LQS46" s="1"/>
      <c r="LQT46" s="1"/>
      <c r="LQU46" s="1"/>
      <c r="LQV46" s="1"/>
      <c r="LQW46" s="1"/>
      <c r="LQX46" s="1"/>
      <c r="LQY46" s="1"/>
      <c r="LQZ46" s="1"/>
      <c r="LRA46" s="1"/>
      <c r="LRB46" s="1"/>
      <c r="LRC46" s="1"/>
      <c r="LRD46" s="1"/>
      <c r="LRE46" s="1"/>
      <c r="LRF46" s="1"/>
      <c r="LRG46" s="1"/>
      <c r="LRH46" s="1"/>
      <c r="LRI46" s="1"/>
      <c r="LRJ46" s="1"/>
      <c r="LRK46" s="1"/>
      <c r="LRL46" s="1"/>
      <c r="LRM46" s="1"/>
      <c r="LRN46" s="1"/>
      <c r="LRO46" s="1"/>
      <c r="LRP46" s="1"/>
      <c r="LRQ46" s="1"/>
      <c r="LRR46" s="1"/>
      <c r="LRS46" s="1"/>
      <c r="LRT46" s="1"/>
      <c r="LRU46" s="1"/>
      <c r="LRV46" s="1"/>
      <c r="LRW46" s="1"/>
      <c r="LRX46" s="1"/>
      <c r="LRY46" s="1"/>
      <c r="LRZ46" s="1"/>
      <c r="LSA46" s="1"/>
      <c r="LSB46" s="1"/>
      <c r="LSC46" s="1"/>
      <c r="LSD46" s="1"/>
      <c r="LSE46" s="1"/>
      <c r="LSF46" s="1"/>
      <c r="LSG46" s="1"/>
      <c r="LSH46" s="1"/>
      <c r="LSI46" s="1"/>
      <c r="LSJ46" s="1"/>
      <c r="LSK46" s="1"/>
      <c r="LSL46" s="1"/>
      <c r="LSM46" s="1"/>
      <c r="LSN46" s="1"/>
      <c r="LSO46" s="1"/>
      <c r="LSP46" s="1"/>
      <c r="LSQ46" s="1"/>
      <c r="LSR46" s="1"/>
      <c r="LSS46" s="1"/>
      <c r="LST46" s="1"/>
      <c r="LSU46" s="1"/>
      <c r="LSV46" s="1"/>
      <c r="LSW46" s="1"/>
      <c r="LSX46" s="1"/>
      <c r="LSY46" s="1"/>
      <c r="LSZ46" s="1"/>
      <c r="LTA46" s="1"/>
      <c r="LTB46" s="1"/>
      <c r="LTC46" s="1"/>
      <c r="LTD46" s="1"/>
      <c r="LTE46" s="1"/>
      <c r="LTF46" s="1"/>
      <c r="LTG46" s="1"/>
      <c r="LTH46" s="1"/>
      <c r="LTI46" s="1"/>
      <c r="LTJ46" s="1"/>
      <c r="LTK46" s="1"/>
      <c r="LTL46" s="1"/>
      <c r="LTM46" s="1"/>
      <c r="LTN46" s="1"/>
      <c r="LTO46" s="1"/>
      <c r="LTP46" s="1"/>
      <c r="LTQ46" s="1"/>
      <c r="LTR46" s="1"/>
      <c r="LTS46" s="1"/>
      <c r="LTT46" s="1"/>
      <c r="LTU46" s="1"/>
      <c r="LTV46" s="1"/>
      <c r="LTW46" s="1"/>
      <c r="LTX46" s="1"/>
      <c r="LTY46" s="1"/>
      <c r="LTZ46" s="1"/>
      <c r="LUA46" s="1"/>
      <c r="LUB46" s="1"/>
      <c r="LUC46" s="1"/>
      <c r="LUD46" s="1"/>
      <c r="LUE46" s="1"/>
      <c r="LUF46" s="1"/>
      <c r="LUG46" s="1"/>
      <c r="LUH46" s="1"/>
      <c r="LUI46" s="1"/>
      <c r="LUJ46" s="1"/>
      <c r="LUK46" s="1"/>
      <c r="LUL46" s="1"/>
      <c r="LUM46" s="1"/>
      <c r="LUN46" s="1"/>
      <c r="LUO46" s="1"/>
      <c r="LUP46" s="1"/>
      <c r="LUQ46" s="1"/>
      <c r="LUR46" s="1"/>
      <c r="LUS46" s="1"/>
      <c r="LUT46" s="1"/>
      <c r="LUU46" s="1"/>
      <c r="LUV46" s="1"/>
      <c r="LUW46" s="1"/>
      <c r="LUX46" s="1"/>
      <c r="LUY46" s="1"/>
      <c r="LUZ46" s="1"/>
      <c r="LVA46" s="1"/>
      <c r="LVB46" s="1"/>
      <c r="LVC46" s="1"/>
      <c r="LVD46" s="1"/>
      <c r="LVE46" s="1"/>
      <c r="LVF46" s="1"/>
      <c r="LVG46" s="1"/>
      <c r="LVH46" s="1"/>
      <c r="LVI46" s="1"/>
      <c r="LVJ46" s="1"/>
      <c r="LVK46" s="1"/>
      <c r="LVL46" s="1"/>
      <c r="LVM46" s="1"/>
      <c r="LVN46" s="1"/>
      <c r="LVO46" s="1"/>
      <c r="LVP46" s="1"/>
      <c r="LVQ46" s="1"/>
      <c r="LVR46" s="1"/>
      <c r="LVS46" s="1"/>
      <c r="LVT46" s="1"/>
      <c r="LVU46" s="1"/>
      <c r="LVV46" s="1"/>
      <c r="LVW46" s="1"/>
      <c r="LVX46" s="1"/>
      <c r="LVY46" s="1"/>
      <c r="LVZ46" s="1"/>
      <c r="LWA46" s="1"/>
      <c r="LWB46" s="1"/>
      <c r="LWC46" s="1"/>
      <c r="LWD46" s="1"/>
      <c r="LWE46" s="1"/>
      <c r="LWF46" s="1"/>
      <c r="LWG46" s="1"/>
      <c r="LWH46" s="1"/>
      <c r="LWI46" s="1"/>
      <c r="LWJ46" s="1"/>
      <c r="LWK46" s="1"/>
      <c r="LWL46" s="1"/>
      <c r="LWM46" s="1"/>
      <c r="LWN46" s="1"/>
      <c r="LWO46" s="1"/>
      <c r="LWP46" s="1"/>
      <c r="LWQ46" s="1"/>
      <c r="LWR46" s="1"/>
      <c r="LWS46" s="1"/>
      <c r="LWT46" s="1"/>
      <c r="LWU46" s="1"/>
      <c r="LWV46" s="1"/>
      <c r="LWW46" s="1"/>
      <c r="LWX46" s="1"/>
      <c r="LWY46" s="1"/>
      <c r="LWZ46" s="1"/>
      <c r="LXA46" s="1"/>
      <c r="LXB46" s="1"/>
      <c r="LXC46" s="1"/>
      <c r="LXD46" s="1"/>
      <c r="LXE46" s="1"/>
      <c r="LXF46" s="1"/>
      <c r="LXG46" s="1"/>
      <c r="LXH46" s="1"/>
      <c r="LXI46" s="1"/>
      <c r="LXJ46" s="1"/>
      <c r="LXK46" s="1"/>
      <c r="LXL46" s="1"/>
      <c r="LXM46" s="1"/>
      <c r="LXN46" s="1"/>
      <c r="LXO46" s="1"/>
      <c r="LXP46" s="1"/>
      <c r="LXQ46" s="1"/>
      <c r="LXR46" s="1"/>
      <c r="LXS46" s="1"/>
      <c r="LXT46" s="1"/>
      <c r="LXU46" s="1"/>
      <c r="LXV46" s="1"/>
      <c r="LXW46" s="1"/>
      <c r="LXX46" s="1"/>
      <c r="LXY46" s="1"/>
      <c r="LXZ46" s="1"/>
      <c r="LYA46" s="1"/>
      <c r="LYB46" s="1"/>
      <c r="LYC46" s="1"/>
      <c r="LYD46" s="1"/>
      <c r="LYE46" s="1"/>
      <c r="LYF46" s="1"/>
      <c r="LYG46" s="1"/>
      <c r="LYH46" s="1"/>
      <c r="LYI46" s="1"/>
      <c r="LYJ46" s="1"/>
      <c r="LYK46" s="1"/>
      <c r="LYL46" s="1"/>
      <c r="LYM46" s="1"/>
      <c r="LYN46" s="1"/>
      <c r="LYO46" s="1"/>
      <c r="LYP46" s="1"/>
      <c r="LYQ46" s="1"/>
      <c r="LYR46" s="1"/>
      <c r="LYS46" s="1"/>
      <c r="LYT46" s="1"/>
      <c r="LYU46" s="1"/>
      <c r="LYV46" s="1"/>
      <c r="LYW46" s="1"/>
      <c r="LYX46" s="1"/>
      <c r="LYY46" s="1"/>
      <c r="LYZ46" s="1"/>
      <c r="LZA46" s="1"/>
      <c r="LZB46" s="1"/>
      <c r="LZC46" s="1"/>
      <c r="LZD46" s="1"/>
      <c r="LZE46" s="1"/>
      <c r="LZF46" s="1"/>
      <c r="LZG46" s="1"/>
      <c r="LZH46" s="1"/>
      <c r="LZI46" s="1"/>
      <c r="LZJ46" s="1"/>
      <c r="LZK46" s="1"/>
      <c r="LZL46" s="1"/>
      <c r="LZM46" s="1"/>
      <c r="LZN46" s="1"/>
      <c r="LZO46" s="1"/>
      <c r="LZP46" s="1"/>
      <c r="LZQ46" s="1"/>
      <c r="LZR46" s="1"/>
      <c r="LZS46" s="1"/>
      <c r="LZT46" s="1"/>
      <c r="LZU46" s="1"/>
      <c r="LZV46" s="1"/>
      <c r="LZW46" s="1"/>
      <c r="LZX46" s="1"/>
      <c r="LZY46" s="1"/>
      <c r="LZZ46" s="1"/>
      <c r="MAA46" s="1"/>
      <c r="MAB46" s="1"/>
      <c r="MAC46" s="1"/>
      <c r="MAD46" s="1"/>
      <c r="MAE46" s="1"/>
      <c r="MAF46" s="1"/>
      <c r="MAG46" s="1"/>
      <c r="MAH46" s="1"/>
      <c r="MAI46" s="1"/>
      <c r="MAJ46" s="1"/>
      <c r="MAK46" s="1"/>
      <c r="MAL46" s="1"/>
      <c r="MAM46" s="1"/>
      <c r="MAN46" s="1"/>
      <c r="MAO46" s="1"/>
      <c r="MAP46" s="1"/>
      <c r="MAQ46" s="1"/>
      <c r="MAR46" s="1"/>
      <c r="MAS46" s="1"/>
      <c r="MAT46" s="1"/>
      <c r="MAU46" s="1"/>
      <c r="MAV46" s="1"/>
      <c r="MAW46" s="1"/>
      <c r="MAX46" s="1"/>
      <c r="MAY46" s="1"/>
      <c r="MAZ46" s="1"/>
      <c r="MBA46" s="1"/>
      <c r="MBB46" s="1"/>
      <c r="MBC46" s="1"/>
      <c r="MBD46" s="1"/>
      <c r="MBE46" s="1"/>
      <c r="MBF46" s="1"/>
      <c r="MBG46" s="1"/>
      <c r="MBH46" s="1"/>
      <c r="MBI46" s="1"/>
      <c r="MBJ46" s="1"/>
      <c r="MBK46" s="1"/>
      <c r="MBL46" s="1"/>
      <c r="MBM46" s="1"/>
      <c r="MBN46" s="1"/>
      <c r="MBO46" s="1"/>
      <c r="MBP46" s="1"/>
      <c r="MBQ46" s="1"/>
      <c r="MBR46" s="1"/>
      <c r="MBS46" s="1"/>
      <c r="MBT46" s="1"/>
      <c r="MBU46" s="1"/>
      <c r="MBV46" s="1"/>
      <c r="MBW46" s="1"/>
      <c r="MBX46" s="1"/>
      <c r="MBY46" s="1"/>
      <c r="MBZ46" s="1"/>
      <c r="MCA46" s="1"/>
      <c r="MCB46" s="1"/>
      <c r="MCC46" s="1"/>
      <c r="MCD46" s="1"/>
      <c r="MCE46" s="1"/>
      <c r="MCF46" s="1"/>
      <c r="MCG46" s="1"/>
      <c r="MCH46" s="1"/>
      <c r="MCI46" s="1"/>
      <c r="MCJ46" s="1"/>
      <c r="MCK46" s="1"/>
      <c r="MCL46" s="1"/>
      <c r="MCM46" s="1"/>
      <c r="MCN46" s="1"/>
      <c r="MCO46" s="1"/>
      <c r="MCP46" s="1"/>
      <c r="MCQ46" s="1"/>
      <c r="MCR46" s="1"/>
      <c r="MCS46" s="1"/>
      <c r="MCT46" s="1"/>
      <c r="MCU46" s="1"/>
      <c r="MCV46" s="1"/>
      <c r="MCW46" s="1"/>
      <c r="MCX46" s="1"/>
      <c r="MCY46" s="1"/>
      <c r="MCZ46" s="1"/>
      <c r="MDA46" s="1"/>
      <c r="MDB46" s="1"/>
      <c r="MDC46" s="1"/>
      <c r="MDD46" s="1"/>
      <c r="MDE46" s="1"/>
      <c r="MDF46" s="1"/>
      <c r="MDG46" s="1"/>
      <c r="MDH46" s="1"/>
      <c r="MDI46" s="1"/>
      <c r="MDJ46" s="1"/>
      <c r="MDK46" s="1"/>
      <c r="MDL46" s="1"/>
      <c r="MDM46" s="1"/>
      <c r="MDN46" s="1"/>
      <c r="MDO46" s="1"/>
      <c r="MDP46" s="1"/>
      <c r="MDQ46" s="1"/>
      <c r="MDR46" s="1"/>
      <c r="MDS46" s="1"/>
      <c r="MDT46" s="1"/>
      <c r="MDU46" s="1"/>
      <c r="MDV46" s="1"/>
      <c r="MDW46" s="1"/>
      <c r="MDX46" s="1"/>
      <c r="MDY46" s="1"/>
      <c r="MDZ46" s="1"/>
      <c r="MEA46" s="1"/>
      <c r="MEB46" s="1"/>
      <c r="MEC46" s="1"/>
      <c r="MED46" s="1"/>
      <c r="MEE46" s="1"/>
      <c r="MEF46" s="1"/>
      <c r="MEG46" s="1"/>
      <c r="MEH46" s="1"/>
      <c r="MEI46" s="1"/>
      <c r="MEJ46" s="1"/>
      <c r="MEK46" s="1"/>
      <c r="MEL46" s="1"/>
      <c r="MEM46" s="1"/>
      <c r="MEN46" s="1"/>
      <c r="MEO46" s="1"/>
      <c r="MEP46" s="1"/>
      <c r="MEQ46" s="1"/>
      <c r="MER46" s="1"/>
      <c r="MES46" s="1"/>
      <c r="MET46" s="1"/>
      <c r="MEU46" s="1"/>
      <c r="MEV46" s="1"/>
      <c r="MEW46" s="1"/>
      <c r="MEX46" s="1"/>
      <c r="MEY46" s="1"/>
      <c r="MEZ46" s="1"/>
      <c r="MFA46" s="1"/>
      <c r="MFB46" s="1"/>
      <c r="MFC46" s="1"/>
      <c r="MFD46" s="1"/>
      <c r="MFE46" s="1"/>
      <c r="MFF46" s="1"/>
      <c r="MFG46" s="1"/>
      <c r="MFH46" s="1"/>
      <c r="MFI46" s="1"/>
      <c r="MFJ46" s="1"/>
      <c r="MFK46" s="1"/>
      <c r="MFL46" s="1"/>
      <c r="MFM46" s="1"/>
      <c r="MFN46" s="1"/>
      <c r="MFO46" s="1"/>
      <c r="MFP46" s="1"/>
      <c r="MFQ46" s="1"/>
      <c r="MFR46" s="1"/>
      <c r="MFS46" s="1"/>
      <c r="MFT46" s="1"/>
      <c r="MFU46" s="1"/>
      <c r="MFV46" s="1"/>
      <c r="MFW46" s="1"/>
      <c r="MFX46" s="1"/>
      <c r="MFY46" s="1"/>
      <c r="MFZ46" s="1"/>
      <c r="MGA46" s="1"/>
      <c r="MGB46" s="1"/>
      <c r="MGC46" s="1"/>
      <c r="MGD46" s="1"/>
      <c r="MGE46" s="1"/>
      <c r="MGF46" s="1"/>
      <c r="MGG46" s="1"/>
      <c r="MGH46" s="1"/>
      <c r="MGI46" s="1"/>
      <c r="MGJ46" s="1"/>
      <c r="MGK46" s="1"/>
      <c r="MGL46" s="1"/>
      <c r="MGM46" s="1"/>
      <c r="MGN46" s="1"/>
      <c r="MGO46" s="1"/>
      <c r="MGP46" s="1"/>
      <c r="MGQ46" s="1"/>
      <c r="MGR46" s="1"/>
      <c r="MGS46" s="1"/>
      <c r="MGT46" s="1"/>
      <c r="MGU46" s="1"/>
      <c r="MGV46" s="1"/>
      <c r="MGW46" s="1"/>
      <c r="MGX46" s="1"/>
      <c r="MGY46" s="1"/>
      <c r="MGZ46" s="1"/>
      <c r="MHA46" s="1"/>
      <c r="MHB46" s="1"/>
      <c r="MHC46" s="1"/>
      <c r="MHD46" s="1"/>
      <c r="MHE46" s="1"/>
      <c r="MHF46" s="1"/>
      <c r="MHG46" s="1"/>
      <c r="MHH46" s="1"/>
      <c r="MHI46" s="1"/>
      <c r="MHJ46" s="1"/>
      <c r="MHK46" s="1"/>
      <c r="MHL46" s="1"/>
      <c r="MHM46" s="1"/>
      <c r="MHN46" s="1"/>
      <c r="MHO46" s="1"/>
      <c r="MHP46" s="1"/>
      <c r="MHQ46" s="1"/>
      <c r="MHR46" s="1"/>
      <c r="MHS46" s="1"/>
      <c r="MHT46" s="1"/>
      <c r="MHU46" s="1"/>
      <c r="MHV46" s="1"/>
      <c r="MHW46" s="1"/>
      <c r="MHX46" s="1"/>
      <c r="MHY46" s="1"/>
      <c r="MHZ46" s="1"/>
      <c r="MIA46" s="1"/>
      <c r="MIB46" s="1"/>
      <c r="MIC46" s="1"/>
      <c r="MID46" s="1"/>
      <c r="MIE46" s="1"/>
      <c r="MIF46" s="1"/>
      <c r="MIG46" s="1"/>
      <c r="MIH46" s="1"/>
      <c r="MII46" s="1"/>
      <c r="MIJ46" s="1"/>
      <c r="MIK46" s="1"/>
      <c r="MIL46" s="1"/>
      <c r="MIM46" s="1"/>
      <c r="MIN46" s="1"/>
      <c r="MIO46" s="1"/>
      <c r="MIP46" s="1"/>
      <c r="MIQ46" s="1"/>
      <c r="MIR46" s="1"/>
      <c r="MIS46" s="1"/>
      <c r="MIT46" s="1"/>
      <c r="MIU46" s="1"/>
      <c r="MIV46" s="1"/>
      <c r="MIW46" s="1"/>
      <c r="MIX46" s="1"/>
      <c r="MIY46" s="1"/>
      <c r="MIZ46" s="1"/>
      <c r="MJA46" s="1"/>
      <c r="MJB46" s="1"/>
      <c r="MJC46" s="1"/>
      <c r="MJD46" s="1"/>
      <c r="MJE46" s="1"/>
      <c r="MJF46" s="1"/>
      <c r="MJG46" s="1"/>
      <c r="MJH46" s="1"/>
      <c r="MJI46" s="1"/>
      <c r="MJJ46" s="1"/>
      <c r="MJK46" s="1"/>
      <c r="MJL46" s="1"/>
      <c r="MJM46" s="1"/>
      <c r="MJN46" s="1"/>
      <c r="MJO46" s="1"/>
      <c r="MJP46" s="1"/>
      <c r="MJQ46" s="1"/>
      <c r="MJR46" s="1"/>
      <c r="MJS46" s="1"/>
      <c r="MJT46" s="1"/>
      <c r="MJU46" s="1"/>
      <c r="MJV46" s="1"/>
      <c r="MJW46" s="1"/>
      <c r="MJX46" s="1"/>
      <c r="MJY46" s="1"/>
      <c r="MJZ46" s="1"/>
      <c r="MKA46" s="1"/>
      <c r="MKB46" s="1"/>
      <c r="MKC46" s="1"/>
      <c r="MKD46" s="1"/>
      <c r="MKE46" s="1"/>
      <c r="MKF46" s="1"/>
      <c r="MKG46" s="1"/>
      <c r="MKH46" s="1"/>
      <c r="MKI46" s="1"/>
      <c r="MKJ46" s="1"/>
      <c r="MKK46" s="1"/>
      <c r="MKL46" s="1"/>
      <c r="MKM46" s="1"/>
      <c r="MKN46" s="1"/>
      <c r="MKO46" s="1"/>
      <c r="MKP46" s="1"/>
      <c r="MKQ46" s="1"/>
      <c r="MKR46" s="1"/>
      <c r="MKS46" s="1"/>
      <c r="MKT46" s="1"/>
      <c r="MKU46" s="1"/>
      <c r="MKV46" s="1"/>
      <c r="MKW46" s="1"/>
      <c r="MKX46" s="1"/>
      <c r="MKY46" s="1"/>
      <c r="MKZ46" s="1"/>
      <c r="MLA46" s="1"/>
      <c r="MLB46" s="1"/>
      <c r="MLC46" s="1"/>
      <c r="MLD46" s="1"/>
      <c r="MLE46" s="1"/>
      <c r="MLF46" s="1"/>
      <c r="MLG46" s="1"/>
      <c r="MLH46" s="1"/>
      <c r="MLI46" s="1"/>
      <c r="MLJ46" s="1"/>
      <c r="MLK46" s="1"/>
      <c r="MLL46" s="1"/>
      <c r="MLM46" s="1"/>
      <c r="MLN46" s="1"/>
      <c r="MLO46" s="1"/>
      <c r="MLP46" s="1"/>
      <c r="MLQ46" s="1"/>
      <c r="MLR46" s="1"/>
      <c r="MLS46" s="1"/>
      <c r="MLT46" s="1"/>
      <c r="MLU46" s="1"/>
      <c r="MLV46" s="1"/>
      <c r="MLW46" s="1"/>
      <c r="MLX46" s="1"/>
      <c r="MLY46" s="1"/>
      <c r="MLZ46" s="1"/>
      <c r="MMA46" s="1"/>
      <c r="MMB46" s="1"/>
      <c r="MMC46" s="1"/>
      <c r="MMD46" s="1"/>
      <c r="MME46" s="1"/>
      <c r="MMF46" s="1"/>
      <c r="MMG46" s="1"/>
      <c r="MMH46" s="1"/>
      <c r="MMI46" s="1"/>
      <c r="MMJ46" s="1"/>
      <c r="MMK46" s="1"/>
      <c r="MML46" s="1"/>
      <c r="MMM46" s="1"/>
      <c r="MMN46" s="1"/>
      <c r="MMO46" s="1"/>
      <c r="MMP46" s="1"/>
      <c r="MMQ46" s="1"/>
      <c r="MMR46" s="1"/>
      <c r="MMS46" s="1"/>
      <c r="MMT46" s="1"/>
      <c r="MMU46" s="1"/>
      <c r="MMV46" s="1"/>
      <c r="MMW46" s="1"/>
      <c r="MMX46" s="1"/>
      <c r="MMY46" s="1"/>
      <c r="MMZ46" s="1"/>
      <c r="MNA46" s="1"/>
      <c r="MNB46" s="1"/>
      <c r="MNC46" s="1"/>
      <c r="MND46" s="1"/>
      <c r="MNE46" s="1"/>
      <c r="MNF46" s="1"/>
      <c r="MNG46" s="1"/>
      <c r="MNH46" s="1"/>
      <c r="MNI46" s="1"/>
      <c r="MNJ46" s="1"/>
      <c r="MNK46" s="1"/>
      <c r="MNL46" s="1"/>
      <c r="MNM46" s="1"/>
      <c r="MNN46" s="1"/>
      <c r="MNO46" s="1"/>
      <c r="MNP46" s="1"/>
      <c r="MNQ46" s="1"/>
      <c r="MNR46" s="1"/>
      <c r="MNS46" s="1"/>
      <c r="MNT46" s="1"/>
      <c r="MNU46" s="1"/>
      <c r="MNV46" s="1"/>
      <c r="MNW46" s="1"/>
      <c r="MNX46" s="1"/>
      <c r="MNY46" s="1"/>
      <c r="MNZ46" s="1"/>
      <c r="MOA46" s="1"/>
      <c r="MOB46" s="1"/>
      <c r="MOC46" s="1"/>
      <c r="MOD46" s="1"/>
      <c r="MOE46" s="1"/>
      <c r="MOF46" s="1"/>
      <c r="MOG46" s="1"/>
      <c r="MOH46" s="1"/>
      <c r="MOI46" s="1"/>
      <c r="MOJ46" s="1"/>
      <c r="MOK46" s="1"/>
      <c r="MOL46" s="1"/>
      <c r="MOM46" s="1"/>
      <c r="MON46" s="1"/>
      <c r="MOO46" s="1"/>
      <c r="MOP46" s="1"/>
      <c r="MOQ46" s="1"/>
      <c r="MOR46" s="1"/>
      <c r="MOS46" s="1"/>
      <c r="MOT46" s="1"/>
      <c r="MOU46" s="1"/>
      <c r="MOV46" s="1"/>
      <c r="MOW46" s="1"/>
      <c r="MOX46" s="1"/>
      <c r="MOY46" s="1"/>
      <c r="MOZ46" s="1"/>
      <c r="MPA46" s="1"/>
      <c r="MPB46" s="1"/>
      <c r="MPC46" s="1"/>
      <c r="MPD46" s="1"/>
      <c r="MPE46" s="1"/>
      <c r="MPF46" s="1"/>
      <c r="MPG46" s="1"/>
      <c r="MPH46" s="1"/>
      <c r="MPI46" s="1"/>
      <c r="MPJ46" s="1"/>
      <c r="MPK46" s="1"/>
      <c r="MPL46" s="1"/>
      <c r="MPM46" s="1"/>
      <c r="MPN46" s="1"/>
      <c r="MPO46" s="1"/>
      <c r="MPP46" s="1"/>
      <c r="MPQ46" s="1"/>
      <c r="MPR46" s="1"/>
      <c r="MPS46" s="1"/>
      <c r="MPT46" s="1"/>
      <c r="MPU46" s="1"/>
      <c r="MPV46" s="1"/>
      <c r="MPW46" s="1"/>
      <c r="MPX46" s="1"/>
      <c r="MPY46" s="1"/>
      <c r="MPZ46" s="1"/>
      <c r="MQA46" s="1"/>
      <c r="MQB46" s="1"/>
      <c r="MQC46" s="1"/>
      <c r="MQD46" s="1"/>
      <c r="MQE46" s="1"/>
      <c r="MQF46" s="1"/>
      <c r="MQG46" s="1"/>
      <c r="MQH46" s="1"/>
      <c r="MQI46" s="1"/>
      <c r="MQJ46" s="1"/>
      <c r="MQK46" s="1"/>
      <c r="MQL46" s="1"/>
      <c r="MQM46" s="1"/>
      <c r="MQN46" s="1"/>
      <c r="MQO46" s="1"/>
      <c r="MQP46" s="1"/>
      <c r="MQQ46" s="1"/>
      <c r="MQR46" s="1"/>
      <c r="MQS46" s="1"/>
      <c r="MQT46" s="1"/>
      <c r="MQU46" s="1"/>
      <c r="MQV46" s="1"/>
      <c r="MQW46" s="1"/>
      <c r="MQX46" s="1"/>
      <c r="MQY46" s="1"/>
      <c r="MQZ46" s="1"/>
      <c r="MRA46" s="1"/>
      <c r="MRB46" s="1"/>
      <c r="MRC46" s="1"/>
      <c r="MRD46" s="1"/>
      <c r="MRE46" s="1"/>
      <c r="MRF46" s="1"/>
      <c r="MRG46" s="1"/>
      <c r="MRH46" s="1"/>
      <c r="MRI46" s="1"/>
      <c r="MRJ46" s="1"/>
      <c r="MRK46" s="1"/>
      <c r="MRL46" s="1"/>
      <c r="MRM46" s="1"/>
      <c r="MRN46" s="1"/>
      <c r="MRO46" s="1"/>
      <c r="MRP46" s="1"/>
      <c r="MRQ46" s="1"/>
      <c r="MRR46" s="1"/>
      <c r="MRS46" s="1"/>
      <c r="MRT46" s="1"/>
      <c r="MRU46" s="1"/>
      <c r="MRV46" s="1"/>
      <c r="MRW46" s="1"/>
      <c r="MRX46" s="1"/>
      <c r="MRY46" s="1"/>
      <c r="MRZ46" s="1"/>
      <c r="MSA46" s="1"/>
      <c r="MSB46" s="1"/>
      <c r="MSC46" s="1"/>
      <c r="MSD46" s="1"/>
      <c r="MSE46" s="1"/>
      <c r="MSF46" s="1"/>
      <c r="MSG46" s="1"/>
      <c r="MSH46" s="1"/>
      <c r="MSI46" s="1"/>
      <c r="MSJ46" s="1"/>
      <c r="MSK46" s="1"/>
      <c r="MSL46" s="1"/>
      <c r="MSM46" s="1"/>
      <c r="MSN46" s="1"/>
      <c r="MSO46" s="1"/>
      <c r="MSP46" s="1"/>
      <c r="MSQ46" s="1"/>
      <c r="MSR46" s="1"/>
      <c r="MSS46" s="1"/>
      <c r="MST46" s="1"/>
      <c r="MSU46" s="1"/>
      <c r="MSV46" s="1"/>
      <c r="MSW46" s="1"/>
      <c r="MSX46" s="1"/>
      <c r="MSY46" s="1"/>
      <c r="MSZ46" s="1"/>
      <c r="MTA46" s="1"/>
      <c r="MTB46" s="1"/>
      <c r="MTC46" s="1"/>
      <c r="MTD46" s="1"/>
      <c r="MTE46" s="1"/>
      <c r="MTF46" s="1"/>
      <c r="MTG46" s="1"/>
      <c r="MTH46" s="1"/>
      <c r="MTI46" s="1"/>
      <c r="MTJ46" s="1"/>
      <c r="MTK46" s="1"/>
      <c r="MTL46" s="1"/>
      <c r="MTM46" s="1"/>
      <c r="MTN46" s="1"/>
      <c r="MTO46" s="1"/>
      <c r="MTP46" s="1"/>
      <c r="MTQ46" s="1"/>
      <c r="MTR46" s="1"/>
      <c r="MTS46" s="1"/>
      <c r="MTT46" s="1"/>
      <c r="MTU46" s="1"/>
      <c r="MTV46" s="1"/>
      <c r="MTW46" s="1"/>
      <c r="MTX46" s="1"/>
      <c r="MTY46" s="1"/>
      <c r="MTZ46" s="1"/>
      <c r="MUA46" s="1"/>
      <c r="MUB46" s="1"/>
      <c r="MUC46" s="1"/>
      <c r="MUD46" s="1"/>
      <c r="MUE46" s="1"/>
      <c r="MUF46" s="1"/>
      <c r="MUG46" s="1"/>
      <c r="MUH46" s="1"/>
      <c r="MUI46" s="1"/>
      <c r="MUJ46" s="1"/>
      <c r="MUK46" s="1"/>
      <c r="MUL46" s="1"/>
      <c r="MUM46" s="1"/>
      <c r="MUN46" s="1"/>
      <c r="MUO46" s="1"/>
      <c r="MUP46" s="1"/>
      <c r="MUQ46" s="1"/>
      <c r="MUR46" s="1"/>
      <c r="MUS46" s="1"/>
      <c r="MUT46" s="1"/>
      <c r="MUU46" s="1"/>
      <c r="MUV46" s="1"/>
      <c r="MUW46" s="1"/>
      <c r="MUX46" s="1"/>
      <c r="MUY46" s="1"/>
      <c r="MUZ46" s="1"/>
      <c r="MVA46" s="1"/>
      <c r="MVB46" s="1"/>
      <c r="MVC46" s="1"/>
      <c r="MVD46" s="1"/>
      <c r="MVE46" s="1"/>
      <c r="MVF46" s="1"/>
      <c r="MVG46" s="1"/>
      <c r="MVH46" s="1"/>
      <c r="MVI46" s="1"/>
      <c r="MVJ46" s="1"/>
      <c r="MVK46" s="1"/>
      <c r="MVL46" s="1"/>
      <c r="MVM46" s="1"/>
      <c r="MVN46" s="1"/>
      <c r="MVO46" s="1"/>
      <c r="MVP46" s="1"/>
      <c r="MVQ46" s="1"/>
      <c r="MVR46" s="1"/>
      <c r="MVS46" s="1"/>
      <c r="MVT46" s="1"/>
      <c r="MVU46" s="1"/>
      <c r="MVV46" s="1"/>
      <c r="MVW46" s="1"/>
      <c r="MVX46" s="1"/>
      <c r="MVY46" s="1"/>
      <c r="MVZ46" s="1"/>
      <c r="MWA46" s="1"/>
      <c r="MWB46" s="1"/>
      <c r="MWC46" s="1"/>
      <c r="MWD46" s="1"/>
      <c r="MWE46" s="1"/>
      <c r="MWF46" s="1"/>
      <c r="MWG46" s="1"/>
      <c r="MWH46" s="1"/>
      <c r="MWI46" s="1"/>
      <c r="MWJ46" s="1"/>
      <c r="MWK46" s="1"/>
      <c r="MWL46" s="1"/>
      <c r="MWM46" s="1"/>
      <c r="MWN46" s="1"/>
      <c r="MWO46" s="1"/>
      <c r="MWP46" s="1"/>
      <c r="MWQ46" s="1"/>
      <c r="MWR46" s="1"/>
      <c r="MWS46" s="1"/>
      <c r="MWT46" s="1"/>
      <c r="MWU46" s="1"/>
      <c r="MWV46" s="1"/>
      <c r="MWW46" s="1"/>
      <c r="MWX46" s="1"/>
      <c r="MWY46" s="1"/>
      <c r="MWZ46" s="1"/>
      <c r="MXA46" s="1"/>
      <c r="MXB46" s="1"/>
      <c r="MXC46" s="1"/>
      <c r="MXD46" s="1"/>
      <c r="MXE46" s="1"/>
      <c r="MXF46" s="1"/>
      <c r="MXG46" s="1"/>
      <c r="MXH46" s="1"/>
      <c r="MXI46" s="1"/>
      <c r="MXJ46" s="1"/>
      <c r="MXK46" s="1"/>
      <c r="MXL46" s="1"/>
      <c r="MXM46" s="1"/>
      <c r="MXN46" s="1"/>
      <c r="MXO46" s="1"/>
      <c r="MXP46" s="1"/>
      <c r="MXQ46" s="1"/>
      <c r="MXR46" s="1"/>
      <c r="MXS46" s="1"/>
      <c r="MXT46" s="1"/>
      <c r="MXU46" s="1"/>
      <c r="MXV46" s="1"/>
      <c r="MXW46" s="1"/>
      <c r="MXX46" s="1"/>
      <c r="MXY46" s="1"/>
      <c r="MXZ46" s="1"/>
      <c r="MYA46" s="1"/>
      <c r="MYB46" s="1"/>
      <c r="MYC46" s="1"/>
      <c r="MYD46" s="1"/>
      <c r="MYE46" s="1"/>
      <c r="MYF46" s="1"/>
      <c r="MYG46" s="1"/>
      <c r="MYH46" s="1"/>
      <c r="MYI46" s="1"/>
      <c r="MYJ46" s="1"/>
      <c r="MYK46" s="1"/>
      <c r="MYL46" s="1"/>
      <c r="MYM46" s="1"/>
      <c r="MYN46" s="1"/>
      <c r="MYO46" s="1"/>
      <c r="MYP46" s="1"/>
      <c r="MYQ46" s="1"/>
      <c r="MYR46" s="1"/>
      <c r="MYS46" s="1"/>
      <c r="MYT46" s="1"/>
      <c r="MYU46" s="1"/>
      <c r="MYV46" s="1"/>
      <c r="MYW46" s="1"/>
      <c r="MYX46" s="1"/>
      <c r="MYY46" s="1"/>
      <c r="MYZ46" s="1"/>
      <c r="MZA46" s="1"/>
      <c r="MZB46" s="1"/>
      <c r="MZC46" s="1"/>
      <c r="MZD46" s="1"/>
      <c r="MZE46" s="1"/>
      <c r="MZF46" s="1"/>
      <c r="MZG46" s="1"/>
      <c r="MZH46" s="1"/>
      <c r="MZI46" s="1"/>
      <c r="MZJ46" s="1"/>
      <c r="MZK46" s="1"/>
      <c r="MZL46" s="1"/>
      <c r="MZM46" s="1"/>
      <c r="MZN46" s="1"/>
      <c r="MZO46" s="1"/>
      <c r="MZP46" s="1"/>
      <c r="MZQ46" s="1"/>
      <c r="MZR46" s="1"/>
      <c r="MZS46" s="1"/>
      <c r="MZT46" s="1"/>
      <c r="MZU46" s="1"/>
      <c r="MZV46" s="1"/>
      <c r="MZW46" s="1"/>
      <c r="MZX46" s="1"/>
      <c r="MZY46" s="1"/>
      <c r="MZZ46" s="1"/>
      <c r="NAA46" s="1"/>
      <c r="NAB46" s="1"/>
      <c r="NAC46" s="1"/>
      <c r="NAD46" s="1"/>
      <c r="NAE46" s="1"/>
      <c r="NAF46" s="1"/>
      <c r="NAG46" s="1"/>
      <c r="NAH46" s="1"/>
      <c r="NAI46" s="1"/>
      <c r="NAJ46" s="1"/>
      <c r="NAK46" s="1"/>
      <c r="NAL46" s="1"/>
      <c r="NAM46" s="1"/>
      <c r="NAN46" s="1"/>
      <c r="NAO46" s="1"/>
      <c r="NAP46" s="1"/>
      <c r="NAQ46" s="1"/>
      <c r="NAR46" s="1"/>
      <c r="NAS46" s="1"/>
      <c r="NAT46" s="1"/>
      <c r="NAU46" s="1"/>
      <c r="NAV46" s="1"/>
      <c r="NAW46" s="1"/>
      <c r="NAX46" s="1"/>
      <c r="NAY46" s="1"/>
      <c r="NAZ46" s="1"/>
      <c r="NBA46" s="1"/>
      <c r="NBB46" s="1"/>
      <c r="NBC46" s="1"/>
      <c r="NBD46" s="1"/>
      <c r="NBE46" s="1"/>
      <c r="NBF46" s="1"/>
      <c r="NBG46" s="1"/>
      <c r="NBH46" s="1"/>
      <c r="NBI46" s="1"/>
      <c r="NBJ46" s="1"/>
      <c r="NBK46" s="1"/>
      <c r="NBL46" s="1"/>
      <c r="NBM46" s="1"/>
      <c r="NBN46" s="1"/>
      <c r="NBO46" s="1"/>
      <c r="NBP46" s="1"/>
      <c r="NBQ46" s="1"/>
      <c r="NBR46" s="1"/>
      <c r="NBS46" s="1"/>
      <c r="NBT46" s="1"/>
      <c r="NBU46" s="1"/>
      <c r="NBV46" s="1"/>
      <c r="NBW46" s="1"/>
      <c r="NBX46" s="1"/>
      <c r="NBY46" s="1"/>
      <c r="NBZ46" s="1"/>
      <c r="NCA46" s="1"/>
      <c r="NCB46" s="1"/>
      <c r="NCC46" s="1"/>
      <c r="NCD46" s="1"/>
      <c r="NCE46" s="1"/>
      <c r="NCF46" s="1"/>
      <c r="NCG46" s="1"/>
      <c r="NCH46" s="1"/>
      <c r="NCI46" s="1"/>
      <c r="NCJ46" s="1"/>
      <c r="NCK46" s="1"/>
      <c r="NCL46" s="1"/>
      <c r="NCM46" s="1"/>
      <c r="NCN46" s="1"/>
      <c r="NCO46" s="1"/>
      <c r="NCP46" s="1"/>
      <c r="NCQ46" s="1"/>
      <c r="NCR46" s="1"/>
      <c r="NCS46" s="1"/>
      <c r="NCT46" s="1"/>
      <c r="NCU46" s="1"/>
      <c r="NCV46" s="1"/>
      <c r="NCW46" s="1"/>
      <c r="NCX46" s="1"/>
      <c r="NCY46" s="1"/>
      <c r="NCZ46" s="1"/>
      <c r="NDA46" s="1"/>
      <c r="NDB46" s="1"/>
      <c r="NDC46" s="1"/>
      <c r="NDD46" s="1"/>
      <c r="NDE46" s="1"/>
      <c r="NDF46" s="1"/>
      <c r="NDG46" s="1"/>
      <c r="NDH46" s="1"/>
      <c r="NDI46" s="1"/>
      <c r="NDJ46" s="1"/>
      <c r="NDK46" s="1"/>
      <c r="NDL46" s="1"/>
      <c r="NDM46" s="1"/>
      <c r="NDN46" s="1"/>
      <c r="NDO46" s="1"/>
      <c r="NDP46" s="1"/>
      <c r="NDQ46" s="1"/>
      <c r="NDR46" s="1"/>
      <c r="NDS46" s="1"/>
      <c r="NDT46" s="1"/>
      <c r="NDU46" s="1"/>
      <c r="NDV46" s="1"/>
      <c r="NDW46" s="1"/>
      <c r="NDX46" s="1"/>
      <c r="NDY46" s="1"/>
      <c r="NDZ46" s="1"/>
      <c r="NEA46" s="1"/>
      <c r="NEB46" s="1"/>
      <c r="NEC46" s="1"/>
      <c r="NED46" s="1"/>
      <c r="NEE46" s="1"/>
      <c r="NEF46" s="1"/>
      <c r="NEG46" s="1"/>
      <c r="NEH46" s="1"/>
      <c r="NEI46" s="1"/>
      <c r="NEJ46" s="1"/>
      <c r="NEK46" s="1"/>
      <c r="NEL46" s="1"/>
      <c r="NEM46" s="1"/>
      <c r="NEN46" s="1"/>
      <c r="NEO46" s="1"/>
      <c r="NEP46" s="1"/>
      <c r="NEQ46" s="1"/>
      <c r="NER46" s="1"/>
      <c r="NES46" s="1"/>
      <c r="NET46" s="1"/>
      <c r="NEU46" s="1"/>
      <c r="NEV46" s="1"/>
      <c r="NEW46" s="1"/>
      <c r="NEX46" s="1"/>
      <c r="NEY46" s="1"/>
      <c r="NEZ46" s="1"/>
      <c r="NFA46" s="1"/>
      <c r="NFB46" s="1"/>
      <c r="NFC46" s="1"/>
      <c r="NFD46" s="1"/>
      <c r="NFE46" s="1"/>
      <c r="NFF46" s="1"/>
      <c r="NFG46" s="1"/>
      <c r="NFH46" s="1"/>
      <c r="NFI46" s="1"/>
      <c r="NFJ46" s="1"/>
      <c r="NFK46" s="1"/>
      <c r="NFL46" s="1"/>
      <c r="NFM46" s="1"/>
      <c r="NFN46" s="1"/>
      <c r="NFO46" s="1"/>
      <c r="NFP46" s="1"/>
      <c r="NFQ46" s="1"/>
      <c r="NFR46" s="1"/>
      <c r="NFS46" s="1"/>
      <c r="NFT46" s="1"/>
      <c r="NFU46" s="1"/>
      <c r="NFV46" s="1"/>
      <c r="NFW46" s="1"/>
      <c r="NFX46" s="1"/>
      <c r="NFY46" s="1"/>
      <c r="NFZ46" s="1"/>
      <c r="NGA46" s="1"/>
      <c r="NGB46" s="1"/>
      <c r="NGC46" s="1"/>
      <c r="NGD46" s="1"/>
      <c r="NGE46" s="1"/>
      <c r="NGF46" s="1"/>
      <c r="NGG46" s="1"/>
      <c r="NGH46" s="1"/>
      <c r="NGI46" s="1"/>
      <c r="NGJ46" s="1"/>
      <c r="NGK46" s="1"/>
      <c r="NGL46" s="1"/>
      <c r="NGM46" s="1"/>
      <c r="NGN46" s="1"/>
      <c r="NGO46" s="1"/>
      <c r="NGP46" s="1"/>
      <c r="NGQ46" s="1"/>
      <c r="NGR46" s="1"/>
      <c r="NGS46" s="1"/>
      <c r="NGT46" s="1"/>
      <c r="NGU46" s="1"/>
      <c r="NGV46" s="1"/>
      <c r="NGW46" s="1"/>
      <c r="NGX46" s="1"/>
      <c r="NGY46" s="1"/>
      <c r="NGZ46" s="1"/>
      <c r="NHA46" s="1"/>
      <c r="NHB46" s="1"/>
      <c r="NHC46" s="1"/>
      <c r="NHD46" s="1"/>
      <c r="NHE46" s="1"/>
      <c r="NHF46" s="1"/>
      <c r="NHG46" s="1"/>
      <c r="NHH46" s="1"/>
      <c r="NHI46" s="1"/>
      <c r="NHJ46" s="1"/>
      <c r="NHK46" s="1"/>
      <c r="NHL46" s="1"/>
      <c r="NHM46" s="1"/>
      <c r="NHN46" s="1"/>
      <c r="NHO46" s="1"/>
      <c r="NHP46" s="1"/>
      <c r="NHQ46" s="1"/>
      <c r="NHR46" s="1"/>
      <c r="NHS46" s="1"/>
      <c r="NHT46" s="1"/>
      <c r="NHU46" s="1"/>
      <c r="NHV46" s="1"/>
      <c r="NHW46" s="1"/>
      <c r="NHX46" s="1"/>
      <c r="NHY46" s="1"/>
      <c r="NHZ46" s="1"/>
      <c r="NIA46" s="1"/>
      <c r="NIB46" s="1"/>
      <c r="NIC46" s="1"/>
      <c r="NID46" s="1"/>
      <c r="NIE46" s="1"/>
      <c r="NIF46" s="1"/>
      <c r="NIG46" s="1"/>
      <c r="NIH46" s="1"/>
      <c r="NII46" s="1"/>
      <c r="NIJ46" s="1"/>
      <c r="NIK46" s="1"/>
      <c r="NIL46" s="1"/>
      <c r="NIM46" s="1"/>
      <c r="NIN46" s="1"/>
      <c r="NIO46" s="1"/>
      <c r="NIP46" s="1"/>
      <c r="NIQ46" s="1"/>
      <c r="NIR46" s="1"/>
      <c r="NIS46" s="1"/>
      <c r="NIT46" s="1"/>
      <c r="NIU46" s="1"/>
      <c r="NIV46" s="1"/>
      <c r="NIW46" s="1"/>
      <c r="NIX46" s="1"/>
      <c r="NIY46" s="1"/>
      <c r="NIZ46" s="1"/>
      <c r="NJA46" s="1"/>
      <c r="NJB46" s="1"/>
      <c r="NJC46" s="1"/>
      <c r="NJD46" s="1"/>
      <c r="NJE46" s="1"/>
      <c r="NJF46" s="1"/>
      <c r="NJG46" s="1"/>
      <c r="NJH46" s="1"/>
      <c r="NJI46" s="1"/>
      <c r="NJJ46" s="1"/>
      <c r="NJK46" s="1"/>
      <c r="NJL46" s="1"/>
      <c r="NJM46" s="1"/>
      <c r="NJN46" s="1"/>
      <c r="NJO46" s="1"/>
      <c r="NJP46" s="1"/>
      <c r="NJQ46" s="1"/>
      <c r="NJR46" s="1"/>
      <c r="NJS46" s="1"/>
      <c r="NJT46" s="1"/>
      <c r="NJU46" s="1"/>
      <c r="NJV46" s="1"/>
      <c r="NJW46" s="1"/>
      <c r="NJX46" s="1"/>
      <c r="NJY46" s="1"/>
      <c r="NJZ46" s="1"/>
      <c r="NKA46" s="1"/>
      <c r="NKB46" s="1"/>
      <c r="NKC46" s="1"/>
      <c r="NKD46" s="1"/>
      <c r="NKE46" s="1"/>
      <c r="NKF46" s="1"/>
      <c r="NKG46" s="1"/>
      <c r="NKH46" s="1"/>
      <c r="NKI46" s="1"/>
      <c r="NKJ46" s="1"/>
      <c r="NKK46" s="1"/>
      <c r="NKL46" s="1"/>
      <c r="NKM46" s="1"/>
      <c r="NKN46" s="1"/>
      <c r="NKO46" s="1"/>
      <c r="NKP46" s="1"/>
      <c r="NKQ46" s="1"/>
      <c r="NKR46" s="1"/>
      <c r="NKS46" s="1"/>
      <c r="NKT46" s="1"/>
      <c r="NKU46" s="1"/>
      <c r="NKV46" s="1"/>
      <c r="NKW46" s="1"/>
      <c r="NKX46" s="1"/>
      <c r="NKY46" s="1"/>
      <c r="NKZ46" s="1"/>
      <c r="NLA46" s="1"/>
      <c r="NLB46" s="1"/>
      <c r="NLC46" s="1"/>
      <c r="NLD46" s="1"/>
      <c r="NLE46" s="1"/>
      <c r="NLF46" s="1"/>
      <c r="NLG46" s="1"/>
      <c r="NLH46" s="1"/>
      <c r="NLI46" s="1"/>
      <c r="NLJ46" s="1"/>
      <c r="NLK46" s="1"/>
      <c r="NLL46" s="1"/>
      <c r="NLM46" s="1"/>
      <c r="NLN46" s="1"/>
      <c r="NLO46" s="1"/>
      <c r="NLP46" s="1"/>
      <c r="NLQ46" s="1"/>
      <c r="NLR46" s="1"/>
      <c r="NLS46" s="1"/>
      <c r="NLT46" s="1"/>
      <c r="NLU46" s="1"/>
      <c r="NLV46" s="1"/>
      <c r="NLW46" s="1"/>
      <c r="NLX46" s="1"/>
      <c r="NLY46" s="1"/>
      <c r="NLZ46" s="1"/>
      <c r="NMA46" s="1"/>
      <c r="NMB46" s="1"/>
      <c r="NMC46" s="1"/>
      <c r="NMD46" s="1"/>
      <c r="NME46" s="1"/>
      <c r="NMF46" s="1"/>
      <c r="NMG46" s="1"/>
      <c r="NMH46" s="1"/>
      <c r="NMI46" s="1"/>
      <c r="NMJ46" s="1"/>
      <c r="NMK46" s="1"/>
      <c r="NML46" s="1"/>
      <c r="NMM46" s="1"/>
      <c r="NMN46" s="1"/>
      <c r="NMO46" s="1"/>
      <c r="NMP46" s="1"/>
      <c r="NMQ46" s="1"/>
      <c r="NMR46" s="1"/>
      <c r="NMS46" s="1"/>
      <c r="NMT46" s="1"/>
      <c r="NMU46" s="1"/>
      <c r="NMV46" s="1"/>
      <c r="NMW46" s="1"/>
      <c r="NMX46" s="1"/>
      <c r="NMY46" s="1"/>
      <c r="NMZ46" s="1"/>
      <c r="NNA46" s="1"/>
      <c r="NNB46" s="1"/>
      <c r="NNC46" s="1"/>
      <c r="NND46" s="1"/>
      <c r="NNE46" s="1"/>
      <c r="NNF46" s="1"/>
      <c r="NNG46" s="1"/>
      <c r="NNH46" s="1"/>
      <c r="NNI46" s="1"/>
      <c r="NNJ46" s="1"/>
      <c r="NNK46" s="1"/>
      <c r="NNL46" s="1"/>
      <c r="NNM46" s="1"/>
      <c r="NNN46" s="1"/>
      <c r="NNO46" s="1"/>
      <c r="NNP46" s="1"/>
      <c r="NNQ46" s="1"/>
      <c r="NNR46" s="1"/>
      <c r="NNS46" s="1"/>
      <c r="NNT46" s="1"/>
      <c r="NNU46" s="1"/>
      <c r="NNV46" s="1"/>
      <c r="NNW46" s="1"/>
      <c r="NNX46" s="1"/>
      <c r="NNY46" s="1"/>
      <c r="NNZ46" s="1"/>
      <c r="NOA46" s="1"/>
      <c r="NOB46" s="1"/>
      <c r="NOC46" s="1"/>
      <c r="NOD46" s="1"/>
      <c r="NOE46" s="1"/>
      <c r="NOF46" s="1"/>
      <c r="NOG46" s="1"/>
      <c r="NOH46" s="1"/>
      <c r="NOI46" s="1"/>
      <c r="NOJ46" s="1"/>
      <c r="NOK46" s="1"/>
      <c r="NOL46" s="1"/>
      <c r="NOM46" s="1"/>
      <c r="NON46" s="1"/>
      <c r="NOO46" s="1"/>
      <c r="NOP46" s="1"/>
      <c r="NOQ46" s="1"/>
      <c r="NOR46" s="1"/>
      <c r="NOS46" s="1"/>
      <c r="NOT46" s="1"/>
      <c r="NOU46" s="1"/>
      <c r="NOV46" s="1"/>
      <c r="NOW46" s="1"/>
      <c r="NOX46" s="1"/>
      <c r="NOY46" s="1"/>
      <c r="NOZ46" s="1"/>
      <c r="NPA46" s="1"/>
      <c r="NPB46" s="1"/>
      <c r="NPC46" s="1"/>
      <c r="NPD46" s="1"/>
      <c r="NPE46" s="1"/>
      <c r="NPF46" s="1"/>
      <c r="NPG46" s="1"/>
      <c r="NPH46" s="1"/>
      <c r="NPI46" s="1"/>
      <c r="NPJ46" s="1"/>
      <c r="NPK46" s="1"/>
      <c r="NPL46" s="1"/>
      <c r="NPM46" s="1"/>
      <c r="NPN46" s="1"/>
      <c r="NPO46" s="1"/>
      <c r="NPP46" s="1"/>
      <c r="NPQ46" s="1"/>
      <c r="NPR46" s="1"/>
      <c r="NPS46" s="1"/>
      <c r="NPT46" s="1"/>
      <c r="NPU46" s="1"/>
      <c r="NPV46" s="1"/>
      <c r="NPW46" s="1"/>
      <c r="NPX46" s="1"/>
      <c r="NPY46" s="1"/>
      <c r="NPZ46" s="1"/>
      <c r="NQA46" s="1"/>
      <c r="NQB46" s="1"/>
      <c r="NQC46" s="1"/>
      <c r="NQD46" s="1"/>
      <c r="NQE46" s="1"/>
      <c r="NQF46" s="1"/>
      <c r="NQG46" s="1"/>
      <c r="NQH46" s="1"/>
      <c r="NQI46" s="1"/>
      <c r="NQJ46" s="1"/>
      <c r="NQK46" s="1"/>
      <c r="NQL46" s="1"/>
      <c r="NQM46" s="1"/>
      <c r="NQN46" s="1"/>
      <c r="NQO46" s="1"/>
      <c r="NQP46" s="1"/>
      <c r="NQQ46" s="1"/>
      <c r="NQR46" s="1"/>
      <c r="NQS46" s="1"/>
      <c r="NQT46" s="1"/>
      <c r="NQU46" s="1"/>
      <c r="NQV46" s="1"/>
      <c r="NQW46" s="1"/>
      <c r="NQX46" s="1"/>
      <c r="NQY46" s="1"/>
      <c r="NQZ46" s="1"/>
      <c r="NRA46" s="1"/>
      <c r="NRB46" s="1"/>
      <c r="NRC46" s="1"/>
      <c r="NRD46" s="1"/>
      <c r="NRE46" s="1"/>
      <c r="NRF46" s="1"/>
      <c r="NRG46" s="1"/>
      <c r="NRH46" s="1"/>
      <c r="NRI46" s="1"/>
      <c r="NRJ46" s="1"/>
      <c r="NRK46" s="1"/>
      <c r="NRL46" s="1"/>
      <c r="NRM46" s="1"/>
      <c r="NRN46" s="1"/>
      <c r="NRO46" s="1"/>
      <c r="NRP46" s="1"/>
      <c r="NRQ46" s="1"/>
      <c r="NRR46" s="1"/>
      <c r="NRS46" s="1"/>
      <c r="NRT46" s="1"/>
      <c r="NRU46" s="1"/>
      <c r="NRV46" s="1"/>
      <c r="NRW46" s="1"/>
      <c r="NRX46" s="1"/>
      <c r="NRY46" s="1"/>
      <c r="NRZ46" s="1"/>
      <c r="NSA46" s="1"/>
      <c r="NSB46" s="1"/>
      <c r="NSC46" s="1"/>
      <c r="NSD46" s="1"/>
      <c r="NSE46" s="1"/>
      <c r="NSF46" s="1"/>
      <c r="NSG46" s="1"/>
      <c r="NSH46" s="1"/>
      <c r="NSI46" s="1"/>
      <c r="NSJ46" s="1"/>
      <c r="NSK46" s="1"/>
      <c r="NSL46" s="1"/>
      <c r="NSM46" s="1"/>
      <c r="NSN46" s="1"/>
      <c r="NSO46" s="1"/>
      <c r="NSP46" s="1"/>
      <c r="NSQ46" s="1"/>
      <c r="NSR46" s="1"/>
      <c r="NSS46" s="1"/>
      <c r="NST46" s="1"/>
      <c r="NSU46" s="1"/>
      <c r="NSV46" s="1"/>
      <c r="NSW46" s="1"/>
      <c r="NSX46" s="1"/>
      <c r="NSY46" s="1"/>
      <c r="NSZ46" s="1"/>
      <c r="NTA46" s="1"/>
      <c r="NTB46" s="1"/>
      <c r="NTC46" s="1"/>
      <c r="NTD46" s="1"/>
      <c r="NTE46" s="1"/>
      <c r="NTF46" s="1"/>
      <c r="NTG46" s="1"/>
      <c r="NTH46" s="1"/>
      <c r="NTI46" s="1"/>
      <c r="NTJ46" s="1"/>
      <c r="NTK46" s="1"/>
      <c r="NTL46" s="1"/>
      <c r="NTM46" s="1"/>
      <c r="NTN46" s="1"/>
      <c r="NTO46" s="1"/>
      <c r="NTP46" s="1"/>
      <c r="NTQ46" s="1"/>
      <c r="NTR46" s="1"/>
      <c r="NTS46" s="1"/>
      <c r="NTT46" s="1"/>
      <c r="NTU46" s="1"/>
      <c r="NTV46" s="1"/>
      <c r="NTW46" s="1"/>
      <c r="NTX46" s="1"/>
      <c r="NTY46" s="1"/>
      <c r="NTZ46" s="1"/>
      <c r="NUA46" s="1"/>
      <c r="NUB46" s="1"/>
      <c r="NUC46" s="1"/>
      <c r="NUD46" s="1"/>
      <c r="NUE46" s="1"/>
      <c r="NUF46" s="1"/>
      <c r="NUG46" s="1"/>
      <c r="NUH46" s="1"/>
      <c r="NUI46" s="1"/>
      <c r="NUJ46" s="1"/>
      <c r="NUK46" s="1"/>
      <c r="NUL46" s="1"/>
      <c r="NUM46" s="1"/>
      <c r="NUN46" s="1"/>
      <c r="NUO46" s="1"/>
      <c r="NUP46" s="1"/>
      <c r="NUQ46" s="1"/>
      <c r="NUR46" s="1"/>
      <c r="NUS46" s="1"/>
      <c r="NUT46" s="1"/>
      <c r="NUU46" s="1"/>
      <c r="NUV46" s="1"/>
      <c r="NUW46" s="1"/>
      <c r="NUX46" s="1"/>
      <c r="NUY46" s="1"/>
      <c r="NUZ46" s="1"/>
      <c r="NVA46" s="1"/>
      <c r="NVB46" s="1"/>
      <c r="NVC46" s="1"/>
      <c r="NVD46" s="1"/>
      <c r="NVE46" s="1"/>
      <c r="NVF46" s="1"/>
      <c r="NVG46" s="1"/>
      <c r="NVH46" s="1"/>
      <c r="NVI46" s="1"/>
      <c r="NVJ46" s="1"/>
      <c r="NVK46" s="1"/>
      <c r="NVL46" s="1"/>
      <c r="NVM46" s="1"/>
      <c r="NVN46" s="1"/>
      <c r="NVO46" s="1"/>
      <c r="NVP46" s="1"/>
      <c r="NVQ46" s="1"/>
      <c r="NVR46" s="1"/>
      <c r="NVS46" s="1"/>
      <c r="NVT46" s="1"/>
      <c r="NVU46" s="1"/>
      <c r="NVV46" s="1"/>
      <c r="NVW46" s="1"/>
      <c r="NVX46" s="1"/>
      <c r="NVY46" s="1"/>
      <c r="NVZ46" s="1"/>
      <c r="NWA46" s="1"/>
      <c r="NWB46" s="1"/>
      <c r="NWC46" s="1"/>
      <c r="NWD46" s="1"/>
      <c r="NWE46" s="1"/>
      <c r="NWF46" s="1"/>
      <c r="NWG46" s="1"/>
      <c r="NWH46" s="1"/>
      <c r="NWI46" s="1"/>
      <c r="NWJ46" s="1"/>
      <c r="NWK46" s="1"/>
      <c r="NWL46" s="1"/>
      <c r="NWM46" s="1"/>
      <c r="NWN46" s="1"/>
      <c r="NWO46" s="1"/>
      <c r="NWP46" s="1"/>
      <c r="NWQ46" s="1"/>
      <c r="NWR46" s="1"/>
      <c r="NWS46" s="1"/>
      <c r="NWT46" s="1"/>
      <c r="NWU46" s="1"/>
      <c r="NWV46" s="1"/>
      <c r="NWW46" s="1"/>
      <c r="NWX46" s="1"/>
      <c r="NWY46" s="1"/>
      <c r="NWZ46" s="1"/>
      <c r="NXA46" s="1"/>
      <c r="NXB46" s="1"/>
      <c r="NXC46" s="1"/>
      <c r="NXD46" s="1"/>
      <c r="NXE46" s="1"/>
      <c r="NXF46" s="1"/>
      <c r="NXG46" s="1"/>
      <c r="NXH46" s="1"/>
      <c r="NXI46" s="1"/>
      <c r="NXJ46" s="1"/>
      <c r="NXK46" s="1"/>
      <c r="NXL46" s="1"/>
      <c r="NXM46" s="1"/>
      <c r="NXN46" s="1"/>
      <c r="NXO46" s="1"/>
      <c r="NXP46" s="1"/>
      <c r="NXQ46" s="1"/>
      <c r="NXR46" s="1"/>
      <c r="NXS46" s="1"/>
      <c r="NXT46" s="1"/>
      <c r="NXU46" s="1"/>
      <c r="NXV46" s="1"/>
      <c r="NXW46" s="1"/>
      <c r="NXX46" s="1"/>
      <c r="NXY46" s="1"/>
      <c r="NXZ46" s="1"/>
      <c r="NYA46" s="1"/>
      <c r="NYB46" s="1"/>
      <c r="NYC46" s="1"/>
      <c r="NYD46" s="1"/>
      <c r="NYE46" s="1"/>
      <c r="NYF46" s="1"/>
      <c r="NYG46" s="1"/>
      <c r="NYH46" s="1"/>
      <c r="NYI46" s="1"/>
      <c r="NYJ46" s="1"/>
      <c r="NYK46" s="1"/>
      <c r="NYL46" s="1"/>
      <c r="NYM46" s="1"/>
      <c r="NYN46" s="1"/>
      <c r="NYO46" s="1"/>
      <c r="NYP46" s="1"/>
      <c r="NYQ46" s="1"/>
      <c r="NYR46" s="1"/>
      <c r="NYS46" s="1"/>
      <c r="NYT46" s="1"/>
      <c r="NYU46" s="1"/>
      <c r="NYV46" s="1"/>
      <c r="NYW46" s="1"/>
      <c r="NYX46" s="1"/>
      <c r="NYY46" s="1"/>
      <c r="NYZ46" s="1"/>
      <c r="NZA46" s="1"/>
      <c r="NZB46" s="1"/>
      <c r="NZC46" s="1"/>
      <c r="NZD46" s="1"/>
      <c r="NZE46" s="1"/>
      <c r="NZF46" s="1"/>
      <c r="NZG46" s="1"/>
      <c r="NZH46" s="1"/>
      <c r="NZI46" s="1"/>
      <c r="NZJ46" s="1"/>
      <c r="NZK46" s="1"/>
      <c r="NZL46" s="1"/>
      <c r="NZM46" s="1"/>
      <c r="NZN46" s="1"/>
      <c r="NZO46" s="1"/>
      <c r="NZP46" s="1"/>
      <c r="NZQ46" s="1"/>
      <c r="NZR46" s="1"/>
      <c r="NZS46" s="1"/>
      <c r="NZT46" s="1"/>
      <c r="NZU46" s="1"/>
      <c r="NZV46" s="1"/>
      <c r="NZW46" s="1"/>
      <c r="NZX46" s="1"/>
      <c r="NZY46" s="1"/>
      <c r="NZZ46" s="1"/>
      <c r="OAA46" s="1"/>
      <c r="OAB46" s="1"/>
      <c r="OAC46" s="1"/>
      <c r="OAD46" s="1"/>
      <c r="OAE46" s="1"/>
      <c r="OAF46" s="1"/>
      <c r="OAG46" s="1"/>
      <c r="OAH46" s="1"/>
      <c r="OAI46" s="1"/>
      <c r="OAJ46" s="1"/>
      <c r="OAK46" s="1"/>
      <c r="OAL46" s="1"/>
      <c r="OAM46" s="1"/>
      <c r="OAN46" s="1"/>
      <c r="OAO46" s="1"/>
      <c r="OAP46" s="1"/>
      <c r="OAQ46" s="1"/>
      <c r="OAR46" s="1"/>
      <c r="OAS46" s="1"/>
      <c r="OAT46" s="1"/>
      <c r="OAU46" s="1"/>
      <c r="OAV46" s="1"/>
      <c r="OAW46" s="1"/>
      <c r="OAX46" s="1"/>
      <c r="OAY46" s="1"/>
      <c r="OAZ46" s="1"/>
      <c r="OBA46" s="1"/>
      <c r="OBB46" s="1"/>
      <c r="OBC46" s="1"/>
      <c r="OBD46" s="1"/>
      <c r="OBE46" s="1"/>
      <c r="OBF46" s="1"/>
      <c r="OBG46" s="1"/>
      <c r="OBH46" s="1"/>
      <c r="OBI46" s="1"/>
      <c r="OBJ46" s="1"/>
      <c r="OBK46" s="1"/>
      <c r="OBL46" s="1"/>
      <c r="OBM46" s="1"/>
      <c r="OBN46" s="1"/>
      <c r="OBO46" s="1"/>
      <c r="OBP46" s="1"/>
      <c r="OBQ46" s="1"/>
      <c r="OBR46" s="1"/>
      <c r="OBS46" s="1"/>
      <c r="OBT46" s="1"/>
      <c r="OBU46" s="1"/>
      <c r="OBV46" s="1"/>
      <c r="OBW46" s="1"/>
      <c r="OBX46" s="1"/>
      <c r="OBY46" s="1"/>
      <c r="OBZ46" s="1"/>
      <c r="OCA46" s="1"/>
      <c r="OCB46" s="1"/>
      <c r="OCC46" s="1"/>
      <c r="OCD46" s="1"/>
      <c r="OCE46" s="1"/>
      <c r="OCF46" s="1"/>
      <c r="OCG46" s="1"/>
      <c r="OCH46" s="1"/>
      <c r="OCI46" s="1"/>
      <c r="OCJ46" s="1"/>
      <c r="OCK46" s="1"/>
      <c r="OCL46" s="1"/>
      <c r="OCM46" s="1"/>
      <c r="OCN46" s="1"/>
      <c r="OCO46" s="1"/>
      <c r="OCP46" s="1"/>
      <c r="OCQ46" s="1"/>
      <c r="OCR46" s="1"/>
      <c r="OCS46" s="1"/>
      <c r="OCT46" s="1"/>
      <c r="OCU46" s="1"/>
      <c r="OCV46" s="1"/>
      <c r="OCW46" s="1"/>
      <c r="OCX46" s="1"/>
      <c r="OCY46" s="1"/>
      <c r="OCZ46" s="1"/>
      <c r="ODA46" s="1"/>
      <c r="ODB46" s="1"/>
      <c r="ODC46" s="1"/>
      <c r="ODD46" s="1"/>
      <c r="ODE46" s="1"/>
      <c r="ODF46" s="1"/>
      <c r="ODG46" s="1"/>
      <c r="ODH46" s="1"/>
      <c r="ODI46" s="1"/>
      <c r="ODJ46" s="1"/>
      <c r="ODK46" s="1"/>
      <c r="ODL46" s="1"/>
      <c r="ODM46" s="1"/>
      <c r="ODN46" s="1"/>
      <c r="ODO46" s="1"/>
      <c r="ODP46" s="1"/>
      <c r="ODQ46" s="1"/>
      <c r="ODR46" s="1"/>
      <c r="ODS46" s="1"/>
      <c r="ODT46" s="1"/>
      <c r="ODU46" s="1"/>
      <c r="ODV46" s="1"/>
      <c r="ODW46" s="1"/>
      <c r="ODX46" s="1"/>
      <c r="ODY46" s="1"/>
      <c r="ODZ46" s="1"/>
      <c r="OEA46" s="1"/>
      <c r="OEB46" s="1"/>
      <c r="OEC46" s="1"/>
      <c r="OED46" s="1"/>
      <c r="OEE46" s="1"/>
      <c r="OEF46" s="1"/>
      <c r="OEG46" s="1"/>
      <c r="OEH46" s="1"/>
      <c r="OEI46" s="1"/>
      <c r="OEJ46" s="1"/>
      <c r="OEK46" s="1"/>
      <c r="OEL46" s="1"/>
      <c r="OEM46" s="1"/>
      <c r="OEN46" s="1"/>
      <c r="OEO46" s="1"/>
      <c r="OEP46" s="1"/>
      <c r="OEQ46" s="1"/>
      <c r="OER46" s="1"/>
      <c r="OES46" s="1"/>
      <c r="OET46" s="1"/>
      <c r="OEU46" s="1"/>
      <c r="OEV46" s="1"/>
      <c r="OEW46" s="1"/>
      <c r="OEX46" s="1"/>
      <c r="OEY46" s="1"/>
      <c r="OEZ46" s="1"/>
      <c r="OFA46" s="1"/>
      <c r="OFB46" s="1"/>
      <c r="OFC46" s="1"/>
      <c r="OFD46" s="1"/>
      <c r="OFE46" s="1"/>
      <c r="OFF46" s="1"/>
      <c r="OFG46" s="1"/>
      <c r="OFH46" s="1"/>
      <c r="OFI46" s="1"/>
      <c r="OFJ46" s="1"/>
      <c r="OFK46" s="1"/>
      <c r="OFL46" s="1"/>
      <c r="OFM46" s="1"/>
      <c r="OFN46" s="1"/>
      <c r="OFO46" s="1"/>
      <c r="OFP46" s="1"/>
      <c r="OFQ46" s="1"/>
      <c r="OFR46" s="1"/>
      <c r="OFS46" s="1"/>
      <c r="OFT46" s="1"/>
      <c r="OFU46" s="1"/>
      <c r="OFV46" s="1"/>
      <c r="OFW46" s="1"/>
      <c r="OFX46" s="1"/>
      <c r="OFY46" s="1"/>
      <c r="OFZ46" s="1"/>
      <c r="OGA46" s="1"/>
      <c r="OGB46" s="1"/>
      <c r="OGC46" s="1"/>
      <c r="OGD46" s="1"/>
      <c r="OGE46" s="1"/>
      <c r="OGF46" s="1"/>
      <c r="OGG46" s="1"/>
      <c r="OGH46" s="1"/>
      <c r="OGI46" s="1"/>
      <c r="OGJ46" s="1"/>
      <c r="OGK46" s="1"/>
      <c r="OGL46" s="1"/>
      <c r="OGM46" s="1"/>
      <c r="OGN46" s="1"/>
      <c r="OGO46" s="1"/>
      <c r="OGP46" s="1"/>
      <c r="OGQ46" s="1"/>
      <c r="OGR46" s="1"/>
      <c r="OGS46" s="1"/>
      <c r="OGT46" s="1"/>
      <c r="OGU46" s="1"/>
      <c r="OGV46" s="1"/>
      <c r="OGW46" s="1"/>
      <c r="OGX46" s="1"/>
      <c r="OGY46" s="1"/>
      <c r="OGZ46" s="1"/>
      <c r="OHA46" s="1"/>
      <c r="OHB46" s="1"/>
      <c r="OHC46" s="1"/>
      <c r="OHD46" s="1"/>
      <c r="OHE46" s="1"/>
      <c r="OHF46" s="1"/>
      <c r="OHG46" s="1"/>
      <c r="OHH46" s="1"/>
      <c r="OHI46" s="1"/>
      <c r="OHJ46" s="1"/>
      <c r="OHK46" s="1"/>
      <c r="OHL46" s="1"/>
      <c r="OHM46" s="1"/>
      <c r="OHN46" s="1"/>
      <c r="OHO46" s="1"/>
      <c r="OHP46" s="1"/>
      <c r="OHQ46" s="1"/>
      <c r="OHR46" s="1"/>
      <c r="OHS46" s="1"/>
      <c r="OHT46" s="1"/>
      <c r="OHU46" s="1"/>
      <c r="OHV46" s="1"/>
      <c r="OHW46" s="1"/>
      <c r="OHX46" s="1"/>
      <c r="OHY46" s="1"/>
      <c r="OHZ46" s="1"/>
      <c r="OIA46" s="1"/>
      <c r="OIB46" s="1"/>
      <c r="OIC46" s="1"/>
      <c r="OID46" s="1"/>
      <c r="OIE46" s="1"/>
      <c r="OIF46" s="1"/>
      <c r="OIG46" s="1"/>
      <c r="OIH46" s="1"/>
      <c r="OII46" s="1"/>
      <c r="OIJ46" s="1"/>
      <c r="OIK46" s="1"/>
      <c r="OIL46" s="1"/>
      <c r="OIM46" s="1"/>
      <c r="OIN46" s="1"/>
      <c r="OIO46" s="1"/>
      <c r="OIP46" s="1"/>
      <c r="OIQ46" s="1"/>
      <c r="OIR46" s="1"/>
      <c r="OIS46" s="1"/>
      <c r="OIT46" s="1"/>
      <c r="OIU46" s="1"/>
      <c r="OIV46" s="1"/>
      <c r="OIW46" s="1"/>
      <c r="OIX46" s="1"/>
      <c r="OIY46" s="1"/>
      <c r="OIZ46" s="1"/>
      <c r="OJA46" s="1"/>
      <c r="OJB46" s="1"/>
      <c r="OJC46" s="1"/>
      <c r="OJD46" s="1"/>
      <c r="OJE46" s="1"/>
      <c r="OJF46" s="1"/>
      <c r="OJG46" s="1"/>
      <c r="OJH46" s="1"/>
      <c r="OJI46" s="1"/>
      <c r="OJJ46" s="1"/>
      <c r="OJK46" s="1"/>
      <c r="OJL46" s="1"/>
      <c r="OJM46" s="1"/>
      <c r="OJN46" s="1"/>
      <c r="OJO46" s="1"/>
      <c r="OJP46" s="1"/>
      <c r="OJQ46" s="1"/>
      <c r="OJR46" s="1"/>
      <c r="OJS46" s="1"/>
      <c r="OJT46" s="1"/>
      <c r="OJU46" s="1"/>
      <c r="OJV46" s="1"/>
      <c r="OJW46" s="1"/>
      <c r="OJX46" s="1"/>
      <c r="OJY46" s="1"/>
      <c r="OJZ46" s="1"/>
      <c r="OKA46" s="1"/>
      <c r="OKB46" s="1"/>
      <c r="OKC46" s="1"/>
      <c r="OKD46" s="1"/>
      <c r="OKE46" s="1"/>
      <c r="OKF46" s="1"/>
      <c r="OKG46" s="1"/>
      <c r="OKH46" s="1"/>
      <c r="OKI46" s="1"/>
      <c r="OKJ46" s="1"/>
      <c r="OKK46" s="1"/>
      <c r="OKL46" s="1"/>
      <c r="OKM46" s="1"/>
      <c r="OKN46" s="1"/>
      <c r="OKO46" s="1"/>
      <c r="OKP46" s="1"/>
      <c r="OKQ46" s="1"/>
      <c r="OKR46" s="1"/>
      <c r="OKS46" s="1"/>
      <c r="OKT46" s="1"/>
      <c r="OKU46" s="1"/>
      <c r="OKV46" s="1"/>
      <c r="OKW46" s="1"/>
      <c r="OKX46" s="1"/>
      <c r="OKY46" s="1"/>
      <c r="OKZ46" s="1"/>
      <c r="OLA46" s="1"/>
      <c r="OLB46" s="1"/>
      <c r="OLC46" s="1"/>
      <c r="OLD46" s="1"/>
      <c r="OLE46" s="1"/>
      <c r="OLF46" s="1"/>
      <c r="OLG46" s="1"/>
      <c r="OLH46" s="1"/>
      <c r="OLI46" s="1"/>
      <c r="OLJ46" s="1"/>
      <c r="OLK46" s="1"/>
      <c r="OLL46" s="1"/>
      <c r="OLM46" s="1"/>
      <c r="OLN46" s="1"/>
      <c r="OLO46" s="1"/>
      <c r="OLP46" s="1"/>
      <c r="OLQ46" s="1"/>
      <c r="OLR46" s="1"/>
      <c r="OLS46" s="1"/>
      <c r="OLT46" s="1"/>
      <c r="OLU46" s="1"/>
      <c r="OLV46" s="1"/>
      <c r="OLW46" s="1"/>
      <c r="OLX46" s="1"/>
      <c r="OLY46" s="1"/>
      <c r="OLZ46" s="1"/>
      <c r="OMA46" s="1"/>
      <c r="OMB46" s="1"/>
      <c r="OMC46" s="1"/>
      <c r="OMD46" s="1"/>
      <c r="OME46" s="1"/>
      <c r="OMF46" s="1"/>
      <c r="OMG46" s="1"/>
      <c r="OMH46" s="1"/>
      <c r="OMI46" s="1"/>
      <c r="OMJ46" s="1"/>
      <c r="OMK46" s="1"/>
      <c r="OML46" s="1"/>
      <c r="OMM46" s="1"/>
      <c r="OMN46" s="1"/>
      <c r="OMO46" s="1"/>
      <c r="OMP46" s="1"/>
      <c r="OMQ46" s="1"/>
      <c r="OMR46" s="1"/>
      <c r="OMS46" s="1"/>
      <c r="OMT46" s="1"/>
      <c r="OMU46" s="1"/>
      <c r="OMV46" s="1"/>
      <c r="OMW46" s="1"/>
      <c r="OMX46" s="1"/>
      <c r="OMY46" s="1"/>
      <c r="OMZ46" s="1"/>
      <c r="ONA46" s="1"/>
      <c r="ONB46" s="1"/>
      <c r="ONC46" s="1"/>
      <c r="OND46" s="1"/>
      <c r="ONE46" s="1"/>
      <c r="ONF46" s="1"/>
      <c r="ONG46" s="1"/>
      <c r="ONH46" s="1"/>
      <c r="ONI46" s="1"/>
      <c r="ONJ46" s="1"/>
      <c r="ONK46" s="1"/>
      <c r="ONL46" s="1"/>
      <c r="ONM46" s="1"/>
      <c r="ONN46" s="1"/>
      <c r="ONO46" s="1"/>
      <c r="ONP46" s="1"/>
      <c r="ONQ46" s="1"/>
      <c r="ONR46" s="1"/>
      <c r="ONS46" s="1"/>
      <c r="ONT46" s="1"/>
      <c r="ONU46" s="1"/>
      <c r="ONV46" s="1"/>
      <c r="ONW46" s="1"/>
      <c r="ONX46" s="1"/>
      <c r="ONY46" s="1"/>
      <c r="ONZ46" s="1"/>
      <c r="OOA46" s="1"/>
      <c r="OOB46" s="1"/>
      <c r="OOC46" s="1"/>
      <c r="OOD46" s="1"/>
      <c r="OOE46" s="1"/>
      <c r="OOF46" s="1"/>
      <c r="OOG46" s="1"/>
      <c r="OOH46" s="1"/>
      <c r="OOI46" s="1"/>
      <c r="OOJ46" s="1"/>
      <c r="OOK46" s="1"/>
      <c r="OOL46" s="1"/>
      <c r="OOM46" s="1"/>
      <c r="OON46" s="1"/>
      <c r="OOO46" s="1"/>
      <c r="OOP46" s="1"/>
      <c r="OOQ46" s="1"/>
      <c r="OOR46" s="1"/>
      <c r="OOS46" s="1"/>
      <c r="OOT46" s="1"/>
      <c r="OOU46" s="1"/>
      <c r="OOV46" s="1"/>
      <c r="OOW46" s="1"/>
      <c r="OOX46" s="1"/>
      <c r="OOY46" s="1"/>
      <c r="OOZ46" s="1"/>
      <c r="OPA46" s="1"/>
      <c r="OPB46" s="1"/>
      <c r="OPC46" s="1"/>
      <c r="OPD46" s="1"/>
      <c r="OPE46" s="1"/>
      <c r="OPF46" s="1"/>
      <c r="OPG46" s="1"/>
      <c r="OPH46" s="1"/>
      <c r="OPI46" s="1"/>
      <c r="OPJ46" s="1"/>
      <c r="OPK46" s="1"/>
      <c r="OPL46" s="1"/>
      <c r="OPM46" s="1"/>
      <c r="OPN46" s="1"/>
      <c r="OPO46" s="1"/>
      <c r="OPP46" s="1"/>
      <c r="OPQ46" s="1"/>
      <c r="OPR46" s="1"/>
      <c r="OPS46" s="1"/>
      <c r="OPT46" s="1"/>
      <c r="OPU46" s="1"/>
      <c r="OPV46" s="1"/>
      <c r="OPW46" s="1"/>
      <c r="OPX46" s="1"/>
      <c r="OPY46" s="1"/>
      <c r="OPZ46" s="1"/>
      <c r="OQA46" s="1"/>
      <c r="OQB46" s="1"/>
      <c r="OQC46" s="1"/>
      <c r="OQD46" s="1"/>
      <c r="OQE46" s="1"/>
      <c r="OQF46" s="1"/>
      <c r="OQG46" s="1"/>
      <c r="OQH46" s="1"/>
      <c r="OQI46" s="1"/>
      <c r="OQJ46" s="1"/>
      <c r="OQK46" s="1"/>
      <c r="OQL46" s="1"/>
      <c r="OQM46" s="1"/>
      <c r="OQN46" s="1"/>
      <c r="OQO46" s="1"/>
      <c r="OQP46" s="1"/>
      <c r="OQQ46" s="1"/>
      <c r="OQR46" s="1"/>
      <c r="OQS46" s="1"/>
      <c r="OQT46" s="1"/>
      <c r="OQU46" s="1"/>
      <c r="OQV46" s="1"/>
      <c r="OQW46" s="1"/>
      <c r="OQX46" s="1"/>
      <c r="OQY46" s="1"/>
      <c r="OQZ46" s="1"/>
      <c r="ORA46" s="1"/>
      <c r="ORB46" s="1"/>
      <c r="ORC46" s="1"/>
      <c r="ORD46" s="1"/>
      <c r="ORE46" s="1"/>
      <c r="ORF46" s="1"/>
      <c r="ORG46" s="1"/>
      <c r="ORH46" s="1"/>
      <c r="ORI46" s="1"/>
      <c r="ORJ46" s="1"/>
      <c r="ORK46" s="1"/>
      <c r="ORL46" s="1"/>
      <c r="ORM46" s="1"/>
      <c r="ORN46" s="1"/>
      <c r="ORO46" s="1"/>
      <c r="ORP46" s="1"/>
      <c r="ORQ46" s="1"/>
      <c r="ORR46" s="1"/>
      <c r="ORS46" s="1"/>
      <c r="ORT46" s="1"/>
      <c r="ORU46" s="1"/>
      <c r="ORV46" s="1"/>
      <c r="ORW46" s="1"/>
      <c r="ORX46" s="1"/>
      <c r="ORY46" s="1"/>
      <c r="ORZ46" s="1"/>
      <c r="OSA46" s="1"/>
      <c r="OSB46" s="1"/>
      <c r="OSC46" s="1"/>
      <c r="OSD46" s="1"/>
      <c r="OSE46" s="1"/>
      <c r="OSF46" s="1"/>
      <c r="OSG46" s="1"/>
      <c r="OSH46" s="1"/>
      <c r="OSI46" s="1"/>
      <c r="OSJ46" s="1"/>
      <c r="OSK46" s="1"/>
      <c r="OSL46" s="1"/>
      <c r="OSM46" s="1"/>
      <c r="OSN46" s="1"/>
      <c r="OSO46" s="1"/>
      <c r="OSP46" s="1"/>
      <c r="OSQ46" s="1"/>
      <c r="OSR46" s="1"/>
      <c r="OSS46" s="1"/>
      <c r="OST46" s="1"/>
      <c r="OSU46" s="1"/>
      <c r="OSV46" s="1"/>
      <c r="OSW46" s="1"/>
      <c r="OSX46" s="1"/>
      <c r="OSY46" s="1"/>
      <c r="OSZ46" s="1"/>
      <c r="OTA46" s="1"/>
      <c r="OTB46" s="1"/>
      <c r="OTC46" s="1"/>
      <c r="OTD46" s="1"/>
      <c r="OTE46" s="1"/>
      <c r="OTF46" s="1"/>
      <c r="OTG46" s="1"/>
      <c r="OTH46" s="1"/>
      <c r="OTI46" s="1"/>
      <c r="OTJ46" s="1"/>
      <c r="OTK46" s="1"/>
      <c r="OTL46" s="1"/>
      <c r="OTM46" s="1"/>
      <c r="OTN46" s="1"/>
      <c r="OTO46" s="1"/>
      <c r="OTP46" s="1"/>
      <c r="OTQ46" s="1"/>
      <c r="OTR46" s="1"/>
      <c r="OTS46" s="1"/>
      <c r="OTT46" s="1"/>
      <c r="OTU46" s="1"/>
      <c r="OTV46" s="1"/>
      <c r="OTW46" s="1"/>
      <c r="OTX46" s="1"/>
      <c r="OTY46" s="1"/>
      <c r="OTZ46" s="1"/>
      <c r="OUA46" s="1"/>
      <c r="OUB46" s="1"/>
      <c r="OUC46" s="1"/>
      <c r="OUD46" s="1"/>
      <c r="OUE46" s="1"/>
      <c r="OUF46" s="1"/>
      <c r="OUG46" s="1"/>
      <c r="OUH46" s="1"/>
      <c r="OUI46" s="1"/>
      <c r="OUJ46" s="1"/>
      <c r="OUK46" s="1"/>
      <c r="OUL46" s="1"/>
      <c r="OUM46" s="1"/>
      <c r="OUN46" s="1"/>
      <c r="OUO46" s="1"/>
      <c r="OUP46" s="1"/>
      <c r="OUQ46" s="1"/>
      <c r="OUR46" s="1"/>
      <c r="OUS46" s="1"/>
      <c r="OUT46" s="1"/>
      <c r="OUU46" s="1"/>
      <c r="OUV46" s="1"/>
      <c r="OUW46" s="1"/>
      <c r="OUX46" s="1"/>
      <c r="OUY46" s="1"/>
      <c r="OUZ46" s="1"/>
      <c r="OVA46" s="1"/>
      <c r="OVB46" s="1"/>
      <c r="OVC46" s="1"/>
      <c r="OVD46" s="1"/>
      <c r="OVE46" s="1"/>
      <c r="OVF46" s="1"/>
      <c r="OVG46" s="1"/>
      <c r="OVH46" s="1"/>
      <c r="OVI46" s="1"/>
      <c r="OVJ46" s="1"/>
      <c r="OVK46" s="1"/>
      <c r="OVL46" s="1"/>
      <c r="OVM46" s="1"/>
      <c r="OVN46" s="1"/>
      <c r="OVO46" s="1"/>
      <c r="OVP46" s="1"/>
      <c r="OVQ46" s="1"/>
      <c r="OVR46" s="1"/>
      <c r="OVS46" s="1"/>
      <c r="OVT46" s="1"/>
      <c r="OVU46" s="1"/>
      <c r="OVV46" s="1"/>
      <c r="OVW46" s="1"/>
      <c r="OVX46" s="1"/>
      <c r="OVY46" s="1"/>
      <c r="OVZ46" s="1"/>
      <c r="OWA46" s="1"/>
      <c r="OWB46" s="1"/>
      <c r="OWC46" s="1"/>
      <c r="OWD46" s="1"/>
      <c r="OWE46" s="1"/>
      <c r="OWF46" s="1"/>
      <c r="OWG46" s="1"/>
      <c r="OWH46" s="1"/>
      <c r="OWI46" s="1"/>
      <c r="OWJ46" s="1"/>
      <c r="OWK46" s="1"/>
      <c r="OWL46" s="1"/>
      <c r="OWM46" s="1"/>
      <c r="OWN46" s="1"/>
      <c r="OWO46" s="1"/>
      <c r="OWP46" s="1"/>
      <c r="OWQ46" s="1"/>
      <c r="OWR46" s="1"/>
      <c r="OWS46" s="1"/>
      <c r="OWT46" s="1"/>
      <c r="OWU46" s="1"/>
      <c r="OWV46" s="1"/>
      <c r="OWW46" s="1"/>
      <c r="OWX46" s="1"/>
      <c r="OWY46" s="1"/>
      <c r="OWZ46" s="1"/>
      <c r="OXA46" s="1"/>
      <c r="OXB46" s="1"/>
      <c r="OXC46" s="1"/>
      <c r="OXD46" s="1"/>
      <c r="OXE46" s="1"/>
      <c r="OXF46" s="1"/>
      <c r="OXG46" s="1"/>
      <c r="OXH46" s="1"/>
      <c r="OXI46" s="1"/>
      <c r="OXJ46" s="1"/>
      <c r="OXK46" s="1"/>
      <c r="OXL46" s="1"/>
      <c r="OXM46" s="1"/>
      <c r="OXN46" s="1"/>
      <c r="OXO46" s="1"/>
      <c r="OXP46" s="1"/>
      <c r="OXQ46" s="1"/>
      <c r="OXR46" s="1"/>
      <c r="OXS46" s="1"/>
      <c r="OXT46" s="1"/>
      <c r="OXU46" s="1"/>
      <c r="OXV46" s="1"/>
      <c r="OXW46" s="1"/>
      <c r="OXX46" s="1"/>
      <c r="OXY46" s="1"/>
      <c r="OXZ46" s="1"/>
      <c r="OYA46" s="1"/>
      <c r="OYB46" s="1"/>
      <c r="OYC46" s="1"/>
      <c r="OYD46" s="1"/>
      <c r="OYE46" s="1"/>
      <c r="OYF46" s="1"/>
      <c r="OYG46" s="1"/>
      <c r="OYH46" s="1"/>
      <c r="OYI46" s="1"/>
      <c r="OYJ46" s="1"/>
      <c r="OYK46" s="1"/>
      <c r="OYL46" s="1"/>
      <c r="OYM46" s="1"/>
      <c r="OYN46" s="1"/>
      <c r="OYO46" s="1"/>
      <c r="OYP46" s="1"/>
      <c r="OYQ46" s="1"/>
      <c r="OYR46" s="1"/>
      <c r="OYS46" s="1"/>
      <c r="OYT46" s="1"/>
      <c r="OYU46" s="1"/>
      <c r="OYV46" s="1"/>
      <c r="OYW46" s="1"/>
      <c r="OYX46" s="1"/>
      <c r="OYY46" s="1"/>
      <c r="OYZ46" s="1"/>
      <c r="OZA46" s="1"/>
      <c r="OZB46" s="1"/>
      <c r="OZC46" s="1"/>
      <c r="OZD46" s="1"/>
      <c r="OZE46" s="1"/>
      <c r="OZF46" s="1"/>
      <c r="OZG46" s="1"/>
      <c r="OZH46" s="1"/>
      <c r="OZI46" s="1"/>
      <c r="OZJ46" s="1"/>
      <c r="OZK46" s="1"/>
      <c r="OZL46" s="1"/>
      <c r="OZM46" s="1"/>
      <c r="OZN46" s="1"/>
      <c r="OZO46" s="1"/>
      <c r="OZP46" s="1"/>
      <c r="OZQ46" s="1"/>
      <c r="OZR46" s="1"/>
      <c r="OZS46" s="1"/>
      <c r="OZT46" s="1"/>
      <c r="OZU46" s="1"/>
      <c r="OZV46" s="1"/>
      <c r="OZW46" s="1"/>
      <c r="OZX46" s="1"/>
      <c r="OZY46" s="1"/>
      <c r="OZZ46" s="1"/>
      <c r="PAA46" s="1"/>
      <c r="PAB46" s="1"/>
      <c r="PAC46" s="1"/>
      <c r="PAD46" s="1"/>
      <c r="PAE46" s="1"/>
      <c r="PAF46" s="1"/>
      <c r="PAG46" s="1"/>
      <c r="PAH46" s="1"/>
      <c r="PAI46" s="1"/>
      <c r="PAJ46" s="1"/>
      <c r="PAK46" s="1"/>
      <c r="PAL46" s="1"/>
      <c r="PAM46" s="1"/>
      <c r="PAN46" s="1"/>
      <c r="PAO46" s="1"/>
      <c r="PAP46" s="1"/>
      <c r="PAQ46" s="1"/>
      <c r="PAR46" s="1"/>
      <c r="PAS46" s="1"/>
      <c r="PAT46" s="1"/>
      <c r="PAU46" s="1"/>
      <c r="PAV46" s="1"/>
      <c r="PAW46" s="1"/>
      <c r="PAX46" s="1"/>
      <c r="PAY46" s="1"/>
      <c r="PAZ46" s="1"/>
      <c r="PBA46" s="1"/>
      <c r="PBB46" s="1"/>
      <c r="PBC46" s="1"/>
      <c r="PBD46" s="1"/>
      <c r="PBE46" s="1"/>
      <c r="PBF46" s="1"/>
      <c r="PBG46" s="1"/>
      <c r="PBH46" s="1"/>
      <c r="PBI46" s="1"/>
      <c r="PBJ46" s="1"/>
      <c r="PBK46" s="1"/>
      <c r="PBL46" s="1"/>
      <c r="PBM46" s="1"/>
      <c r="PBN46" s="1"/>
      <c r="PBO46" s="1"/>
      <c r="PBP46" s="1"/>
      <c r="PBQ46" s="1"/>
      <c r="PBR46" s="1"/>
      <c r="PBS46" s="1"/>
      <c r="PBT46" s="1"/>
      <c r="PBU46" s="1"/>
      <c r="PBV46" s="1"/>
      <c r="PBW46" s="1"/>
      <c r="PBX46" s="1"/>
      <c r="PBY46" s="1"/>
      <c r="PBZ46" s="1"/>
      <c r="PCA46" s="1"/>
      <c r="PCB46" s="1"/>
      <c r="PCC46" s="1"/>
      <c r="PCD46" s="1"/>
      <c r="PCE46" s="1"/>
      <c r="PCF46" s="1"/>
      <c r="PCG46" s="1"/>
      <c r="PCH46" s="1"/>
      <c r="PCI46" s="1"/>
      <c r="PCJ46" s="1"/>
      <c r="PCK46" s="1"/>
      <c r="PCL46" s="1"/>
      <c r="PCM46" s="1"/>
      <c r="PCN46" s="1"/>
      <c r="PCO46" s="1"/>
      <c r="PCP46" s="1"/>
      <c r="PCQ46" s="1"/>
      <c r="PCR46" s="1"/>
      <c r="PCS46" s="1"/>
      <c r="PCT46" s="1"/>
      <c r="PCU46" s="1"/>
      <c r="PCV46" s="1"/>
      <c r="PCW46" s="1"/>
      <c r="PCX46" s="1"/>
      <c r="PCY46" s="1"/>
      <c r="PCZ46" s="1"/>
      <c r="PDA46" s="1"/>
      <c r="PDB46" s="1"/>
      <c r="PDC46" s="1"/>
      <c r="PDD46" s="1"/>
      <c r="PDE46" s="1"/>
      <c r="PDF46" s="1"/>
      <c r="PDG46" s="1"/>
      <c r="PDH46" s="1"/>
      <c r="PDI46" s="1"/>
      <c r="PDJ46" s="1"/>
      <c r="PDK46" s="1"/>
      <c r="PDL46" s="1"/>
      <c r="PDM46" s="1"/>
      <c r="PDN46" s="1"/>
      <c r="PDO46" s="1"/>
      <c r="PDP46" s="1"/>
      <c r="PDQ46" s="1"/>
      <c r="PDR46" s="1"/>
      <c r="PDS46" s="1"/>
      <c r="PDT46" s="1"/>
      <c r="PDU46" s="1"/>
      <c r="PDV46" s="1"/>
      <c r="PDW46" s="1"/>
      <c r="PDX46" s="1"/>
      <c r="PDY46" s="1"/>
      <c r="PDZ46" s="1"/>
      <c r="PEA46" s="1"/>
      <c r="PEB46" s="1"/>
      <c r="PEC46" s="1"/>
      <c r="PED46" s="1"/>
      <c r="PEE46" s="1"/>
      <c r="PEF46" s="1"/>
      <c r="PEG46" s="1"/>
      <c r="PEH46" s="1"/>
      <c r="PEI46" s="1"/>
      <c r="PEJ46" s="1"/>
      <c r="PEK46" s="1"/>
      <c r="PEL46" s="1"/>
      <c r="PEM46" s="1"/>
      <c r="PEN46" s="1"/>
      <c r="PEO46" s="1"/>
      <c r="PEP46" s="1"/>
      <c r="PEQ46" s="1"/>
      <c r="PER46" s="1"/>
      <c r="PES46" s="1"/>
      <c r="PET46" s="1"/>
      <c r="PEU46" s="1"/>
      <c r="PEV46" s="1"/>
      <c r="PEW46" s="1"/>
      <c r="PEX46" s="1"/>
      <c r="PEY46" s="1"/>
      <c r="PEZ46" s="1"/>
      <c r="PFA46" s="1"/>
      <c r="PFB46" s="1"/>
      <c r="PFC46" s="1"/>
      <c r="PFD46" s="1"/>
      <c r="PFE46" s="1"/>
      <c r="PFF46" s="1"/>
      <c r="PFG46" s="1"/>
      <c r="PFH46" s="1"/>
      <c r="PFI46" s="1"/>
      <c r="PFJ46" s="1"/>
      <c r="PFK46" s="1"/>
      <c r="PFL46" s="1"/>
      <c r="PFM46" s="1"/>
      <c r="PFN46" s="1"/>
      <c r="PFO46" s="1"/>
      <c r="PFP46" s="1"/>
      <c r="PFQ46" s="1"/>
      <c r="PFR46" s="1"/>
      <c r="PFS46" s="1"/>
      <c r="PFT46" s="1"/>
      <c r="PFU46" s="1"/>
      <c r="PFV46" s="1"/>
      <c r="PFW46" s="1"/>
      <c r="PFX46" s="1"/>
      <c r="PFY46" s="1"/>
      <c r="PFZ46" s="1"/>
      <c r="PGA46" s="1"/>
      <c r="PGB46" s="1"/>
      <c r="PGC46" s="1"/>
      <c r="PGD46" s="1"/>
      <c r="PGE46" s="1"/>
      <c r="PGF46" s="1"/>
      <c r="PGG46" s="1"/>
      <c r="PGH46" s="1"/>
      <c r="PGI46" s="1"/>
      <c r="PGJ46" s="1"/>
      <c r="PGK46" s="1"/>
      <c r="PGL46" s="1"/>
      <c r="PGM46" s="1"/>
      <c r="PGN46" s="1"/>
      <c r="PGO46" s="1"/>
      <c r="PGP46" s="1"/>
      <c r="PGQ46" s="1"/>
      <c r="PGR46" s="1"/>
      <c r="PGS46" s="1"/>
      <c r="PGT46" s="1"/>
      <c r="PGU46" s="1"/>
      <c r="PGV46" s="1"/>
      <c r="PGW46" s="1"/>
      <c r="PGX46" s="1"/>
      <c r="PGY46" s="1"/>
      <c r="PGZ46" s="1"/>
      <c r="PHA46" s="1"/>
      <c r="PHB46" s="1"/>
      <c r="PHC46" s="1"/>
      <c r="PHD46" s="1"/>
      <c r="PHE46" s="1"/>
      <c r="PHF46" s="1"/>
      <c r="PHG46" s="1"/>
      <c r="PHH46" s="1"/>
      <c r="PHI46" s="1"/>
      <c r="PHJ46" s="1"/>
      <c r="PHK46" s="1"/>
      <c r="PHL46" s="1"/>
      <c r="PHM46" s="1"/>
      <c r="PHN46" s="1"/>
      <c r="PHO46" s="1"/>
      <c r="PHP46" s="1"/>
      <c r="PHQ46" s="1"/>
      <c r="PHR46" s="1"/>
      <c r="PHS46" s="1"/>
      <c r="PHT46" s="1"/>
      <c r="PHU46" s="1"/>
      <c r="PHV46" s="1"/>
      <c r="PHW46" s="1"/>
      <c r="PHX46" s="1"/>
      <c r="PHY46" s="1"/>
      <c r="PHZ46" s="1"/>
      <c r="PIA46" s="1"/>
      <c r="PIB46" s="1"/>
      <c r="PIC46" s="1"/>
      <c r="PID46" s="1"/>
      <c r="PIE46" s="1"/>
      <c r="PIF46" s="1"/>
      <c r="PIG46" s="1"/>
      <c r="PIH46" s="1"/>
      <c r="PII46" s="1"/>
      <c r="PIJ46" s="1"/>
      <c r="PIK46" s="1"/>
      <c r="PIL46" s="1"/>
      <c r="PIM46" s="1"/>
      <c r="PIN46" s="1"/>
      <c r="PIO46" s="1"/>
      <c r="PIP46" s="1"/>
      <c r="PIQ46" s="1"/>
      <c r="PIR46" s="1"/>
      <c r="PIS46" s="1"/>
      <c r="PIT46" s="1"/>
      <c r="PIU46" s="1"/>
      <c r="PIV46" s="1"/>
      <c r="PIW46" s="1"/>
      <c r="PIX46" s="1"/>
      <c r="PIY46" s="1"/>
      <c r="PIZ46" s="1"/>
      <c r="PJA46" s="1"/>
      <c r="PJB46" s="1"/>
      <c r="PJC46" s="1"/>
      <c r="PJD46" s="1"/>
      <c r="PJE46" s="1"/>
      <c r="PJF46" s="1"/>
      <c r="PJG46" s="1"/>
      <c r="PJH46" s="1"/>
      <c r="PJI46" s="1"/>
      <c r="PJJ46" s="1"/>
      <c r="PJK46" s="1"/>
      <c r="PJL46" s="1"/>
      <c r="PJM46" s="1"/>
      <c r="PJN46" s="1"/>
      <c r="PJO46" s="1"/>
      <c r="PJP46" s="1"/>
      <c r="PJQ46" s="1"/>
      <c r="PJR46" s="1"/>
      <c r="PJS46" s="1"/>
      <c r="PJT46" s="1"/>
      <c r="PJU46" s="1"/>
      <c r="PJV46" s="1"/>
      <c r="PJW46" s="1"/>
      <c r="PJX46" s="1"/>
      <c r="PJY46" s="1"/>
      <c r="PJZ46" s="1"/>
      <c r="PKA46" s="1"/>
      <c r="PKB46" s="1"/>
      <c r="PKC46" s="1"/>
      <c r="PKD46" s="1"/>
      <c r="PKE46" s="1"/>
      <c r="PKF46" s="1"/>
      <c r="PKG46" s="1"/>
      <c r="PKH46" s="1"/>
      <c r="PKI46" s="1"/>
      <c r="PKJ46" s="1"/>
      <c r="PKK46" s="1"/>
      <c r="PKL46" s="1"/>
      <c r="PKM46" s="1"/>
      <c r="PKN46" s="1"/>
      <c r="PKO46" s="1"/>
      <c r="PKP46" s="1"/>
      <c r="PKQ46" s="1"/>
      <c r="PKR46" s="1"/>
      <c r="PKS46" s="1"/>
      <c r="PKT46" s="1"/>
      <c r="PKU46" s="1"/>
      <c r="PKV46" s="1"/>
      <c r="PKW46" s="1"/>
      <c r="PKX46" s="1"/>
      <c r="PKY46" s="1"/>
      <c r="PKZ46" s="1"/>
      <c r="PLA46" s="1"/>
      <c r="PLB46" s="1"/>
      <c r="PLC46" s="1"/>
      <c r="PLD46" s="1"/>
      <c r="PLE46" s="1"/>
      <c r="PLF46" s="1"/>
      <c r="PLG46" s="1"/>
      <c r="PLH46" s="1"/>
      <c r="PLI46" s="1"/>
      <c r="PLJ46" s="1"/>
      <c r="PLK46" s="1"/>
      <c r="PLL46" s="1"/>
      <c r="PLM46" s="1"/>
      <c r="PLN46" s="1"/>
      <c r="PLO46" s="1"/>
      <c r="PLP46" s="1"/>
      <c r="PLQ46" s="1"/>
      <c r="PLR46" s="1"/>
      <c r="PLS46" s="1"/>
      <c r="PLT46" s="1"/>
      <c r="PLU46" s="1"/>
      <c r="PLV46" s="1"/>
      <c r="PLW46" s="1"/>
      <c r="PLX46" s="1"/>
      <c r="PLY46" s="1"/>
      <c r="PLZ46" s="1"/>
      <c r="PMA46" s="1"/>
      <c r="PMB46" s="1"/>
      <c r="PMC46" s="1"/>
      <c r="PMD46" s="1"/>
      <c r="PME46" s="1"/>
      <c r="PMF46" s="1"/>
      <c r="PMG46" s="1"/>
      <c r="PMH46" s="1"/>
      <c r="PMI46" s="1"/>
      <c r="PMJ46" s="1"/>
      <c r="PMK46" s="1"/>
      <c r="PML46" s="1"/>
      <c r="PMM46" s="1"/>
      <c r="PMN46" s="1"/>
      <c r="PMO46" s="1"/>
      <c r="PMP46" s="1"/>
      <c r="PMQ46" s="1"/>
      <c r="PMR46" s="1"/>
      <c r="PMS46" s="1"/>
      <c r="PMT46" s="1"/>
      <c r="PMU46" s="1"/>
      <c r="PMV46" s="1"/>
      <c r="PMW46" s="1"/>
      <c r="PMX46" s="1"/>
      <c r="PMY46" s="1"/>
      <c r="PMZ46" s="1"/>
      <c r="PNA46" s="1"/>
      <c r="PNB46" s="1"/>
      <c r="PNC46" s="1"/>
      <c r="PND46" s="1"/>
      <c r="PNE46" s="1"/>
      <c r="PNF46" s="1"/>
      <c r="PNG46" s="1"/>
      <c r="PNH46" s="1"/>
      <c r="PNI46" s="1"/>
      <c r="PNJ46" s="1"/>
      <c r="PNK46" s="1"/>
      <c r="PNL46" s="1"/>
      <c r="PNM46" s="1"/>
      <c r="PNN46" s="1"/>
      <c r="PNO46" s="1"/>
      <c r="PNP46" s="1"/>
      <c r="PNQ46" s="1"/>
      <c r="PNR46" s="1"/>
      <c r="PNS46" s="1"/>
      <c r="PNT46" s="1"/>
      <c r="PNU46" s="1"/>
      <c r="PNV46" s="1"/>
      <c r="PNW46" s="1"/>
      <c r="PNX46" s="1"/>
      <c r="PNY46" s="1"/>
      <c r="PNZ46" s="1"/>
      <c r="POA46" s="1"/>
      <c r="POB46" s="1"/>
      <c r="POC46" s="1"/>
      <c r="POD46" s="1"/>
      <c r="POE46" s="1"/>
      <c r="POF46" s="1"/>
      <c r="POG46" s="1"/>
      <c r="POH46" s="1"/>
      <c r="POI46" s="1"/>
      <c r="POJ46" s="1"/>
      <c r="POK46" s="1"/>
      <c r="POL46" s="1"/>
      <c r="POM46" s="1"/>
      <c r="PON46" s="1"/>
      <c r="POO46" s="1"/>
      <c r="POP46" s="1"/>
      <c r="POQ46" s="1"/>
      <c r="POR46" s="1"/>
      <c r="POS46" s="1"/>
      <c r="POT46" s="1"/>
      <c r="POU46" s="1"/>
      <c r="POV46" s="1"/>
      <c r="POW46" s="1"/>
      <c r="POX46" s="1"/>
      <c r="POY46" s="1"/>
      <c r="POZ46" s="1"/>
      <c r="PPA46" s="1"/>
      <c r="PPB46" s="1"/>
      <c r="PPC46" s="1"/>
      <c r="PPD46" s="1"/>
      <c r="PPE46" s="1"/>
      <c r="PPF46" s="1"/>
      <c r="PPG46" s="1"/>
      <c r="PPH46" s="1"/>
      <c r="PPI46" s="1"/>
      <c r="PPJ46" s="1"/>
      <c r="PPK46" s="1"/>
      <c r="PPL46" s="1"/>
      <c r="PPM46" s="1"/>
      <c r="PPN46" s="1"/>
      <c r="PPO46" s="1"/>
      <c r="PPP46" s="1"/>
      <c r="PPQ46" s="1"/>
      <c r="PPR46" s="1"/>
      <c r="PPS46" s="1"/>
      <c r="PPT46" s="1"/>
      <c r="PPU46" s="1"/>
      <c r="PPV46" s="1"/>
      <c r="PPW46" s="1"/>
      <c r="PPX46" s="1"/>
      <c r="PPY46" s="1"/>
      <c r="PPZ46" s="1"/>
      <c r="PQA46" s="1"/>
      <c r="PQB46" s="1"/>
      <c r="PQC46" s="1"/>
      <c r="PQD46" s="1"/>
      <c r="PQE46" s="1"/>
      <c r="PQF46" s="1"/>
      <c r="PQG46" s="1"/>
      <c r="PQH46" s="1"/>
      <c r="PQI46" s="1"/>
      <c r="PQJ46" s="1"/>
      <c r="PQK46" s="1"/>
      <c r="PQL46" s="1"/>
      <c r="PQM46" s="1"/>
      <c r="PQN46" s="1"/>
      <c r="PQO46" s="1"/>
      <c r="PQP46" s="1"/>
      <c r="PQQ46" s="1"/>
      <c r="PQR46" s="1"/>
      <c r="PQS46" s="1"/>
      <c r="PQT46" s="1"/>
      <c r="PQU46" s="1"/>
      <c r="PQV46" s="1"/>
      <c r="PQW46" s="1"/>
      <c r="PQX46" s="1"/>
      <c r="PQY46" s="1"/>
      <c r="PQZ46" s="1"/>
      <c r="PRA46" s="1"/>
      <c r="PRB46" s="1"/>
      <c r="PRC46" s="1"/>
      <c r="PRD46" s="1"/>
      <c r="PRE46" s="1"/>
      <c r="PRF46" s="1"/>
      <c r="PRG46" s="1"/>
      <c r="PRH46" s="1"/>
      <c r="PRI46" s="1"/>
      <c r="PRJ46" s="1"/>
      <c r="PRK46" s="1"/>
      <c r="PRL46" s="1"/>
      <c r="PRM46" s="1"/>
      <c r="PRN46" s="1"/>
      <c r="PRO46" s="1"/>
      <c r="PRP46" s="1"/>
      <c r="PRQ46" s="1"/>
      <c r="PRR46" s="1"/>
      <c r="PRS46" s="1"/>
      <c r="PRT46" s="1"/>
      <c r="PRU46" s="1"/>
      <c r="PRV46" s="1"/>
      <c r="PRW46" s="1"/>
      <c r="PRX46" s="1"/>
      <c r="PRY46" s="1"/>
      <c r="PRZ46" s="1"/>
      <c r="PSA46" s="1"/>
      <c r="PSB46" s="1"/>
      <c r="PSC46" s="1"/>
      <c r="PSD46" s="1"/>
      <c r="PSE46" s="1"/>
      <c r="PSF46" s="1"/>
      <c r="PSG46" s="1"/>
      <c r="PSH46" s="1"/>
      <c r="PSI46" s="1"/>
      <c r="PSJ46" s="1"/>
      <c r="PSK46" s="1"/>
      <c r="PSL46" s="1"/>
      <c r="PSM46" s="1"/>
      <c r="PSN46" s="1"/>
      <c r="PSO46" s="1"/>
      <c r="PSP46" s="1"/>
      <c r="PSQ46" s="1"/>
      <c r="PSR46" s="1"/>
      <c r="PSS46" s="1"/>
      <c r="PST46" s="1"/>
      <c r="PSU46" s="1"/>
      <c r="PSV46" s="1"/>
      <c r="PSW46" s="1"/>
      <c r="PSX46" s="1"/>
      <c r="PSY46" s="1"/>
      <c r="PSZ46" s="1"/>
      <c r="PTA46" s="1"/>
      <c r="PTB46" s="1"/>
      <c r="PTC46" s="1"/>
      <c r="PTD46" s="1"/>
      <c r="PTE46" s="1"/>
      <c r="PTF46" s="1"/>
      <c r="PTG46" s="1"/>
      <c r="PTH46" s="1"/>
      <c r="PTI46" s="1"/>
      <c r="PTJ46" s="1"/>
      <c r="PTK46" s="1"/>
      <c r="PTL46" s="1"/>
      <c r="PTM46" s="1"/>
      <c r="PTN46" s="1"/>
      <c r="PTO46" s="1"/>
      <c r="PTP46" s="1"/>
      <c r="PTQ46" s="1"/>
      <c r="PTR46" s="1"/>
      <c r="PTS46" s="1"/>
      <c r="PTT46" s="1"/>
      <c r="PTU46" s="1"/>
      <c r="PTV46" s="1"/>
      <c r="PTW46" s="1"/>
      <c r="PTX46" s="1"/>
      <c r="PTY46" s="1"/>
      <c r="PTZ46" s="1"/>
      <c r="PUA46" s="1"/>
      <c r="PUB46" s="1"/>
      <c r="PUC46" s="1"/>
      <c r="PUD46" s="1"/>
      <c r="PUE46" s="1"/>
      <c r="PUF46" s="1"/>
      <c r="PUG46" s="1"/>
      <c r="PUH46" s="1"/>
      <c r="PUI46" s="1"/>
      <c r="PUJ46" s="1"/>
      <c r="PUK46" s="1"/>
      <c r="PUL46" s="1"/>
      <c r="PUM46" s="1"/>
      <c r="PUN46" s="1"/>
      <c r="PUO46" s="1"/>
      <c r="PUP46" s="1"/>
      <c r="PUQ46" s="1"/>
      <c r="PUR46" s="1"/>
      <c r="PUS46" s="1"/>
      <c r="PUT46" s="1"/>
      <c r="PUU46" s="1"/>
      <c r="PUV46" s="1"/>
      <c r="PUW46" s="1"/>
      <c r="PUX46" s="1"/>
      <c r="PUY46" s="1"/>
      <c r="PUZ46" s="1"/>
      <c r="PVA46" s="1"/>
      <c r="PVB46" s="1"/>
      <c r="PVC46" s="1"/>
      <c r="PVD46" s="1"/>
      <c r="PVE46" s="1"/>
      <c r="PVF46" s="1"/>
      <c r="PVG46" s="1"/>
      <c r="PVH46" s="1"/>
      <c r="PVI46" s="1"/>
      <c r="PVJ46" s="1"/>
      <c r="PVK46" s="1"/>
      <c r="PVL46" s="1"/>
      <c r="PVM46" s="1"/>
      <c r="PVN46" s="1"/>
      <c r="PVO46" s="1"/>
      <c r="PVP46" s="1"/>
      <c r="PVQ46" s="1"/>
      <c r="PVR46" s="1"/>
      <c r="PVS46" s="1"/>
      <c r="PVT46" s="1"/>
      <c r="PVU46" s="1"/>
      <c r="PVV46" s="1"/>
      <c r="PVW46" s="1"/>
      <c r="PVX46" s="1"/>
      <c r="PVY46" s="1"/>
      <c r="PVZ46" s="1"/>
      <c r="PWA46" s="1"/>
      <c r="PWB46" s="1"/>
      <c r="PWC46" s="1"/>
      <c r="PWD46" s="1"/>
      <c r="PWE46" s="1"/>
      <c r="PWF46" s="1"/>
      <c r="PWG46" s="1"/>
      <c r="PWH46" s="1"/>
      <c r="PWI46" s="1"/>
      <c r="PWJ46" s="1"/>
      <c r="PWK46" s="1"/>
      <c r="PWL46" s="1"/>
      <c r="PWM46" s="1"/>
      <c r="PWN46" s="1"/>
      <c r="PWO46" s="1"/>
      <c r="PWP46" s="1"/>
      <c r="PWQ46" s="1"/>
      <c r="PWR46" s="1"/>
      <c r="PWS46" s="1"/>
      <c r="PWT46" s="1"/>
      <c r="PWU46" s="1"/>
      <c r="PWV46" s="1"/>
      <c r="PWW46" s="1"/>
      <c r="PWX46" s="1"/>
      <c r="PWY46" s="1"/>
      <c r="PWZ46" s="1"/>
      <c r="PXA46" s="1"/>
      <c r="PXB46" s="1"/>
      <c r="PXC46" s="1"/>
      <c r="PXD46" s="1"/>
      <c r="PXE46" s="1"/>
      <c r="PXF46" s="1"/>
      <c r="PXG46" s="1"/>
      <c r="PXH46" s="1"/>
      <c r="PXI46" s="1"/>
      <c r="PXJ46" s="1"/>
      <c r="PXK46" s="1"/>
      <c r="PXL46" s="1"/>
      <c r="PXM46" s="1"/>
      <c r="PXN46" s="1"/>
      <c r="PXO46" s="1"/>
      <c r="PXP46" s="1"/>
      <c r="PXQ46" s="1"/>
      <c r="PXR46" s="1"/>
      <c r="PXS46" s="1"/>
      <c r="PXT46" s="1"/>
      <c r="PXU46" s="1"/>
      <c r="PXV46" s="1"/>
      <c r="PXW46" s="1"/>
      <c r="PXX46" s="1"/>
      <c r="PXY46" s="1"/>
      <c r="PXZ46" s="1"/>
      <c r="PYA46" s="1"/>
      <c r="PYB46" s="1"/>
      <c r="PYC46" s="1"/>
      <c r="PYD46" s="1"/>
      <c r="PYE46" s="1"/>
      <c r="PYF46" s="1"/>
      <c r="PYG46" s="1"/>
      <c r="PYH46" s="1"/>
      <c r="PYI46" s="1"/>
      <c r="PYJ46" s="1"/>
      <c r="PYK46" s="1"/>
      <c r="PYL46" s="1"/>
      <c r="PYM46" s="1"/>
      <c r="PYN46" s="1"/>
      <c r="PYO46" s="1"/>
      <c r="PYP46" s="1"/>
      <c r="PYQ46" s="1"/>
      <c r="PYR46" s="1"/>
      <c r="PYS46" s="1"/>
      <c r="PYT46" s="1"/>
      <c r="PYU46" s="1"/>
      <c r="PYV46" s="1"/>
      <c r="PYW46" s="1"/>
      <c r="PYX46" s="1"/>
      <c r="PYY46" s="1"/>
      <c r="PYZ46" s="1"/>
      <c r="PZA46" s="1"/>
      <c r="PZB46" s="1"/>
      <c r="PZC46" s="1"/>
      <c r="PZD46" s="1"/>
      <c r="PZE46" s="1"/>
      <c r="PZF46" s="1"/>
      <c r="PZG46" s="1"/>
      <c r="PZH46" s="1"/>
      <c r="PZI46" s="1"/>
      <c r="PZJ46" s="1"/>
      <c r="PZK46" s="1"/>
      <c r="PZL46" s="1"/>
      <c r="PZM46" s="1"/>
      <c r="PZN46" s="1"/>
      <c r="PZO46" s="1"/>
      <c r="PZP46" s="1"/>
      <c r="PZQ46" s="1"/>
      <c r="PZR46" s="1"/>
      <c r="PZS46" s="1"/>
      <c r="PZT46" s="1"/>
      <c r="PZU46" s="1"/>
      <c r="PZV46" s="1"/>
      <c r="PZW46" s="1"/>
      <c r="PZX46" s="1"/>
      <c r="PZY46" s="1"/>
      <c r="PZZ46" s="1"/>
      <c r="QAA46" s="1"/>
      <c r="QAB46" s="1"/>
      <c r="QAC46" s="1"/>
      <c r="QAD46" s="1"/>
      <c r="QAE46" s="1"/>
      <c r="QAF46" s="1"/>
      <c r="QAG46" s="1"/>
      <c r="QAH46" s="1"/>
      <c r="QAI46" s="1"/>
      <c r="QAJ46" s="1"/>
      <c r="QAK46" s="1"/>
      <c r="QAL46" s="1"/>
      <c r="QAM46" s="1"/>
      <c r="QAN46" s="1"/>
      <c r="QAO46" s="1"/>
      <c r="QAP46" s="1"/>
      <c r="QAQ46" s="1"/>
      <c r="QAR46" s="1"/>
      <c r="QAS46" s="1"/>
      <c r="QAT46" s="1"/>
      <c r="QAU46" s="1"/>
      <c r="QAV46" s="1"/>
      <c r="QAW46" s="1"/>
      <c r="QAX46" s="1"/>
      <c r="QAY46" s="1"/>
      <c r="QAZ46" s="1"/>
      <c r="QBA46" s="1"/>
      <c r="QBB46" s="1"/>
      <c r="QBC46" s="1"/>
      <c r="QBD46" s="1"/>
      <c r="QBE46" s="1"/>
      <c r="QBF46" s="1"/>
      <c r="QBG46" s="1"/>
      <c r="QBH46" s="1"/>
      <c r="QBI46" s="1"/>
      <c r="QBJ46" s="1"/>
      <c r="QBK46" s="1"/>
      <c r="QBL46" s="1"/>
      <c r="QBM46" s="1"/>
      <c r="QBN46" s="1"/>
      <c r="QBO46" s="1"/>
      <c r="QBP46" s="1"/>
      <c r="QBQ46" s="1"/>
      <c r="QBR46" s="1"/>
      <c r="QBS46" s="1"/>
      <c r="QBT46" s="1"/>
      <c r="QBU46" s="1"/>
      <c r="QBV46" s="1"/>
      <c r="QBW46" s="1"/>
      <c r="QBX46" s="1"/>
      <c r="QBY46" s="1"/>
      <c r="QBZ46" s="1"/>
      <c r="QCA46" s="1"/>
      <c r="QCB46" s="1"/>
      <c r="QCC46" s="1"/>
      <c r="QCD46" s="1"/>
      <c r="QCE46" s="1"/>
      <c r="QCF46" s="1"/>
      <c r="QCG46" s="1"/>
      <c r="QCH46" s="1"/>
      <c r="QCI46" s="1"/>
      <c r="QCJ46" s="1"/>
      <c r="QCK46" s="1"/>
      <c r="QCL46" s="1"/>
      <c r="QCM46" s="1"/>
      <c r="QCN46" s="1"/>
      <c r="QCO46" s="1"/>
      <c r="QCP46" s="1"/>
      <c r="QCQ46" s="1"/>
      <c r="QCR46" s="1"/>
      <c r="QCS46" s="1"/>
      <c r="QCT46" s="1"/>
      <c r="QCU46" s="1"/>
      <c r="QCV46" s="1"/>
      <c r="QCW46" s="1"/>
      <c r="QCX46" s="1"/>
      <c r="QCY46" s="1"/>
      <c r="QCZ46" s="1"/>
      <c r="QDA46" s="1"/>
      <c r="QDB46" s="1"/>
      <c r="QDC46" s="1"/>
      <c r="QDD46" s="1"/>
      <c r="QDE46" s="1"/>
      <c r="QDF46" s="1"/>
      <c r="QDG46" s="1"/>
      <c r="QDH46" s="1"/>
      <c r="QDI46" s="1"/>
      <c r="QDJ46" s="1"/>
      <c r="QDK46" s="1"/>
      <c r="QDL46" s="1"/>
      <c r="QDM46" s="1"/>
      <c r="QDN46" s="1"/>
      <c r="QDO46" s="1"/>
      <c r="QDP46" s="1"/>
      <c r="QDQ46" s="1"/>
      <c r="QDR46" s="1"/>
      <c r="QDS46" s="1"/>
      <c r="QDT46" s="1"/>
      <c r="QDU46" s="1"/>
      <c r="QDV46" s="1"/>
      <c r="QDW46" s="1"/>
      <c r="QDX46" s="1"/>
      <c r="QDY46" s="1"/>
      <c r="QDZ46" s="1"/>
      <c r="QEA46" s="1"/>
      <c r="QEB46" s="1"/>
      <c r="QEC46" s="1"/>
      <c r="QED46" s="1"/>
      <c r="QEE46" s="1"/>
      <c r="QEF46" s="1"/>
      <c r="QEG46" s="1"/>
      <c r="QEH46" s="1"/>
      <c r="QEI46" s="1"/>
      <c r="QEJ46" s="1"/>
      <c r="QEK46" s="1"/>
      <c r="QEL46" s="1"/>
      <c r="QEM46" s="1"/>
      <c r="QEN46" s="1"/>
      <c r="QEO46" s="1"/>
      <c r="QEP46" s="1"/>
      <c r="QEQ46" s="1"/>
      <c r="QER46" s="1"/>
      <c r="QES46" s="1"/>
      <c r="QET46" s="1"/>
      <c r="QEU46" s="1"/>
      <c r="QEV46" s="1"/>
      <c r="QEW46" s="1"/>
      <c r="QEX46" s="1"/>
      <c r="QEY46" s="1"/>
      <c r="QEZ46" s="1"/>
      <c r="QFA46" s="1"/>
      <c r="QFB46" s="1"/>
      <c r="QFC46" s="1"/>
      <c r="QFD46" s="1"/>
      <c r="QFE46" s="1"/>
      <c r="QFF46" s="1"/>
      <c r="QFG46" s="1"/>
      <c r="QFH46" s="1"/>
      <c r="QFI46" s="1"/>
      <c r="QFJ46" s="1"/>
      <c r="QFK46" s="1"/>
      <c r="QFL46" s="1"/>
      <c r="QFM46" s="1"/>
      <c r="QFN46" s="1"/>
      <c r="QFO46" s="1"/>
      <c r="QFP46" s="1"/>
      <c r="QFQ46" s="1"/>
      <c r="QFR46" s="1"/>
      <c r="QFS46" s="1"/>
      <c r="QFT46" s="1"/>
      <c r="QFU46" s="1"/>
      <c r="QFV46" s="1"/>
      <c r="QFW46" s="1"/>
      <c r="QFX46" s="1"/>
      <c r="QFY46" s="1"/>
      <c r="QFZ46" s="1"/>
      <c r="QGA46" s="1"/>
      <c r="QGB46" s="1"/>
      <c r="QGC46" s="1"/>
      <c r="QGD46" s="1"/>
      <c r="QGE46" s="1"/>
      <c r="QGF46" s="1"/>
      <c r="QGG46" s="1"/>
      <c r="QGH46" s="1"/>
      <c r="QGI46" s="1"/>
      <c r="QGJ46" s="1"/>
      <c r="QGK46" s="1"/>
      <c r="QGL46" s="1"/>
      <c r="QGM46" s="1"/>
      <c r="QGN46" s="1"/>
      <c r="QGO46" s="1"/>
      <c r="QGP46" s="1"/>
      <c r="QGQ46" s="1"/>
      <c r="QGR46" s="1"/>
      <c r="QGS46" s="1"/>
      <c r="QGT46" s="1"/>
      <c r="QGU46" s="1"/>
      <c r="QGV46" s="1"/>
      <c r="QGW46" s="1"/>
      <c r="QGX46" s="1"/>
      <c r="QGY46" s="1"/>
      <c r="QGZ46" s="1"/>
      <c r="QHA46" s="1"/>
      <c r="QHB46" s="1"/>
      <c r="QHC46" s="1"/>
      <c r="QHD46" s="1"/>
      <c r="QHE46" s="1"/>
      <c r="QHF46" s="1"/>
      <c r="QHG46" s="1"/>
      <c r="QHH46" s="1"/>
      <c r="QHI46" s="1"/>
      <c r="QHJ46" s="1"/>
      <c r="QHK46" s="1"/>
      <c r="QHL46" s="1"/>
      <c r="QHM46" s="1"/>
      <c r="QHN46" s="1"/>
      <c r="QHO46" s="1"/>
      <c r="QHP46" s="1"/>
      <c r="QHQ46" s="1"/>
      <c r="QHR46" s="1"/>
      <c r="QHS46" s="1"/>
      <c r="QHT46" s="1"/>
      <c r="QHU46" s="1"/>
      <c r="QHV46" s="1"/>
      <c r="QHW46" s="1"/>
      <c r="QHX46" s="1"/>
      <c r="QHY46" s="1"/>
      <c r="QHZ46" s="1"/>
      <c r="QIA46" s="1"/>
      <c r="QIB46" s="1"/>
      <c r="QIC46" s="1"/>
      <c r="QID46" s="1"/>
      <c r="QIE46" s="1"/>
      <c r="QIF46" s="1"/>
      <c r="QIG46" s="1"/>
      <c r="QIH46" s="1"/>
      <c r="QII46" s="1"/>
      <c r="QIJ46" s="1"/>
      <c r="QIK46" s="1"/>
      <c r="QIL46" s="1"/>
      <c r="QIM46" s="1"/>
      <c r="QIN46" s="1"/>
      <c r="QIO46" s="1"/>
      <c r="QIP46" s="1"/>
      <c r="QIQ46" s="1"/>
      <c r="QIR46" s="1"/>
      <c r="QIS46" s="1"/>
      <c r="QIT46" s="1"/>
      <c r="QIU46" s="1"/>
      <c r="QIV46" s="1"/>
      <c r="QIW46" s="1"/>
      <c r="QIX46" s="1"/>
      <c r="QIY46" s="1"/>
      <c r="QIZ46" s="1"/>
      <c r="QJA46" s="1"/>
      <c r="QJB46" s="1"/>
      <c r="QJC46" s="1"/>
      <c r="QJD46" s="1"/>
      <c r="QJE46" s="1"/>
      <c r="QJF46" s="1"/>
      <c r="QJG46" s="1"/>
      <c r="QJH46" s="1"/>
      <c r="QJI46" s="1"/>
      <c r="QJJ46" s="1"/>
      <c r="QJK46" s="1"/>
      <c r="QJL46" s="1"/>
      <c r="QJM46" s="1"/>
      <c r="QJN46" s="1"/>
      <c r="QJO46" s="1"/>
      <c r="QJP46" s="1"/>
      <c r="QJQ46" s="1"/>
      <c r="QJR46" s="1"/>
      <c r="QJS46" s="1"/>
      <c r="QJT46" s="1"/>
      <c r="QJU46" s="1"/>
      <c r="QJV46" s="1"/>
      <c r="QJW46" s="1"/>
      <c r="QJX46" s="1"/>
      <c r="QJY46" s="1"/>
      <c r="QJZ46" s="1"/>
      <c r="QKA46" s="1"/>
      <c r="QKB46" s="1"/>
      <c r="QKC46" s="1"/>
      <c r="QKD46" s="1"/>
      <c r="QKE46" s="1"/>
      <c r="QKF46" s="1"/>
      <c r="QKG46" s="1"/>
      <c r="QKH46" s="1"/>
      <c r="QKI46" s="1"/>
      <c r="QKJ46" s="1"/>
      <c r="QKK46" s="1"/>
      <c r="QKL46" s="1"/>
      <c r="QKM46" s="1"/>
      <c r="QKN46" s="1"/>
      <c r="QKO46" s="1"/>
      <c r="QKP46" s="1"/>
      <c r="QKQ46" s="1"/>
      <c r="QKR46" s="1"/>
      <c r="QKS46" s="1"/>
      <c r="QKT46" s="1"/>
      <c r="QKU46" s="1"/>
      <c r="QKV46" s="1"/>
      <c r="QKW46" s="1"/>
      <c r="QKX46" s="1"/>
      <c r="QKY46" s="1"/>
      <c r="QKZ46" s="1"/>
      <c r="QLA46" s="1"/>
      <c r="QLB46" s="1"/>
      <c r="QLC46" s="1"/>
      <c r="QLD46" s="1"/>
      <c r="QLE46" s="1"/>
      <c r="QLF46" s="1"/>
      <c r="QLG46" s="1"/>
      <c r="QLH46" s="1"/>
      <c r="QLI46" s="1"/>
      <c r="QLJ46" s="1"/>
      <c r="QLK46" s="1"/>
      <c r="QLL46" s="1"/>
      <c r="QLM46" s="1"/>
      <c r="QLN46" s="1"/>
      <c r="QLO46" s="1"/>
      <c r="QLP46" s="1"/>
      <c r="QLQ46" s="1"/>
      <c r="QLR46" s="1"/>
      <c r="QLS46" s="1"/>
      <c r="QLT46" s="1"/>
      <c r="QLU46" s="1"/>
      <c r="QLV46" s="1"/>
      <c r="QLW46" s="1"/>
      <c r="QLX46" s="1"/>
      <c r="QLY46" s="1"/>
      <c r="QLZ46" s="1"/>
      <c r="QMA46" s="1"/>
      <c r="QMB46" s="1"/>
      <c r="QMC46" s="1"/>
      <c r="QMD46" s="1"/>
      <c r="QME46" s="1"/>
      <c r="QMF46" s="1"/>
      <c r="QMG46" s="1"/>
      <c r="QMH46" s="1"/>
      <c r="QMI46" s="1"/>
      <c r="QMJ46" s="1"/>
      <c r="QMK46" s="1"/>
      <c r="QML46" s="1"/>
      <c r="QMM46" s="1"/>
      <c r="QMN46" s="1"/>
      <c r="QMO46" s="1"/>
      <c r="QMP46" s="1"/>
      <c r="QMQ46" s="1"/>
      <c r="QMR46" s="1"/>
      <c r="QMS46" s="1"/>
      <c r="QMT46" s="1"/>
      <c r="QMU46" s="1"/>
      <c r="QMV46" s="1"/>
      <c r="QMW46" s="1"/>
      <c r="QMX46" s="1"/>
      <c r="QMY46" s="1"/>
      <c r="QMZ46" s="1"/>
      <c r="QNA46" s="1"/>
      <c r="QNB46" s="1"/>
      <c r="QNC46" s="1"/>
      <c r="QND46" s="1"/>
      <c r="QNE46" s="1"/>
      <c r="QNF46" s="1"/>
      <c r="QNG46" s="1"/>
      <c r="QNH46" s="1"/>
      <c r="QNI46" s="1"/>
      <c r="QNJ46" s="1"/>
      <c r="QNK46" s="1"/>
      <c r="QNL46" s="1"/>
      <c r="QNM46" s="1"/>
      <c r="QNN46" s="1"/>
      <c r="QNO46" s="1"/>
      <c r="QNP46" s="1"/>
      <c r="QNQ46" s="1"/>
      <c r="QNR46" s="1"/>
      <c r="QNS46" s="1"/>
      <c r="QNT46" s="1"/>
      <c r="QNU46" s="1"/>
      <c r="QNV46" s="1"/>
      <c r="QNW46" s="1"/>
      <c r="QNX46" s="1"/>
      <c r="QNY46" s="1"/>
      <c r="QNZ46" s="1"/>
      <c r="QOA46" s="1"/>
      <c r="QOB46" s="1"/>
      <c r="QOC46" s="1"/>
      <c r="QOD46" s="1"/>
      <c r="QOE46" s="1"/>
      <c r="QOF46" s="1"/>
      <c r="QOG46" s="1"/>
      <c r="QOH46" s="1"/>
      <c r="QOI46" s="1"/>
      <c r="QOJ46" s="1"/>
      <c r="QOK46" s="1"/>
      <c r="QOL46" s="1"/>
      <c r="QOM46" s="1"/>
      <c r="QON46" s="1"/>
      <c r="QOO46" s="1"/>
      <c r="QOP46" s="1"/>
      <c r="QOQ46" s="1"/>
      <c r="QOR46" s="1"/>
      <c r="QOS46" s="1"/>
      <c r="QOT46" s="1"/>
      <c r="QOU46" s="1"/>
      <c r="QOV46" s="1"/>
      <c r="QOW46" s="1"/>
      <c r="QOX46" s="1"/>
      <c r="QOY46" s="1"/>
      <c r="QOZ46" s="1"/>
      <c r="QPA46" s="1"/>
      <c r="QPB46" s="1"/>
      <c r="QPC46" s="1"/>
      <c r="QPD46" s="1"/>
      <c r="QPE46" s="1"/>
      <c r="QPF46" s="1"/>
      <c r="QPG46" s="1"/>
      <c r="QPH46" s="1"/>
      <c r="QPI46" s="1"/>
      <c r="QPJ46" s="1"/>
      <c r="QPK46" s="1"/>
      <c r="QPL46" s="1"/>
      <c r="QPM46" s="1"/>
      <c r="QPN46" s="1"/>
      <c r="QPO46" s="1"/>
      <c r="QPP46" s="1"/>
      <c r="QPQ46" s="1"/>
      <c r="QPR46" s="1"/>
      <c r="QPS46" s="1"/>
      <c r="QPT46" s="1"/>
      <c r="QPU46" s="1"/>
      <c r="QPV46" s="1"/>
      <c r="QPW46" s="1"/>
      <c r="QPX46" s="1"/>
      <c r="QPY46" s="1"/>
      <c r="QPZ46" s="1"/>
      <c r="QQA46" s="1"/>
      <c r="QQB46" s="1"/>
      <c r="QQC46" s="1"/>
      <c r="QQD46" s="1"/>
      <c r="QQE46" s="1"/>
      <c r="QQF46" s="1"/>
      <c r="QQG46" s="1"/>
      <c r="QQH46" s="1"/>
      <c r="QQI46" s="1"/>
      <c r="QQJ46" s="1"/>
      <c r="QQK46" s="1"/>
      <c r="QQL46" s="1"/>
      <c r="QQM46" s="1"/>
      <c r="QQN46" s="1"/>
      <c r="QQO46" s="1"/>
      <c r="QQP46" s="1"/>
      <c r="QQQ46" s="1"/>
      <c r="QQR46" s="1"/>
      <c r="QQS46" s="1"/>
      <c r="QQT46" s="1"/>
      <c r="QQU46" s="1"/>
      <c r="QQV46" s="1"/>
      <c r="QQW46" s="1"/>
      <c r="QQX46" s="1"/>
      <c r="QQY46" s="1"/>
      <c r="QQZ46" s="1"/>
      <c r="QRA46" s="1"/>
      <c r="QRB46" s="1"/>
      <c r="QRC46" s="1"/>
      <c r="QRD46" s="1"/>
      <c r="QRE46" s="1"/>
      <c r="QRF46" s="1"/>
      <c r="QRG46" s="1"/>
      <c r="QRH46" s="1"/>
      <c r="QRI46" s="1"/>
      <c r="QRJ46" s="1"/>
      <c r="QRK46" s="1"/>
      <c r="QRL46" s="1"/>
      <c r="QRM46" s="1"/>
      <c r="QRN46" s="1"/>
      <c r="QRO46" s="1"/>
      <c r="QRP46" s="1"/>
      <c r="QRQ46" s="1"/>
      <c r="QRR46" s="1"/>
      <c r="QRS46" s="1"/>
      <c r="QRT46" s="1"/>
      <c r="QRU46" s="1"/>
      <c r="QRV46" s="1"/>
      <c r="QRW46" s="1"/>
      <c r="QRX46" s="1"/>
      <c r="QRY46" s="1"/>
      <c r="QRZ46" s="1"/>
      <c r="QSA46" s="1"/>
      <c r="QSB46" s="1"/>
      <c r="QSC46" s="1"/>
      <c r="QSD46" s="1"/>
      <c r="QSE46" s="1"/>
      <c r="QSF46" s="1"/>
      <c r="QSG46" s="1"/>
      <c r="QSH46" s="1"/>
      <c r="QSI46" s="1"/>
      <c r="QSJ46" s="1"/>
      <c r="QSK46" s="1"/>
      <c r="QSL46" s="1"/>
      <c r="QSM46" s="1"/>
      <c r="QSN46" s="1"/>
      <c r="QSO46" s="1"/>
      <c r="QSP46" s="1"/>
      <c r="QSQ46" s="1"/>
      <c r="QSR46" s="1"/>
      <c r="QSS46" s="1"/>
      <c r="QST46" s="1"/>
      <c r="QSU46" s="1"/>
      <c r="QSV46" s="1"/>
      <c r="QSW46" s="1"/>
      <c r="QSX46" s="1"/>
      <c r="QSY46" s="1"/>
      <c r="QSZ46" s="1"/>
      <c r="QTA46" s="1"/>
      <c r="QTB46" s="1"/>
      <c r="QTC46" s="1"/>
      <c r="QTD46" s="1"/>
      <c r="QTE46" s="1"/>
      <c r="QTF46" s="1"/>
      <c r="QTG46" s="1"/>
      <c r="QTH46" s="1"/>
      <c r="QTI46" s="1"/>
      <c r="QTJ46" s="1"/>
      <c r="QTK46" s="1"/>
      <c r="QTL46" s="1"/>
      <c r="QTM46" s="1"/>
      <c r="QTN46" s="1"/>
      <c r="QTO46" s="1"/>
      <c r="QTP46" s="1"/>
      <c r="QTQ46" s="1"/>
      <c r="QTR46" s="1"/>
      <c r="QTS46" s="1"/>
      <c r="QTT46" s="1"/>
      <c r="QTU46" s="1"/>
      <c r="QTV46" s="1"/>
      <c r="QTW46" s="1"/>
      <c r="QTX46" s="1"/>
      <c r="QTY46" s="1"/>
      <c r="QTZ46" s="1"/>
      <c r="QUA46" s="1"/>
      <c r="QUB46" s="1"/>
      <c r="QUC46" s="1"/>
      <c r="QUD46" s="1"/>
      <c r="QUE46" s="1"/>
      <c r="QUF46" s="1"/>
      <c r="QUG46" s="1"/>
      <c r="QUH46" s="1"/>
      <c r="QUI46" s="1"/>
      <c r="QUJ46" s="1"/>
      <c r="QUK46" s="1"/>
      <c r="QUL46" s="1"/>
      <c r="QUM46" s="1"/>
      <c r="QUN46" s="1"/>
      <c r="QUO46" s="1"/>
      <c r="QUP46" s="1"/>
      <c r="QUQ46" s="1"/>
      <c r="QUR46" s="1"/>
      <c r="QUS46" s="1"/>
      <c r="QUT46" s="1"/>
      <c r="QUU46" s="1"/>
      <c r="QUV46" s="1"/>
      <c r="QUW46" s="1"/>
      <c r="QUX46" s="1"/>
      <c r="QUY46" s="1"/>
      <c r="QUZ46" s="1"/>
      <c r="QVA46" s="1"/>
      <c r="QVB46" s="1"/>
      <c r="QVC46" s="1"/>
      <c r="QVD46" s="1"/>
      <c r="QVE46" s="1"/>
      <c r="QVF46" s="1"/>
      <c r="QVG46" s="1"/>
      <c r="QVH46" s="1"/>
      <c r="QVI46" s="1"/>
      <c r="QVJ46" s="1"/>
      <c r="QVK46" s="1"/>
      <c r="QVL46" s="1"/>
      <c r="QVM46" s="1"/>
      <c r="QVN46" s="1"/>
      <c r="QVO46" s="1"/>
      <c r="QVP46" s="1"/>
      <c r="QVQ46" s="1"/>
      <c r="QVR46" s="1"/>
      <c r="QVS46" s="1"/>
      <c r="QVT46" s="1"/>
      <c r="QVU46" s="1"/>
      <c r="QVV46" s="1"/>
      <c r="QVW46" s="1"/>
      <c r="QVX46" s="1"/>
      <c r="QVY46" s="1"/>
      <c r="QVZ46" s="1"/>
      <c r="QWA46" s="1"/>
      <c r="QWB46" s="1"/>
      <c r="QWC46" s="1"/>
      <c r="QWD46" s="1"/>
      <c r="QWE46" s="1"/>
      <c r="QWF46" s="1"/>
      <c r="QWG46" s="1"/>
      <c r="QWH46" s="1"/>
      <c r="QWI46" s="1"/>
      <c r="QWJ46" s="1"/>
      <c r="QWK46" s="1"/>
      <c r="QWL46" s="1"/>
      <c r="QWM46" s="1"/>
      <c r="QWN46" s="1"/>
      <c r="QWO46" s="1"/>
      <c r="QWP46" s="1"/>
      <c r="QWQ46" s="1"/>
      <c r="QWR46" s="1"/>
      <c r="QWS46" s="1"/>
      <c r="QWT46" s="1"/>
      <c r="QWU46" s="1"/>
      <c r="QWV46" s="1"/>
      <c r="QWW46" s="1"/>
      <c r="QWX46" s="1"/>
      <c r="QWY46" s="1"/>
      <c r="QWZ46" s="1"/>
      <c r="QXA46" s="1"/>
      <c r="QXB46" s="1"/>
      <c r="QXC46" s="1"/>
      <c r="QXD46" s="1"/>
      <c r="QXE46" s="1"/>
      <c r="QXF46" s="1"/>
      <c r="QXG46" s="1"/>
      <c r="QXH46" s="1"/>
      <c r="QXI46" s="1"/>
      <c r="QXJ46" s="1"/>
      <c r="QXK46" s="1"/>
      <c r="QXL46" s="1"/>
      <c r="QXM46" s="1"/>
      <c r="QXN46" s="1"/>
      <c r="QXO46" s="1"/>
      <c r="QXP46" s="1"/>
      <c r="QXQ46" s="1"/>
      <c r="QXR46" s="1"/>
      <c r="QXS46" s="1"/>
      <c r="QXT46" s="1"/>
      <c r="QXU46" s="1"/>
      <c r="QXV46" s="1"/>
      <c r="QXW46" s="1"/>
      <c r="QXX46" s="1"/>
      <c r="QXY46" s="1"/>
      <c r="QXZ46" s="1"/>
      <c r="QYA46" s="1"/>
      <c r="QYB46" s="1"/>
      <c r="QYC46" s="1"/>
      <c r="QYD46" s="1"/>
      <c r="QYE46" s="1"/>
      <c r="QYF46" s="1"/>
      <c r="QYG46" s="1"/>
      <c r="QYH46" s="1"/>
      <c r="QYI46" s="1"/>
      <c r="QYJ46" s="1"/>
      <c r="QYK46" s="1"/>
      <c r="QYL46" s="1"/>
      <c r="QYM46" s="1"/>
      <c r="QYN46" s="1"/>
      <c r="QYO46" s="1"/>
      <c r="QYP46" s="1"/>
      <c r="QYQ46" s="1"/>
      <c r="QYR46" s="1"/>
      <c r="QYS46" s="1"/>
      <c r="QYT46" s="1"/>
      <c r="QYU46" s="1"/>
      <c r="QYV46" s="1"/>
      <c r="QYW46" s="1"/>
      <c r="QYX46" s="1"/>
      <c r="QYY46" s="1"/>
      <c r="QYZ46" s="1"/>
      <c r="QZA46" s="1"/>
      <c r="QZB46" s="1"/>
      <c r="QZC46" s="1"/>
      <c r="QZD46" s="1"/>
      <c r="QZE46" s="1"/>
      <c r="QZF46" s="1"/>
      <c r="QZG46" s="1"/>
      <c r="QZH46" s="1"/>
      <c r="QZI46" s="1"/>
      <c r="QZJ46" s="1"/>
      <c r="QZK46" s="1"/>
      <c r="QZL46" s="1"/>
      <c r="QZM46" s="1"/>
      <c r="QZN46" s="1"/>
      <c r="QZO46" s="1"/>
      <c r="QZP46" s="1"/>
      <c r="QZQ46" s="1"/>
      <c r="QZR46" s="1"/>
      <c r="QZS46" s="1"/>
      <c r="QZT46" s="1"/>
      <c r="QZU46" s="1"/>
      <c r="QZV46" s="1"/>
      <c r="QZW46" s="1"/>
      <c r="QZX46" s="1"/>
      <c r="QZY46" s="1"/>
      <c r="QZZ46" s="1"/>
      <c r="RAA46" s="1"/>
      <c r="RAB46" s="1"/>
      <c r="RAC46" s="1"/>
      <c r="RAD46" s="1"/>
      <c r="RAE46" s="1"/>
      <c r="RAF46" s="1"/>
      <c r="RAG46" s="1"/>
      <c r="RAH46" s="1"/>
      <c r="RAI46" s="1"/>
      <c r="RAJ46" s="1"/>
      <c r="RAK46" s="1"/>
      <c r="RAL46" s="1"/>
      <c r="RAM46" s="1"/>
      <c r="RAN46" s="1"/>
      <c r="RAO46" s="1"/>
      <c r="RAP46" s="1"/>
      <c r="RAQ46" s="1"/>
      <c r="RAR46" s="1"/>
      <c r="RAS46" s="1"/>
      <c r="RAT46" s="1"/>
      <c r="RAU46" s="1"/>
      <c r="RAV46" s="1"/>
      <c r="RAW46" s="1"/>
      <c r="RAX46" s="1"/>
      <c r="RAY46" s="1"/>
      <c r="RAZ46" s="1"/>
      <c r="RBA46" s="1"/>
      <c r="RBB46" s="1"/>
      <c r="RBC46" s="1"/>
      <c r="RBD46" s="1"/>
      <c r="RBE46" s="1"/>
      <c r="RBF46" s="1"/>
      <c r="RBG46" s="1"/>
      <c r="RBH46" s="1"/>
      <c r="RBI46" s="1"/>
      <c r="RBJ46" s="1"/>
      <c r="RBK46" s="1"/>
      <c r="RBL46" s="1"/>
      <c r="RBM46" s="1"/>
      <c r="RBN46" s="1"/>
      <c r="RBO46" s="1"/>
      <c r="RBP46" s="1"/>
      <c r="RBQ46" s="1"/>
      <c r="RBR46" s="1"/>
      <c r="RBS46" s="1"/>
      <c r="RBT46" s="1"/>
      <c r="RBU46" s="1"/>
      <c r="RBV46" s="1"/>
      <c r="RBW46" s="1"/>
      <c r="RBX46" s="1"/>
      <c r="RBY46" s="1"/>
      <c r="RBZ46" s="1"/>
      <c r="RCA46" s="1"/>
      <c r="RCB46" s="1"/>
      <c r="RCC46" s="1"/>
      <c r="RCD46" s="1"/>
      <c r="RCE46" s="1"/>
      <c r="RCF46" s="1"/>
      <c r="RCG46" s="1"/>
      <c r="RCH46" s="1"/>
      <c r="RCI46" s="1"/>
      <c r="RCJ46" s="1"/>
      <c r="RCK46" s="1"/>
      <c r="RCL46" s="1"/>
      <c r="RCM46" s="1"/>
      <c r="RCN46" s="1"/>
      <c r="RCO46" s="1"/>
      <c r="RCP46" s="1"/>
      <c r="RCQ46" s="1"/>
      <c r="RCR46" s="1"/>
      <c r="RCS46" s="1"/>
      <c r="RCT46" s="1"/>
      <c r="RCU46" s="1"/>
      <c r="RCV46" s="1"/>
      <c r="RCW46" s="1"/>
      <c r="RCX46" s="1"/>
      <c r="RCY46" s="1"/>
      <c r="RCZ46" s="1"/>
      <c r="RDA46" s="1"/>
      <c r="RDB46" s="1"/>
      <c r="RDC46" s="1"/>
      <c r="RDD46" s="1"/>
      <c r="RDE46" s="1"/>
      <c r="RDF46" s="1"/>
      <c r="RDG46" s="1"/>
      <c r="RDH46" s="1"/>
      <c r="RDI46" s="1"/>
      <c r="RDJ46" s="1"/>
      <c r="RDK46" s="1"/>
      <c r="RDL46" s="1"/>
      <c r="RDM46" s="1"/>
      <c r="RDN46" s="1"/>
      <c r="RDO46" s="1"/>
      <c r="RDP46" s="1"/>
      <c r="RDQ46" s="1"/>
      <c r="RDR46" s="1"/>
      <c r="RDS46" s="1"/>
      <c r="RDT46" s="1"/>
      <c r="RDU46" s="1"/>
      <c r="RDV46" s="1"/>
      <c r="RDW46" s="1"/>
      <c r="RDX46" s="1"/>
      <c r="RDY46" s="1"/>
      <c r="RDZ46" s="1"/>
      <c r="REA46" s="1"/>
      <c r="REB46" s="1"/>
      <c r="REC46" s="1"/>
      <c r="RED46" s="1"/>
      <c r="REE46" s="1"/>
      <c r="REF46" s="1"/>
      <c r="REG46" s="1"/>
      <c r="REH46" s="1"/>
      <c r="REI46" s="1"/>
      <c r="REJ46" s="1"/>
      <c r="REK46" s="1"/>
      <c r="REL46" s="1"/>
      <c r="REM46" s="1"/>
      <c r="REN46" s="1"/>
      <c r="REO46" s="1"/>
      <c r="REP46" s="1"/>
      <c r="REQ46" s="1"/>
      <c r="RER46" s="1"/>
      <c r="RES46" s="1"/>
      <c r="RET46" s="1"/>
      <c r="REU46" s="1"/>
      <c r="REV46" s="1"/>
      <c r="REW46" s="1"/>
      <c r="REX46" s="1"/>
      <c r="REY46" s="1"/>
      <c r="REZ46" s="1"/>
      <c r="RFA46" s="1"/>
      <c r="RFB46" s="1"/>
      <c r="RFC46" s="1"/>
      <c r="RFD46" s="1"/>
      <c r="RFE46" s="1"/>
      <c r="RFF46" s="1"/>
      <c r="RFG46" s="1"/>
      <c r="RFH46" s="1"/>
      <c r="RFI46" s="1"/>
      <c r="RFJ46" s="1"/>
      <c r="RFK46" s="1"/>
      <c r="RFL46" s="1"/>
      <c r="RFM46" s="1"/>
      <c r="RFN46" s="1"/>
      <c r="RFO46" s="1"/>
      <c r="RFP46" s="1"/>
      <c r="RFQ46" s="1"/>
      <c r="RFR46" s="1"/>
      <c r="RFS46" s="1"/>
      <c r="RFT46" s="1"/>
      <c r="RFU46" s="1"/>
      <c r="RFV46" s="1"/>
      <c r="RFW46" s="1"/>
      <c r="RFX46" s="1"/>
      <c r="RFY46" s="1"/>
      <c r="RFZ46" s="1"/>
      <c r="RGA46" s="1"/>
      <c r="RGB46" s="1"/>
      <c r="RGC46" s="1"/>
      <c r="RGD46" s="1"/>
      <c r="RGE46" s="1"/>
      <c r="RGF46" s="1"/>
      <c r="RGG46" s="1"/>
      <c r="RGH46" s="1"/>
      <c r="RGI46" s="1"/>
      <c r="RGJ46" s="1"/>
      <c r="RGK46" s="1"/>
      <c r="RGL46" s="1"/>
      <c r="RGM46" s="1"/>
      <c r="RGN46" s="1"/>
      <c r="RGO46" s="1"/>
      <c r="RGP46" s="1"/>
      <c r="RGQ46" s="1"/>
      <c r="RGR46" s="1"/>
      <c r="RGS46" s="1"/>
      <c r="RGT46" s="1"/>
      <c r="RGU46" s="1"/>
      <c r="RGV46" s="1"/>
      <c r="RGW46" s="1"/>
      <c r="RGX46" s="1"/>
      <c r="RGY46" s="1"/>
      <c r="RGZ46" s="1"/>
      <c r="RHA46" s="1"/>
      <c r="RHB46" s="1"/>
      <c r="RHC46" s="1"/>
      <c r="RHD46" s="1"/>
      <c r="RHE46" s="1"/>
      <c r="RHF46" s="1"/>
      <c r="RHG46" s="1"/>
      <c r="RHH46" s="1"/>
      <c r="RHI46" s="1"/>
      <c r="RHJ46" s="1"/>
      <c r="RHK46" s="1"/>
      <c r="RHL46" s="1"/>
      <c r="RHM46" s="1"/>
      <c r="RHN46" s="1"/>
      <c r="RHO46" s="1"/>
      <c r="RHP46" s="1"/>
      <c r="RHQ46" s="1"/>
      <c r="RHR46" s="1"/>
      <c r="RHS46" s="1"/>
      <c r="RHT46" s="1"/>
      <c r="RHU46" s="1"/>
      <c r="RHV46" s="1"/>
      <c r="RHW46" s="1"/>
      <c r="RHX46" s="1"/>
      <c r="RHY46" s="1"/>
      <c r="RHZ46" s="1"/>
      <c r="RIA46" s="1"/>
      <c r="RIB46" s="1"/>
      <c r="RIC46" s="1"/>
      <c r="RID46" s="1"/>
      <c r="RIE46" s="1"/>
      <c r="RIF46" s="1"/>
      <c r="RIG46" s="1"/>
      <c r="RIH46" s="1"/>
      <c r="RII46" s="1"/>
      <c r="RIJ46" s="1"/>
      <c r="RIK46" s="1"/>
      <c r="RIL46" s="1"/>
      <c r="RIM46" s="1"/>
      <c r="RIN46" s="1"/>
      <c r="RIO46" s="1"/>
      <c r="RIP46" s="1"/>
      <c r="RIQ46" s="1"/>
      <c r="RIR46" s="1"/>
      <c r="RIS46" s="1"/>
      <c r="RIT46" s="1"/>
      <c r="RIU46" s="1"/>
      <c r="RIV46" s="1"/>
      <c r="RIW46" s="1"/>
      <c r="RIX46" s="1"/>
      <c r="RIY46" s="1"/>
      <c r="RIZ46" s="1"/>
      <c r="RJA46" s="1"/>
      <c r="RJB46" s="1"/>
      <c r="RJC46" s="1"/>
      <c r="RJD46" s="1"/>
      <c r="RJE46" s="1"/>
      <c r="RJF46" s="1"/>
      <c r="RJG46" s="1"/>
      <c r="RJH46" s="1"/>
      <c r="RJI46" s="1"/>
      <c r="RJJ46" s="1"/>
      <c r="RJK46" s="1"/>
      <c r="RJL46" s="1"/>
      <c r="RJM46" s="1"/>
      <c r="RJN46" s="1"/>
      <c r="RJO46" s="1"/>
      <c r="RJP46" s="1"/>
      <c r="RJQ46" s="1"/>
      <c r="RJR46" s="1"/>
      <c r="RJS46" s="1"/>
      <c r="RJT46" s="1"/>
      <c r="RJU46" s="1"/>
      <c r="RJV46" s="1"/>
      <c r="RJW46" s="1"/>
      <c r="RJX46" s="1"/>
      <c r="RJY46" s="1"/>
      <c r="RJZ46" s="1"/>
      <c r="RKA46" s="1"/>
      <c r="RKB46" s="1"/>
      <c r="RKC46" s="1"/>
      <c r="RKD46" s="1"/>
      <c r="RKE46" s="1"/>
      <c r="RKF46" s="1"/>
      <c r="RKG46" s="1"/>
      <c r="RKH46" s="1"/>
      <c r="RKI46" s="1"/>
      <c r="RKJ46" s="1"/>
      <c r="RKK46" s="1"/>
      <c r="RKL46" s="1"/>
      <c r="RKM46" s="1"/>
      <c r="RKN46" s="1"/>
      <c r="RKO46" s="1"/>
      <c r="RKP46" s="1"/>
      <c r="RKQ46" s="1"/>
      <c r="RKR46" s="1"/>
      <c r="RKS46" s="1"/>
      <c r="RKT46" s="1"/>
      <c r="RKU46" s="1"/>
      <c r="RKV46" s="1"/>
      <c r="RKW46" s="1"/>
      <c r="RKX46" s="1"/>
      <c r="RKY46" s="1"/>
      <c r="RKZ46" s="1"/>
      <c r="RLA46" s="1"/>
      <c r="RLB46" s="1"/>
      <c r="RLC46" s="1"/>
      <c r="RLD46" s="1"/>
      <c r="RLE46" s="1"/>
      <c r="RLF46" s="1"/>
      <c r="RLG46" s="1"/>
      <c r="RLH46" s="1"/>
      <c r="RLI46" s="1"/>
      <c r="RLJ46" s="1"/>
      <c r="RLK46" s="1"/>
      <c r="RLL46" s="1"/>
      <c r="RLM46" s="1"/>
      <c r="RLN46" s="1"/>
      <c r="RLO46" s="1"/>
      <c r="RLP46" s="1"/>
      <c r="RLQ46" s="1"/>
      <c r="RLR46" s="1"/>
      <c r="RLS46" s="1"/>
      <c r="RLT46" s="1"/>
      <c r="RLU46" s="1"/>
      <c r="RLV46" s="1"/>
      <c r="RLW46" s="1"/>
      <c r="RLX46" s="1"/>
      <c r="RLY46" s="1"/>
      <c r="RLZ46" s="1"/>
      <c r="RMA46" s="1"/>
      <c r="RMB46" s="1"/>
      <c r="RMC46" s="1"/>
      <c r="RMD46" s="1"/>
      <c r="RME46" s="1"/>
      <c r="RMF46" s="1"/>
      <c r="RMG46" s="1"/>
      <c r="RMH46" s="1"/>
      <c r="RMI46" s="1"/>
      <c r="RMJ46" s="1"/>
      <c r="RMK46" s="1"/>
      <c r="RML46" s="1"/>
      <c r="RMM46" s="1"/>
      <c r="RMN46" s="1"/>
      <c r="RMO46" s="1"/>
      <c r="RMP46" s="1"/>
      <c r="RMQ46" s="1"/>
      <c r="RMR46" s="1"/>
      <c r="RMS46" s="1"/>
      <c r="RMT46" s="1"/>
      <c r="RMU46" s="1"/>
      <c r="RMV46" s="1"/>
      <c r="RMW46" s="1"/>
      <c r="RMX46" s="1"/>
      <c r="RMY46" s="1"/>
      <c r="RMZ46" s="1"/>
      <c r="RNA46" s="1"/>
      <c r="RNB46" s="1"/>
      <c r="RNC46" s="1"/>
      <c r="RND46" s="1"/>
      <c r="RNE46" s="1"/>
      <c r="RNF46" s="1"/>
      <c r="RNG46" s="1"/>
      <c r="RNH46" s="1"/>
      <c r="RNI46" s="1"/>
      <c r="RNJ46" s="1"/>
      <c r="RNK46" s="1"/>
      <c r="RNL46" s="1"/>
      <c r="RNM46" s="1"/>
      <c r="RNN46" s="1"/>
      <c r="RNO46" s="1"/>
      <c r="RNP46" s="1"/>
      <c r="RNQ46" s="1"/>
      <c r="RNR46" s="1"/>
      <c r="RNS46" s="1"/>
      <c r="RNT46" s="1"/>
      <c r="RNU46" s="1"/>
      <c r="RNV46" s="1"/>
      <c r="RNW46" s="1"/>
      <c r="RNX46" s="1"/>
      <c r="RNY46" s="1"/>
      <c r="RNZ46" s="1"/>
      <c r="ROA46" s="1"/>
      <c r="ROB46" s="1"/>
      <c r="ROC46" s="1"/>
      <c r="ROD46" s="1"/>
      <c r="ROE46" s="1"/>
      <c r="ROF46" s="1"/>
      <c r="ROG46" s="1"/>
      <c r="ROH46" s="1"/>
      <c r="ROI46" s="1"/>
      <c r="ROJ46" s="1"/>
      <c r="ROK46" s="1"/>
      <c r="ROL46" s="1"/>
      <c r="ROM46" s="1"/>
      <c r="RON46" s="1"/>
      <c r="ROO46" s="1"/>
      <c r="ROP46" s="1"/>
      <c r="ROQ46" s="1"/>
      <c r="ROR46" s="1"/>
      <c r="ROS46" s="1"/>
      <c r="ROT46" s="1"/>
      <c r="ROU46" s="1"/>
      <c r="ROV46" s="1"/>
      <c r="ROW46" s="1"/>
      <c r="ROX46" s="1"/>
      <c r="ROY46" s="1"/>
      <c r="ROZ46" s="1"/>
      <c r="RPA46" s="1"/>
      <c r="RPB46" s="1"/>
      <c r="RPC46" s="1"/>
      <c r="RPD46" s="1"/>
      <c r="RPE46" s="1"/>
      <c r="RPF46" s="1"/>
      <c r="RPG46" s="1"/>
      <c r="RPH46" s="1"/>
      <c r="RPI46" s="1"/>
      <c r="RPJ46" s="1"/>
      <c r="RPK46" s="1"/>
      <c r="RPL46" s="1"/>
      <c r="RPM46" s="1"/>
      <c r="RPN46" s="1"/>
      <c r="RPO46" s="1"/>
      <c r="RPP46" s="1"/>
      <c r="RPQ46" s="1"/>
      <c r="RPR46" s="1"/>
      <c r="RPS46" s="1"/>
      <c r="RPT46" s="1"/>
      <c r="RPU46" s="1"/>
      <c r="RPV46" s="1"/>
      <c r="RPW46" s="1"/>
      <c r="RPX46" s="1"/>
      <c r="RPY46" s="1"/>
      <c r="RPZ46" s="1"/>
      <c r="RQA46" s="1"/>
      <c r="RQB46" s="1"/>
      <c r="RQC46" s="1"/>
      <c r="RQD46" s="1"/>
      <c r="RQE46" s="1"/>
      <c r="RQF46" s="1"/>
      <c r="RQG46" s="1"/>
      <c r="RQH46" s="1"/>
      <c r="RQI46" s="1"/>
      <c r="RQJ46" s="1"/>
      <c r="RQK46" s="1"/>
      <c r="RQL46" s="1"/>
      <c r="RQM46" s="1"/>
      <c r="RQN46" s="1"/>
      <c r="RQO46" s="1"/>
      <c r="RQP46" s="1"/>
      <c r="RQQ46" s="1"/>
      <c r="RQR46" s="1"/>
      <c r="RQS46" s="1"/>
      <c r="RQT46" s="1"/>
      <c r="RQU46" s="1"/>
      <c r="RQV46" s="1"/>
      <c r="RQW46" s="1"/>
      <c r="RQX46" s="1"/>
      <c r="RQY46" s="1"/>
      <c r="RQZ46" s="1"/>
      <c r="RRA46" s="1"/>
      <c r="RRB46" s="1"/>
      <c r="RRC46" s="1"/>
      <c r="RRD46" s="1"/>
      <c r="RRE46" s="1"/>
      <c r="RRF46" s="1"/>
      <c r="RRG46" s="1"/>
      <c r="RRH46" s="1"/>
      <c r="RRI46" s="1"/>
      <c r="RRJ46" s="1"/>
      <c r="RRK46" s="1"/>
      <c r="RRL46" s="1"/>
      <c r="RRM46" s="1"/>
      <c r="RRN46" s="1"/>
      <c r="RRO46" s="1"/>
      <c r="RRP46" s="1"/>
      <c r="RRQ46" s="1"/>
      <c r="RRR46" s="1"/>
      <c r="RRS46" s="1"/>
      <c r="RRT46" s="1"/>
      <c r="RRU46" s="1"/>
      <c r="RRV46" s="1"/>
      <c r="RRW46" s="1"/>
      <c r="RRX46" s="1"/>
      <c r="RRY46" s="1"/>
      <c r="RRZ46" s="1"/>
      <c r="RSA46" s="1"/>
      <c r="RSB46" s="1"/>
      <c r="RSC46" s="1"/>
      <c r="RSD46" s="1"/>
      <c r="RSE46" s="1"/>
      <c r="RSF46" s="1"/>
      <c r="RSG46" s="1"/>
      <c r="RSH46" s="1"/>
      <c r="RSI46" s="1"/>
      <c r="RSJ46" s="1"/>
      <c r="RSK46" s="1"/>
      <c r="RSL46" s="1"/>
      <c r="RSM46" s="1"/>
      <c r="RSN46" s="1"/>
      <c r="RSO46" s="1"/>
      <c r="RSP46" s="1"/>
      <c r="RSQ46" s="1"/>
      <c r="RSR46" s="1"/>
      <c r="RSS46" s="1"/>
      <c r="RST46" s="1"/>
      <c r="RSU46" s="1"/>
      <c r="RSV46" s="1"/>
      <c r="RSW46" s="1"/>
      <c r="RSX46" s="1"/>
      <c r="RSY46" s="1"/>
      <c r="RSZ46" s="1"/>
      <c r="RTA46" s="1"/>
      <c r="RTB46" s="1"/>
      <c r="RTC46" s="1"/>
      <c r="RTD46" s="1"/>
      <c r="RTE46" s="1"/>
      <c r="RTF46" s="1"/>
      <c r="RTG46" s="1"/>
      <c r="RTH46" s="1"/>
      <c r="RTI46" s="1"/>
      <c r="RTJ46" s="1"/>
      <c r="RTK46" s="1"/>
      <c r="RTL46" s="1"/>
      <c r="RTM46" s="1"/>
      <c r="RTN46" s="1"/>
      <c r="RTO46" s="1"/>
      <c r="RTP46" s="1"/>
      <c r="RTQ46" s="1"/>
      <c r="RTR46" s="1"/>
      <c r="RTS46" s="1"/>
      <c r="RTT46" s="1"/>
      <c r="RTU46" s="1"/>
      <c r="RTV46" s="1"/>
      <c r="RTW46" s="1"/>
      <c r="RTX46" s="1"/>
      <c r="RTY46" s="1"/>
      <c r="RTZ46" s="1"/>
      <c r="RUA46" s="1"/>
      <c r="RUB46" s="1"/>
      <c r="RUC46" s="1"/>
      <c r="RUD46" s="1"/>
      <c r="RUE46" s="1"/>
      <c r="RUF46" s="1"/>
      <c r="RUG46" s="1"/>
      <c r="RUH46" s="1"/>
      <c r="RUI46" s="1"/>
      <c r="RUJ46" s="1"/>
      <c r="RUK46" s="1"/>
      <c r="RUL46" s="1"/>
      <c r="RUM46" s="1"/>
      <c r="RUN46" s="1"/>
      <c r="RUO46" s="1"/>
      <c r="RUP46" s="1"/>
      <c r="RUQ46" s="1"/>
      <c r="RUR46" s="1"/>
      <c r="RUS46" s="1"/>
      <c r="RUT46" s="1"/>
      <c r="RUU46" s="1"/>
      <c r="RUV46" s="1"/>
      <c r="RUW46" s="1"/>
      <c r="RUX46" s="1"/>
      <c r="RUY46" s="1"/>
      <c r="RUZ46" s="1"/>
      <c r="RVA46" s="1"/>
      <c r="RVB46" s="1"/>
      <c r="RVC46" s="1"/>
      <c r="RVD46" s="1"/>
      <c r="RVE46" s="1"/>
      <c r="RVF46" s="1"/>
      <c r="RVG46" s="1"/>
      <c r="RVH46" s="1"/>
      <c r="RVI46" s="1"/>
      <c r="RVJ46" s="1"/>
      <c r="RVK46" s="1"/>
      <c r="RVL46" s="1"/>
      <c r="RVM46" s="1"/>
      <c r="RVN46" s="1"/>
      <c r="RVO46" s="1"/>
      <c r="RVP46" s="1"/>
      <c r="RVQ46" s="1"/>
      <c r="RVR46" s="1"/>
      <c r="RVS46" s="1"/>
      <c r="RVT46" s="1"/>
      <c r="RVU46" s="1"/>
      <c r="RVV46" s="1"/>
      <c r="RVW46" s="1"/>
      <c r="RVX46" s="1"/>
      <c r="RVY46" s="1"/>
      <c r="RVZ46" s="1"/>
      <c r="RWA46" s="1"/>
      <c r="RWB46" s="1"/>
      <c r="RWC46" s="1"/>
      <c r="RWD46" s="1"/>
      <c r="RWE46" s="1"/>
      <c r="RWF46" s="1"/>
      <c r="RWG46" s="1"/>
      <c r="RWH46" s="1"/>
      <c r="RWI46" s="1"/>
      <c r="RWJ46" s="1"/>
      <c r="RWK46" s="1"/>
      <c r="RWL46" s="1"/>
      <c r="RWM46" s="1"/>
      <c r="RWN46" s="1"/>
      <c r="RWO46" s="1"/>
      <c r="RWP46" s="1"/>
      <c r="RWQ46" s="1"/>
      <c r="RWR46" s="1"/>
      <c r="RWS46" s="1"/>
      <c r="RWT46" s="1"/>
      <c r="RWU46" s="1"/>
      <c r="RWV46" s="1"/>
      <c r="RWW46" s="1"/>
      <c r="RWX46" s="1"/>
      <c r="RWY46" s="1"/>
      <c r="RWZ46" s="1"/>
      <c r="RXA46" s="1"/>
      <c r="RXB46" s="1"/>
      <c r="RXC46" s="1"/>
      <c r="RXD46" s="1"/>
      <c r="RXE46" s="1"/>
      <c r="RXF46" s="1"/>
      <c r="RXG46" s="1"/>
      <c r="RXH46" s="1"/>
      <c r="RXI46" s="1"/>
      <c r="RXJ46" s="1"/>
      <c r="RXK46" s="1"/>
      <c r="RXL46" s="1"/>
      <c r="RXM46" s="1"/>
      <c r="RXN46" s="1"/>
      <c r="RXO46" s="1"/>
      <c r="RXP46" s="1"/>
      <c r="RXQ46" s="1"/>
      <c r="RXR46" s="1"/>
      <c r="RXS46" s="1"/>
      <c r="RXT46" s="1"/>
      <c r="RXU46" s="1"/>
      <c r="RXV46" s="1"/>
      <c r="RXW46" s="1"/>
      <c r="RXX46" s="1"/>
      <c r="RXY46" s="1"/>
      <c r="RXZ46" s="1"/>
      <c r="RYA46" s="1"/>
      <c r="RYB46" s="1"/>
      <c r="RYC46" s="1"/>
      <c r="RYD46" s="1"/>
      <c r="RYE46" s="1"/>
      <c r="RYF46" s="1"/>
      <c r="RYG46" s="1"/>
      <c r="RYH46" s="1"/>
      <c r="RYI46" s="1"/>
      <c r="RYJ46" s="1"/>
      <c r="RYK46" s="1"/>
      <c r="RYL46" s="1"/>
      <c r="RYM46" s="1"/>
      <c r="RYN46" s="1"/>
      <c r="RYO46" s="1"/>
      <c r="RYP46" s="1"/>
      <c r="RYQ46" s="1"/>
      <c r="RYR46" s="1"/>
      <c r="RYS46" s="1"/>
      <c r="RYT46" s="1"/>
      <c r="RYU46" s="1"/>
      <c r="RYV46" s="1"/>
      <c r="RYW46" s="1"/>
      <c r="RYX46" s="1"/>
      <c r="RYY46" s="1"/>
      <c r="RYZ46" s="1"/>
      <c r="RZA46" s="1"/>
      <c r="RZB46" s="1"/>
      <c r="RZC46" s="1"/>
      <c r="RZD46" s="1"/>
      <c r="RZE46" s="1"/>
      <c r="RZF46" s="1"/>
      <c r="RZG46" s="1"/>
      <c r="RZH46" s="1"/>
      <c r="RZI46" s="1"/>
      <c r="RZJ46" s="1"/>
      <c r="RZK46" s="1"/>
      <c r="RZL46" s="1"/>
      <c r="RZM46" s="1"/>
      <c r="RZN46" s="1"/>
      <c r="RZO46" s="1"/>
      <c r="RZP46" s="1"/>
      <c r="RZQ46" s="1"/>
      <c r="RZR46" s="1"/>
      <c r="RZS46" s="1"/>
      <c r="RZT46" s="1"/>
      <c r="RZU46" s="1"/>
      <c r="RZV46" s="1"/>
      <c r="RZW46" s="1"/>
      <c r="RZX46" s="1"/>
      <c r="RZY46" s="1"/>
      <c r="RZZ46" s="1"/>
      <c r="SAA46" s="1"/>
      <c r="SAB46" s="1"/>
      <c r="SAC46" s="1"/>
      <c r="SAD46" s="1"/>
      <c r="SAE46" s="1"/>
      <c r="SAF46" s="1"/>
      <c r="SAG46" s="1"/>
      <c r="SAH46" s="1"/>
      <c r="SAI46" s="1"/>
      <c r="SAJ46" s="1"/>
      <c r="SAK46" s="1"/>
      <c r="SAL46" s="1"/>
      <c r="SAM46" s="1"/>
      <c r="SAN46" s="1"/>
      <c r="SAO46" s="1"/>
      <c r="SAP46" s="1"/>
      <c r="SAQ46" s="1"/>
      <c r="SAR46" s="1"/>
      <c r="SAS46" s="1"/>
      <c r="SAT46" s="1"/>
      <c r="SAU46" s="1"/>
      <c r="SAV46" s="1"/>
      <c r="SAW46" s="1"/>
      <c r="SAX46" s="1"/>
      <c r="SAY46" s="1"/>
      <c r="SAZ46" s="1"/>
      <c r="SBA46" s="1"/>
      <c r="SBB46" s="1"/>
      <c r="SBC46" s="1"/>
      <c r="SBD46" s="1"/>
      <c r="SBE46" s="1"/>
      <c r="SBF46" s="1"/>
      <c r="SBG46" s="1"/>
      <c r="SBH46" s="1"/>
      <c r="SBI46" s="1"/>
      <c r="SBJ46" s="1"/>
      <c r="SBK46" s="1"/>
      <c r="SBL46" s="1"/>
      <c r="SBM46" s="1"/>
      <c r="SBN46" s="1"/>
      <c r="SBO46" s="1"/>
      <c r="SBP46" s="1"/>
      <c r="SBQ46" s="1"/>
      <c r="SBR46" s="1"/>
      <c r="SBS46" s="1"/>
      <c r="SBT46" s="1"/>
      <c r="SBU46" s="1"/>
      <c r="SBV46" s="1"/>
      <c r="SBW46" s="1"/>
      <c r="SBX46" s="1"/>
      <c r="SBY46" s="1"/>
      <c r="SBZ46" s="1"/>
      <c r="SCA46" s="1"/>
      <c r="SCB46" s="1"/>
      <c r="SCC46" s="1"/>
      <c r="SCD46" s="1"/>
      <c r="SCE46" s="1"/>
      <c r="SCF46" s="1"/>
      <c r="SCG46" s="1"/>
      <c r="SCH46" s="1"/>
      <c r="SCI46" s="1"/>
      <c r="SCJ46" s="1"/>
      <c r="SCK46" s="1"/>
      <c r="SCL46" s="1"/>
      <c r="SCM46" s="1"/>
      <c r="SCN46" s="1"/>
      <c r="SCO46" s="1"/>
      <c r="SCP46" s="1"/>
      <c r="SCQ46" s="1"/>
      <c r="SCR46" s="1"/>
      <c r="SCS46" s="1"/>
      <c r="SCT46" s="1"/>
      <c r="SCU46" s="1"/>
      <c r="SCV46" s="1"/>
      <c r="SCW46" s="1"/>
      <c r="SCX46" s="1"/>
      <c r="SCY46" s="1"/>
      <c r="SCZ46" s="1"/>
      <c r="SDA46" s="1"/>
      <c r="SDB46" s="1"/>
      <c r="SDC46" s="1"/>
      <c r="SDD46" s="1"/>
      <c r="SDE46" s="1"/>
      <c r="SDF46" s="1"/>
      <c r="SDG46" s="1"/>
      <c r="SDH46" s="1"/>
      <c r="SDI46" s="1"/>
      <c r="SDJ46" s="1"/>
      <c r="SDK46" s="1"/>
      <c r="SDL46" s="1"/>
      <c r="SDM46" s="1"/>
      <c r="SDN46" s="1"/>
      <c r="SDO46" s="1"/>
      <c r="SDP46" s="1"/>
      <c r="SDQ46" s="1"/>
      <c r="SDR46" s="1"/>
      <c r="SDS46" s="1"/>
      <c r="SDT46" s="1"/>
      <c r="SDU46" s="1"/>
      <c r="SDV46" s="1"/>
      <c r="SDW46" s="1"/>
      <c r="SDX46" s="1"/>
      <c r="SDY46" s="1"/>
      <c r="SDZ46" s="1"/>
      <c r="SEA46" s="1"/>
      <c r="SEB46" s="1"/>
      <c r="SEC46" s="1"/>
      <c r="SED46" s="1"/>
      <c r="SEE46" s="1"/>
      <c r="SEF46" s="1"/>
      <c r="SEG46" s="1"/>
      <c r="SEH46" s="1"/>
      <c r="SEI46" s="1"/>
      <c r="SEJ46" s="1"/>
      <c r="SEK46" s="1"/>
      <c r="SEL46" s="1"/>
      <c r="SEM46" s="1"/>
      <c r="SEN46" s="1"/>
      <c r="SEO46" s="1"/>
      <c r="SEP46" s="1"/>
      <c r="SEQ46" s="1"/>
      <c r="SER46" s="1"/>
      <c r="SES46" s="1"/>
      <c r="SET46" s="1"/>
      <c r="SEU46" s="1"/>
      <c r="SEV46" s="1"/>
      <c r="SEW46" s="1"/>
      <c r="SEX46" s="1"/>
      <c r="SEY46" s="1"/>
      <c r="SEZ46" s="1"/>
      <c r="SFA46" s="1"/>
      <c r="SFB46" s="1"/>
      <c r="SFC46" s="1"/>
      <c r="SFD46" s="1"/>
      <c r="SFE46" s="1"/>
      <c r="SFF46" s="1"/>
      <c r="SFG46" s="1"/>
      <c r="SFH46" s="1"/>
      <c r="SFI46" s="1"/>
      <c r="SFJ46" s="1"/>
      <c r="SFK46" s="1"/>
      <c r="SFL46" s="1"/>
      <c r="SFM46" s="1"/>
      <c r="SFN46" s="1"/>
      <c r="SFO46" s="1"/>
      <c r="SFP46" s="1"/>
      <c r="SFQ46" s="1"/>
      <c r="SFR46" s="1"/>
      <c r="SFS46" s="1"/>
      <c r="SFT46" s="1"/>
      <c r="SFU46" s="1"/>
      <c r="SFV46" s="1"/>
      <c r="SFW46" s="1"/>
      <c r="SFX46" s="1"/>
      <c r="SFY46" s="1"/>
      <c r="SFZ46" s="1"/>
      <c r="SGA46" s="1"/>
      <c r="SGB46" s="1"/>
      <c r="SGC46" s="1"/>
      <c r="SGD46" s="1"/>
      <c r="SGE46" s="1"/>
      <c r="SGF46" s="1"/>
      <c r="SGG46" s="1"/>
      <c r="SGH46" s="1"/>
      <c r="SGI46" s="1"/>
      <c r="SGJ46" s="1"/>
      <c r="SGK46" s="1"/>
      <c r="SGL46" s="1"/>
      <c r="SGM46" s="1"/>
      <c r="SGN46" s="1"/>
      <c r="SGO46" s="1"/>
      <c r="SGP46" s="1"/>
      <c r="SGQ46" s="1"/>
      <c r="SGR46" s="1"/>
      <c r="SGS46" s="1"/>
      <c r="SGT46" s="1"/>
      <c r="SGU46" s="1"/>
      <c r="SGV46" s="1"/>
      <c r="SGW46" s="1"/>
      <c r="SGX46" s="1"/>
      <c r="SGY46" s="1"/>
      <c r="SGZ46" s="1"/>
      <c r="SHA46" s="1"/>
      <c r="SHB46" s="1"/>
      <c r="SHC46" s="1"/>
      <c r="SHD46" s="1"/>
      <c r="SHE46" s="1"/>
      <c r="SHF46" s="1"/>
      <c r="SHG46" s="1"/>
      <c r="SHH46" s="1"/>
      <c r="SHI46" s="1"/>
      <c r="SHJ46" s="1"/>
      <c r="SHK46" s="1"/>
      <c r="SHL46" s="1"/>
      <c r="SHM46" s="1"/>
      <c r="SHN46" s="1"/>
      <c r="SHO46" s="1"/>
      <c r="SHP46" s="1"/>
      <c r="SHQ46" s="1"/>
      <c r="SHR46" s="1"/>
      <c r="SHS46" s="1"/>
      <c r="SHT46" s="1"/>
      <c r="SHU46" s="1"/>
      <c r="SHV46" s="1"/>
      <c r="SHW46" s="1"/>
      <c r="SHX46" s="1"/>
      <c r="SHY46" s="1"/>
      <c r="SHZ46" s="1"/>
      <c r="SIA46" s="1"/>
      <c r="SIB46" s="1"/>
      <c r="SIC46" s="1"/>
      <c r="SID46" s="1"/>
      <c r="SIE46" s="1"/>
      <c r="SIF46" s="1"/>
      <c r="SIG46" s="1"/>
      <c r="SIH46" s="1"/>
      <c r="SII46" s="1"/>
      <c r="SIJ46" s="1"/>
      <c r="SIK46" s="1"/>
      <c r="SIL46" s="1"/>
      <c r="SIM46" s="1"/>
      <c r="SIN46" s="1"/>
      <c r="SIO46" s="1"/>
      <c r="SIP46" s="1"/>
      <c r="SIQ46" s="1"/>
      <c r="SIR46" s="1"/>
      <c r="SIS46" s="1"/>
      <c r="SIT46" s="1"/>
      <c r="SIU46" s="1"/>
      <c r="SIV46" s="1"/>
      <c r="SIW46" s="1"/>
      <c r="SIX46" s="1"/>
      <c r="SIY46" s="1"/>
      <c r="SIZ46" s="1"/>
      <c r="SJA46" s="1"/>
      <c r="SJB46" s="1"/>
      <c r="SJC46" s="1"/>
      <c r="SJD46" s="1"/>
      <c r="SJE46" s="1"/>
      <c r="SJF46" s="1"/>
      <c r="SJG46" s="1"/>
      <c r="SJH46" s="1"/>
      <c r="SJI46" s="1"/>
      <c r="SJJ46" s="1"/>
      <c r="SJK46" s="1"/>
      <c r="SJL46" s="1"/>
      <c r="SJM46" s="1"/>
      <c r="SJN46" s="1"/>
      <c r="SJO46" s="1"/>
      <c r="SJP46" s="1"/>
      <c r="SJQ46" s="1"/>
      <c r="SJR46" s="1"/>
      <c r="SJS46" s="1"/>
      <c r="SJT46" s="1"/>
      <c r="SJU46" s="1"/>
      <c r="SJV46" s="1"/>
      <c r="SJW46" s="1"/>
      <c r="SJX46" s="1"/>
      <c r="SJY46" s="1"/>
      <c r="SJZ46" s="1"/>
      <c r="SKA46" s="1"/>
      <c r="SKB46" s="1"/>
      <c r="SKC46" s="1"/>
      <c r="SKD46" s="1"/>
      <c r="SKE46" s="1"/>
      <c r="SKF46" s="1"/>
      <c r="SKG46" s="1"/>
      <c r="SKH46" s="1"/>
      <c r="SKI46" s="1"/>
      <c r="SKJ46" s="1"/>
      <c r="SKK46" s="1"/>
      <c r="SKL46" s="1"/>
      <c r="SKM46" s="1"/>
      <c r="SKN46" s="1"/>
      <c r="SKO46" s="1"/>
      <c r="SKP46" s="1"/>
      <c r="SKQ46" s="1"/>
      <c r="SKR46" s="1"/>
      <c r="SKS46" s="1"/>
      <c r="SKT46" s="1"/>
      <c r="SKU46" s="1"/>
      <c r="SKV46" s="1"/>
      <c r="SKW46" s="1"/>
      <c r="SKX46" s="1"/>
      <c r="SKY46" s="1"/>
      <c r="SKZ46" s="1"/>
      <c r="SLA46" s="1"/>
      <c r="SLB46" s="1"/>
      <c r="SLC46" s="1"/>
      <c r="SLD46" s="1"/>
      <c r="SLE46" s="1"/>
      <c r="SLF46" s="1"/>
      <c r="SLG46" s="1"/>
      <c r="SLH46" s="1"/>
      <c r="SLI46" s="1"/>
      <c r="SLJ46" s="1"/>
      <c r="SLK46" s="1"/>
      <c r="SLL46" s="1"/>
      <c r="SLM46" s="1"/>
      <c r="SLN46" s="1"/>
      <c r="SLO46" s="1"/>
      <c r="SLP46" s="1"/>
      <c r="SLQ46" s="1"/>
      <c r="SLR46" s="1"/>
      <c r="SLS46" s="1"/>
      <c r="SLT46" s="1"/>
      <c r="SLU46" s="1"/>
      <c r="SLV46" s="1"/>
      <c r="SLW46" s="1"/>
      <c r="SLX46" s="1"/>
      <c r="SLY46" s="1"/>
      <c r="SLZ46" s="1"/>
      <c r="SMA46" s="1"/>
      <c r="SMB46" s="1"/>
      <c r="SMC46" s="1"/>
      <c r="SMD46" s="1"/>
      <c r="SME46" s="1"/>
      <c r="SMF46" s="1"/>
      <c r="SMG46" s="1"/>
      <c r="SMH46" s="1"/>
      <c r="SMI46" s="1"/>
      <c r="SMJ46" s="1"/>
      <c r="SMK46" s="1"/>
      <c r="SML46" s="1"/>
      <c r="SMM46" s="1"/>
      <c r="SMN46" s="1"/>
      <c r="SMO46" s="1"/>
      <c r="SMP46" s="1"/>
      <c r="SMQ46" s="1"/>
      <c r="SMR46" s="1"/>
      <c r="SMS46" s="1"/>
      <c r="SMT46" s="1"/>
      <c r="SMU46" s="1"/>
      <c r="SMV46" s="1"/>
      <c r="SMW46" s="1"/>
      <c r="SMX46" s="1"/>
      <c r="SMY46" s="1"/>
      <c r="SMZ46" s="1"/>
      <c r="SNA46" s="1"/>
      <c r="SNB46" s="1"/>
      <c r="SNC46" s="1"/>
      <c r="SND46" s="1"/>
      <c r="SNE46" s="1"/>
      <c r="SNF46" s="1"/>
      <c r="SNG46" s="1"/>
      <c r="SNH46" s="1"/>
      <c r="SNI46" s="1"/>
      <c r="SNJ46" s="1"/>
      <c r="SNK46" s="1"/>
      <c r="SNL46" s="1"/>
      <c r="SNM46" s="1"/>
      <c r="SNN46" s="1"/>
      <c r="SNO46" s="1"/>
      <c r="SNP46" s="1"/>
      <c r="SNQ46" s="1"/>
      <c r="SNR46" s="1"/>
      <c r="SNS46" s="1"/>
      <c r="SNT46" s="1"/>
      <c r="SNU46" s="1"/>
      <c r="SNV46" s="1"/>
      <c r="SNW46" s="1"/>
      <c r="SNX46" s="1"/>
      <c r="SNY46" s="1"/>
      <c r="SNZ46" s="1"/>
      <c r="SOA46" s="1"/>
      <c r="SOB46" s="1"/>
      <c r="SOC46" s="1"/>
      <c r="SOD46" s="1"/>
      <c r="SOE46" s="1"/>
      <c r="SOF46" s="1"/>
      <c r="SOG46" s="1"/>
      <c r="SOH46" s="1"/>
      <c r="SOI46" s="1"/>
      <c r="SOJ46" s="1"/>
      <c r="SOK46" s="1"/>
      <c r="SOL46" s="1"/>
      <c r="SOM46" s="1"/>
      <c r="SON46" s="1"/>
      <c r="SOO46" s="1"/>
      <c r="SOP46" s="1"/>
      <c r="SOQ46" s="1"/>
      <c r="SOR46" s="1"/>
      <c r="SOS46" s="1"/>
      <c r="SOT46" s="1"/>
      <c r="SOU46" s="1"/>
      <c r="SOV46" s="1"/>
      <c r="SOW46" s="1"/>
      <c r="SOX46" s="1"/>
      <c r="SOY46" s="1"/>
      <c r="SOZ46" s="1"/>
      <c r="SPA46" s="1"/>
      <c r="SPB46" s="1"/>
      <c r="SPC46" s="1"/>
      <c r="SPD46" s="1"/>
      <c r="SPE46" s="1"/>
      <c r="SPF46" s="1"/>
      <c r="SPG46" s="1"/>
      <c r="SPH46" s="1"/>
      <c r="SPI46" s="1"/>
      <c r="SPJ46" s="1"/>
      <c r="SPK46" s="1"/>
      <c r="SPL46" s="1"/>
      <c r="SPM46" s="1"/>
      <c r="SPN46" s="1"/>
      <c r="SPO46" s="1"/>
      <c r="SPP46" s="1"/>
      <c r="SPQ46" s="1"/>
      <c r="SPR46" s="1"/>
      <c r="SPS46" s="1"/>
      <c r="SPT46" s="1"/>
      <c r="SPU46" s="1"/>
      <c r="SPV46" s="1"/>
      <c r="SPW46" s="1"/>
      <c r="SPX46" s="1"/>
      <c r="SPY46" s="1"/>
      <c r="SPZ46" s="1"/>
      <c r="SQA46" s="1"/>
      <c r="SQB46" s="1"/>
      <c r="SQC46" s="1"/>
      <c r="SQD46" s="1"/>
      <c r="SQE46" s="1"/>
      <c r="SQF46" s="1"/>
      <c r="SQG46" s="1"/>
      <c r="SQH46" s="1"/>
      <c r="SQI46" s="1"/>
      <c r="SQJ46" s="1"/>
      <c r="SQK46" s="1"/>
      <c r="SQL46" s="1"/>
      <c r="SQM46" s="1"/>
      <c r="SQN46" s="1"/>
      <c r="SQO46" s="1"/>
      <c r="SQP46" s="1"/>
      <c r="SQQ46" s="1"/>
      <c r="SQR46" s="1"/>
      <c r="SQS46" s="1"/>
      <c r="SQT46" s="1"/>
      <c r="SQU46" s="1"/>
      <c r="SQV46" s="1"/>
      <c r="SQW46" s="1"/>
      <c r="SQX46" s="1"/>
      <c r="SQY46" s="1"/>
      <c r="SQZ46" s="1"/>
      <c r="SRA46" s="1"/>
      <c r="SRB46" s="1"/>
      <c r="SRC46" s="1"/>
      <c r="SRD46" s="1"/>
      <c r="SRE46" s="1"/>
      <c r="SRF46" s="1"/>
      <c r="SRG46" s="1"/>
      <c r="SRH46" s="1"/>
      <c r="SRI46" s="1"/>
      <c r="SRJ46" s="1"/>
      <c r="SRK46" s="1"/>
      <c r="SRL46" s="1"/>
      <c r="SRM46" s="1"/>
      <c r="SRN46" s="1"/>
      <c r="SRO46" s="1"/>
      <c r="SRP46" s="1"/>
      <c r="SRQ46" s="1"/>
      <c r="SRR46" s="1"/>
      <c r="SRS46" s="1"/>
      <c r="SRT46" s="1"/>
      <c r="SRU46" s="1"/>
      <c r="SRV46" s="1"/>
      <c r="SRW46" s="1"/>
      <c r="SRX46" s="1"/>
      <c r="SRY46" s="1"/>
      <c r="SRZ46" s="1"/>
      <c r="SSA46" s="1"/>
      <c r="SSB46" s="1"/>
      <c r="SSC46" s="1"/>
      <c r="SSD46" s="1"/>
      <c r="SSE46" s="1"/>
      <c r="SSF46" s="1"/>
      <c r="SSG46" s="1"/>
      <c r="SSH46" s="1"/>
      <c r="SSI46" s="1"/>
      <c r="SSJ46" s="1"/>
      <c r="SSK46" s="1"/>
      <c r="SSL46" s="1"/>
      <c r="SSM46" s="1"/>
      <c r="SSN46" s="1"/>
      <c r="SSO46" s="1"/>
      <c r="SSP46" s="1"/>
      <c r="SSQ46" s="1"/>
      <c r="SSR46" s="1"/>
      <c r="SSS46" s="1"/>
      <c r="SST46" s="1"/>
      <c r="SSU46" s="1"/>
      <c r="SSV46" s="1"/>
      <c r="SSW46" s="1"/>
      <c r="SSX46" s="1"/>
      <c r="SSY46" s="1"/>
      <c r="SSZ46" s="1"/>
      <c r="STA46" s="1"/>
      <c r="STB46" s="1"/>
      <c r="STC46" s="1"/>
      <c r="STD46" s="1"/>
      <c r="STE46" s="1"/>
      <c r="STF46" s="1"/>
      <c r="STG46" s="1"/>
      <c r="STH46" s="1"/>
      <c r="STI46" s="1"/>
      <c r="STJ46" s="1"/>
      <c r="STK46" s="1"/>
      <c r="STL46" s="1"/>
      <c r="STM46" s="1"/>
      <c r="STN46" s="1"/>
      <c r="STO46" s="1"/>
      <c r="STP46" s="1"/>
      <c r="STQ46" s="1"/>
      <c r="STR46" s="1"/>
      <c r="STS46" s="1"/>
      <c r="STT46" s="1"/>
      <c r="STU46" s="1"/>
      <c r="STV46" s="1"/>
      <c r="STW46" s="1"/>
      <c r="STX46" s="1"/>
      <c r="STY46" s="1"/>
      <c r="STZ46" s="1"/>
      <c r="SUA46" s="1"/>
      <c r="SUB46" s="1"/>
      <c r="SUC46" s="1"/>
      <c r="SUD46" s="1"/>
      <c r="SUE46" s="1"/>
      <c r="SUF46" s="1"/>
      <c r="SUG46" s="1"/>
      <c r="SUH46" s="1"/>
      <c r="SUI46" s="1"/>
      <c r="SUJ46" s="1"/>
      <c r="SUK46" s="1"/>
      <c r="SUL46" s="1"/>
      <c r="SUM46" s="1"/>
      <c r="SUN46" s="1"/>
      <c r="SUO46" s="1"/>
      <c r="SUP46" s="1"/>
      <c r="SUQ46" s="1"/>
      <c r="SUR46" s="1"/>
      <c r="SUS46" s="1"/>
      <c r="SUT46" s="1"/>
      <c r="SUU46" s="1"/>
      <c r="SUV46" s="1"/>
      <c r="SUW46" s="1"/>
      <c r="SUX46" s="1"/>
      <c r="SUY46" s="1"/>
      <c r="SUZ46" s="1"/>
      <c r="SVA46" s="1"/>
      <c r="SVB46" s="1"/>
      <c r="SVC46" s="1"/>
      <c r="SVD46" s="1"/>
      <c r="SVE46" s="1"/>
      <c r="SVF46" s="1"/>
      <c r="SVG46" s="1"/>
      <c r="SVH46" s="1"/>
      <c r="SVI46" s="1"/>
      <c r="SVJ46" s="1"/>
      <c r="SVK46" s="1"/>
      <c r="SVL46" s="1"/>
      <c r="SVM46" s="1"/>
      <c r="SVN46" s="1"/>
      <c r="SVO46" s="1"/>
      <c r="SVP46" s="1"/>
      <c r="SVQ46" s="1"/>
      <c r="SVR46" s="1"/>
      <c r="SVS46" s="1"/>
      <c r="SVT46" s="1"/>
      <c r="SVU46" s="1"/>
      <c r="SVV46" s="1"/>
      <c r="SVW46" s="1"/>
      <c r="SVX46" s="1"/>
      <c r="SVY46" s="1"/>
      <c r="SVZ46" s="1"/>
      <c r="SWA46" s="1"/>
      <c r="SWB46" s="1"/>
      <c r="SWC46" s="1"/>
      <c r="SWD46" s="1"/>
      <c r="SWE46" s="1"/>
      <c r="SWF46" s="1"/>
      <c r="SWG46" s="1"/>
      <c r="SWH46" s="1"/>
      <c r="SWI46" s="1"/>
      <c r="SWJ46" s="1"/>
      <c r="SWK46" s="1"/>
      <c r="SWL46" s="1"/>
      <c r="SWM46" s="1"/>
      <c r="SWN46" s="1"/>
      <c r="SWO46" s="1"/>
      <c r="SWP46" s="1"/>
      <c r="SWQ46" s="1"/>
      <c r="SWR46" s="1"/>
      <c r="SWS46" s="1"/>
      <c r="SWT46" s="1"/>
      <c r="SWU46" s="1"/>
      <c r="SWV46" s="1"/>
      <c r="SWW46" s="1"/>
      <c r="SWX46" s="1"/>
      <c r="SWY46" s="1"/>
      <c r="SWZ46" s="1"/>
      <c r="SXA46" s="1"/>
      <c r="SXB46" s="1"/>
      <c r="SXC46" s="1"/>
      <c r="SXD46" s="1"/>
      <c r="SXE46" s="1"/>
      <c r="SXF46" s="1"/>
      <c r="SXG46" s="1"/>
      <c r="SXH46" s="1"/>
      <c r="SXI46" s="1"/>
      <c r="SXJ46" s="1"/>
      <c r="SXK46" s="1"/>
      <c r="SXL46" s="1"/>
      <c r="SXM46" s="1"/>
      <c r="SXN46" s="1"/>
      <c r="SXO46" s="1"/>
      <c r="SXP46" s="1"/>
      <c r="SXQ46" s="1"/>
      <c r="SXR46" s="1"/>
      <c r="SXS46" s="1"/>
      <c r="SXT46" s="1"/>
      <c r="SXU46" s="1"/>
      <c r="SXV46" s="1"/>
      <c r="SXW46" s="1"/>
      <c r="SXX46" s="1"/>
      <c r="SXY46" s="1"/>
      <c r="SXZ46" s="1"/>
      <c r="SYA46" s="1"/>
      <c r="SYB46" s="1"/>
      <c r="SYC46" s="1"/>
      <c r="SYD46" s="1"/>
      <c r="SYE46" s="1"/>
      <c r="SYF46" s="1"/>
      <c r="SYG46" s="1"/>
      <c r="SYH46" s="1"/>
      <c r="SYI46" s="1"/>
      <c r="SYJ46" s="1"/>
      <c r="SYK46" s="1"/>
      <c r="SYL46" s="1"/>
      <c r="SYM46" s="1"/>
      <c r="SYN46" s="1"/>
      <c r="SYO46" s="1"/>
      <c r="SYP46" s="1"/>
      <c r="SYQ46" s="1"/>
      <c r="SYR46" s="1"/>
      <c r="SYS46" s="1"/>
      <c r="SYT46" s="1"/>
      <c r="SYU46" s="1"/>
      <c r="SYV46" s="1"/>
      <c r="SYW46" s="1"/>
      <c r="SYX46" s="1"/>
      <c r="SYY46" s="1"/>
      <c r="SYZ46" s="1"/>
      <c r="SZA46" s="1"/>
      <c r="SZB46" s="1"/>
      <c r="SZC46" s="1"/>
      <c r="SZD46" s="1"/>
      <c r="SZE46" s="1"/>
      <c r="SZF46" s="1"/>
      <c r="SZG46" s="1"/>
      <c r="SZH46" s="1"/>
      <c r="SZI46" s="1"/>
      <c r="SZJ46" s="1"/>
      <c r="SZK46" s="1"/>
      <c r="SZL46" s="1"/>
      <c r="SZM46" s="1"/>
      <c r="SZN46" s="1"/>
      <c r="SZO46" s="1"/>
      <c r="SZP46" s="1"/>
      <c r="SZQ46" s="1"/>
      <c r="SZR46" s="1"/>
      <c r="SZS46" s="1"/>
      <c r="SZT46" s="1"/>
      <c r="SZU46" s="1"/>
      <c r="SZV46" s="1"/>
      <c r="SZW46" s="1"/>
      <c r="SZX46" s="1"/>
      <c r="SZY46" s="1"/>
      <c r="SZZ46" s="1"/>
      <c r="TAA46" s="1"/>
      <c r="TAB46" s="1"/>
      <c r="TAC46" s="1"/>
      <c r="TAD46" s="1"/>
      <c r="TAE46" s="1"/>
      <c r="TAF46" s="1"/>
      <c r="TAG46" s="1"/>
      <c r="TAH46" s="1"/>
      <c r="TAI46" s="1"/>
      <c r="TAJ46" s="1"/>
      <c r="TAK46" s="1"/>
      <c r="TAL46" s="1"/>
      <c r="TAM46" s="1"/>
      <c r="TAN46" s="1"/>
      <c r="TAO46" s="1"/>
      <c r="TAP46" s="1"/>
      <c r="TAQ46" s="1"/>
      <c r="TAR46" s="1"/>
      <c r="TAS46" s="1"/>
      <c r="TAT46" s="1"/>
      <c r="TAU46" s="1"/>
      <c r="TAV46" s="1"/>
      <c r="TAW46" s="1"/>
      <c r="TAX46" s="1"/>
      <c r="TAY46" s="1"/>
      <c r="TAZ46" s="1"/>
      <c r="TBA46" s="1"/>
      <c r="TBB46" s="1"/>
      <c r="TBC46" s="1"/>
      <c r="TBD46" s="1"/>
      <c r="TBE46" s="1"/>
      <c r="TBF46" s="1"/>
      <c r="TBG46" s="1"/>
      <c r="TBH46" s="1"/>
      <c r="TBI46" s="1"/>
      <c r="TBJ46" s="1"/>
      <c r="TBK46" s="1"/>
      <c r="TBL46" s="1"/>
      <c r="TBM46" s="1"/>
      <c r="TBN46" s="1"/>
      <c r="TBO46" s="1"/>
      <c r="TBP46" s="1"/>
      <c r="TBQ46" s="1"/>
      <c r="TBR46" s="1"/>
      <c r="TBS46" s="1"/>
      <c r="TBT46" s="1"/>
      <c r="TBU46" s="1"/>
      <c r="TBV46" s="1"/>
      <c r="TBW46" s="1"/>
      <c r="TBX46" s="1"/>
      <c r="TBY46" s="1"/>
      <c r="TBZ46" s="1"/>
      <c r="TCA46" s="1"/>
      <c r="TCB46" s="1"/>
      <c r="TCC46" s="1"/>
      <c r="TCD46" s="1"/>
      <c r="TCE46" s="1"/>
      <c r="TCF46" s="1"/>
      <c r="TCG46" s="1"/>
      <c r="TCH46" s="1"/>
      <c r="TCI46" s="1"/>
      <c r="TCJ46" s="1"/>
      <c r="TCK46" s="1"/>
      <c r="TCL46" s="1"/>
      <c r="TCM46" s="1"/>
      <c r="TCN46" s="1"/>
      <c r="TCO46" s="1"/>
      <c r="TCP46" s="1"/>
      <c r="TCQ46" s="1"/>
      <c r="TCR46" s="1"/>
      <c r="TCS46" s="1"/>
      <c r="TCT46" s="1"/>
      <c r="TCU46" s="1"/>
      <c r="TCV46" s="1"/>
      <c r="TCW46" s="1"/>
      <c r="TCX46" s="1"/>
      <c r="TCY46" s="1"/>
      <c r="TCZ46" s="1"/>
      <c r="TDA46" s="1"/>
      <c r="TDB46" s="1"/>
      <c r="TDC46" s="1"/>
      <c r="TDD46" s="1"/>
      <c r="TDE46" s="1"/>
      <c r="TDF46" s="1"/>
      <c r="TDG46" s="1"/>
      <c r="TDH46" s="1"/>
      <c r="TDI46" s="1"/>
      <c r="TDJ46" s="1"/>
      <c r="TDK46" s="1"/>
      <c r="TDL46" s="1"/>
      <c r="TDM46" s="1"/>
      <c r="TDN46" s="1"/>
      <c r="TDO46" s="1"/>
      <c r="TDP46" s="1"/>
      <c r="TDQ46" s="1"/>
      <c r="TDR46" s="1"/>
      <c r="TDS46" s="1"/>
      <c r="TDT46" s="1"/>
      <c r="TDU46" s="1"/>
      <c r="TDV46" s="1"/>
      <c r="TDW46" s="1"/>
      <c r="TDX46" s="1"/>
      <c r="TDY46" s="1"/>
      <c r="TDZ46" s="1"/>
      <c r="TEA46" s="1"/>
      <c r="TEB46" s="1"/>
      <c r="TEC46" s="1"/>
      <c r="TED46" s="1"/>
      <c r="TEE46" s="1"/>
      <c r="TEF46" s="1"/>
      <c r="TEG46" s="1"/>
      <c r="TEH46" s="1"/>
      <c r="TEI46" s="1"/>
      <c r="TEJ46" s="1"/>
      <c r="TEK46" s="1"/>
      <c r="TEL46" s="1"/>
      <c r="TEM46" s="1"/>
      <c r="TEN46" s="1"/>
      <c r="TEO46" s="1"/>
      <c r="TEP46" s="1"/>
      <c r="TEQ46" s="1"/>
      <c r="TER46" s="1"/>
      <c r="TES46" s="1"/>
      <c r="TET46" s="1"/>
      <c r="TEU46" s="1"/>
      <c r="TEV46" s="1"/>
      <c r="TEW46" s="1"/>
      <c r="TEX46" s="1"/>
      <c r="TEY46" s="1"/>
      <c r="TEZ46" s="1"/>
      <c r="TFA46" s="1"/>
      <c r="TFB46" s="1"/>
      <c r="TFC46" s="1"/>
      <c r="TFD46" s="1"/>
      <c r="TFE46" s="1"/>
      <c r="TFF46" s="1"/>
      <c r="TFG46" s="1"/>
      <c r="TFH46" s="1"/>
      <c r="TFI46" s="1"/>
      <c r="TFJ46" s="1"/>
      <c r="TFK46" s="1"/>
      <c r="TFL46" s="1"/>
      <c r="TFM46" s="1"/>
      <c r="TFN46" s="1"/>
      <c r="TFO46" s="1"/>
      <c r="TFP46" s="1"/>
      <c r="TFQ46" s="1"/>
      <c r="TFR46" s="1"/>
      <c r="TFS46" s="1"/>
      <c r="TFT46" s="1"/>
      <c r="TFU46" s="1"/>
      <c r="TFV46" s="1"/>
      <c r="TFW46" s="1"/>
      <c r="TFX46" s="1"/>
      <c r="TFY46" s="1"/>
      <c r="TFZ46" s="1"/>
      <c r="TGA46" s="1"/>
      <c r="TGB46" s="1"/>
      <c r="TGC46" s="1"/>
      <c r="TGD46" s="1"/>
      <c r="TGE46" s="1"/>
      <c r="TGF46" s="1"/>
      <c r="TGG46" s="1"/>
      <c r="TGH46" s="1"/>
      <c r="TGI46" s="1"/>
      <c r="TGJ46" s="1"/>
      <c r="TGK46" s="1"/>
      <c r="TGL46" s="1"/>
      <c r="TGM46" s="1"/>
      <c r="TGN46" s="1"/>
      <c r="TGO46" s="1"/>
      <c r="TGP46" s="1"/>
      <c r="TGQ46" s="1"/>
      <c r="TGR46" s="1"/>
      <c r="TGS46" s="1"/>
      <c r="TGT46" s="1"/>
      <c r="TGU46" s="1"/>
      <c r="TGV46" s="1"/>
      <c r="TGW46" s="1"/>
      <c r="TGX46" s="1"/>
      <c r="TGY46" s="1"/>
      <c r="TGZ46" s="1"/>
      <c r="THA46" s="1"/>
      <c r="THB46" s="1"/>
      <c r="THC46" s="1"/>
      <c r="THD46" s="1"/>
      <c r="THE46" s="1"/>
      <c r="THF46" s="1"/>
      <c r="THG46" s="1"/>
      <c r="THH46" s="1"/>
      <c r="THI46" s="1"/>
      <c r="THJ46" s="1"/>
      <c r="THK46" s="1"/>
      <c r="THL46" s="1"/>
      <c r="THM46" s="1"/>
      <c r="THN46" s="1"/>
      <c r="THO46" s="1"/>
      <c r="THP46" s="1"/>
      <c r="THQ46" s="1"/>
      <c r="THR46" s="1"/>
      <c r="THS46" s="1"/>
      <c r="THT46" s="1"/>
      <c r="THU46" s="1"/>
      <c r="THV46" s="1"/>
      <c r="THW46" s="1"/>
      <c r="THX46" s="1"/>
      <c r="THY46" s="1"/>
      <c r="THZ46" s="1"/>
      <c r="TIA46" s="1"/>
      <c r="TIB46" s="1"/>
      <c r="TIC46" s="1"/>
      <c r="TID46" s="1"/>
      <c r="TIE46" s="1"/>
      <c r="TIF46" s="1"/>
      <c r="TIG46" s="1"/>
      <c r="TIH46" s="1"/>
      <c r="TII46" s="1"/>
      <c r="TIJ46" s="1"/>
      <c r="TIK46" s="1"/>
      <c r="TIL46" s="1"/>
      <c r="TIM46" s="1"/>
      <c r="TIN46" s="1"/>
      <c r="TIO46" s="1"/>
      <c r="TIP46" s="1"/>
      <c r="TIQ46" s="1"/>
      <c r="TIR46" s="1"/>
      <c r="TIS46" s="1"/>
      <c r="TIT46" s="1"/>
      <c r="TIU46" s="1"/>
      <c r="TIV46" s="1"/>
      <c r="TIW46" s="1"/>
      <c r="TIX46" s="1"/>
      <c r="TIY46" s="1"/>
      <c r="TIZ46" s="1"/>
      <c r="TJA46" s="1"/>
      <c r="TJB46" s="1"/>
      <c r="TJC46" s="1"/>
      <c r="TJD46" s="1"/>
      <c r="TJE46" s="1"/>
      <c r="TJF46" s="1"/>
      <c r="TJG46" s="1"/>
      <c r="TJH46" s="1"/>
      <c r="TJI46" s="1"/>
      <c r="TJJ46" s="1"/>
      <c r="TJK46" s="1"/>
      <c r="TJL46" s="1"/>
      <c r="TJM46" s="1"/>
      <c r="TJN46" s="1"/>
      <c r="TJO46" s="1"/>
      <c r="TJP46" s="1"/>
      <c r="TJQ46" s="1"/>
      <c r="TJR46" s="1"/>
      <c r="TJS46" s="1"/>
      <c r="TJT46" s="1"/>
      <c r="TJU46" s="1"/>
      <c r="TJV46" s="1"/>
      <c r="TJW46" s="1"/>
      <c r="TJX46" s="1"/>
      <c r="TJY46" s="1"/>
      <c r="TJZ46" s="1"/>
      <c r="TKA46" s="1"/>
      <c r="TKB46" s="1"/>
      <c r="TKC46" s="1"/>
      <c r="TKD46" s="1"/>
      <c r="TKE46" s="1"/>
      <c r="TKF46" s="1"/>
      <c r="TKG46" s="1"/>
      <c r="TKH46" s="1"/>
      <c r="TKI46" s="1"/>
      <c r="TKJ46" s="1"/>
      <c r="TKK46" s="1"/>
      <c r="TKL46" s="1"/>
      <c r="TKM46" s="1"/>
      <c r="TKN46" s="1"/>
      <c r="TKO46" s="1"/>
      <c r="TKP46" s="1"/>
      <c r="TKQ46" s="1"/>
      <c r="TKR46" s="1"/>
      <c r="TKS46" s="1"/>
      <c r="TKT46" s="1"/>
      <c r="TKU46" s="1"/>
      <c r="TKV46" s="1"/>
      <c r="TKW46" s="1"/>
      <c r="TKX46" s="1"/>
      <c r="TKY46" s="1"/>
      <c r="TKZ46" s="1"/>
      <c r="TLA46" s="1"/>
      <c r="TLB46" s="1"/>
      <c r="TLC46" s="1"/>
      <c r="TLD46" s="1"/>
      <c r="TLE46" s="1"/>
      <c r="TLF46" s="1"/>
      <c r="TLG46" s="1"/>
      <c r="TLH46" s="1"/>
      <c r="TLI46" s="1"/>
      <c r="TLJ46" s="1"/>
      <c r="TLK46" s="1"/>
      <c r="TLL46" s="1"/>
      <c r="TLM46" s="1"/>
      <c r="TLN46" s="1"/>
      <c r="TLO46" s="1"/>
      <c r="TLP46" s="1"/>
      <c r="TLQ46" s="1"/>
      <c r="TLR46" s="1"/>
      <c r="TLS46" s="1"/>
      <c r="TLT46" s="1"/>
      <c r="TLU46" s="1"/>
      <c r="TLV46" s="1"/>
      <c r="TLW46" s="1"/>
      <c r="TLX46" s="1"/>
      <c r="TLY46" s="1"/>
      <c r="TLZ46" s="1"/>
      <c r="TMA46" s="1"/>
      <c r="TMB46" s="1"/>
      <c r="TMC46" s="1"/>
      <c r="TMD46" s="1"/>
      <c r="TME46" s="1"/>
      <c r="TMF46" s="1"/>
      <c r="TMG46" s="1"/>
      <c r="TMH46" s="1"/>
      <c r="TMI46" s="1"/>
      <c r="TMJ46" s="1"/>
      <c r="TMK46" s="1"/>
      <c r="TML46" s="1"/>
      <c r="TMM46" s="1"/>
      <c r="TMN46" s="1"/>
      <c r="TMO46" s="1"/>
      <c r="TMP46" s="1"/>
      <c r="TMQ46" s="1"/>
      <c r="TMR46" s="1"/>
      <c r="TMS46" s="1"/>
      <c r="TMT46" s="1"/>
      <c r="TMU46" s="1"/>
      <c r="TMV46" s="1"/>
      <c r="TMW46" s="1"/>
      <c r="TMX46" s="1"/>
      <c r="TMY46" s="1"/>
      <c r="TMZ46" s="1"/>
      <c r="TNA46" s="1"/>
      <c r="TNB46" s="1"/>
      <c r="TNC46" s="1"/>
      <c r="TND46" s="1"/>
      <c r="TNE46" s="1"/>
      <c r="TNF46" s="1"/>
      <c r="TNG46" s="1"/>
      <c r="TNH46" s="1"/>
      <c r="TNI46" s="1"/>
      <c r="TNJ46" s="1"/>
      <c r="TNK46" s="1"/>
      <c r="TNL46" s="1"/>
      <c r="TNM46" s="1"/>
      <c r="TNN46" s="1"/>
      <c r="TNO46" s="1"/>
      <c r="TNP46" s="1"/>
      <c r="TNQ46" s="1"/>
      <c r="TNR46" s="1"/>
      <c r="TNS46" s="1"/>
      <c r="TNT46" s="1"/>
      <c r="TNU46" s="1"/>
      <c r="TNV46" s="1"/>
      <c r="TNW46" s="1"/>
      <c r="TNX46" s="1"/>
      <c r="TNY46" s="1"/>
      <c r="TNZ46" s="1"/>
      <c r="TOA46" s="1"/>
      <c r="TOB46" s="1"/>
      <c r="TOC46" s="1"/>
      <c r="TOD46" s="1"/>
      <c r="TOE46" s="1"/>
      <c r="TOF46" s="1"/>
      <c r="TOG46" s="1"/>
      <c r="TOH46" s="1"/>
      <c r="TOI46" s="1"/>
      <c r="TOJ46" s="1"/>
      <c r="TOK46" s="1"/>
      <c r="TOL46" s="1"/>
      <c r="TOM46" s="1"/>
      <c r="TON46" s="1"/>
      <c r="TOO46" s="1"/>
      <c r="TOP46" s="1"/>
      <c r="TOQ46" s="1"/>
      <c r="TOR46" s="1"/>
      <c r="TOS46" s="1"/>
      <c r="TOT46" s="1"/>
      <c r="TOU46" s="1"/>
      <c r="TOV46" s="1"/>
      <c r="TOW46" s="1"/>
      <c r="TOX46" s="1"/>
      <c r="TOY46" s="1"/>
      <c r="TOZ46" s="1"/>
      <c r="TPA46" s="1"/>
      <c r="TPB46" s="1"/>
      <c r="TPC46" s="1"/>
      <c r="TPD46" s="1"/>
      <c r="TPE46" s="1"/>
      <c r="TPF46" s="1"/>
      <c r="TPG46" s="1"/>
      <c r="TPH46" s="1"/>
      <c r="TPI46" s="1"/>
      <c r="TPJ46" s="1"/>
      <c r="TPK46" s="1"/>
      <c r="TPL46" s="1"/>
      <c r="TPM46" s="1"/>
      <c r="TPN46" s="1"/>
      <c r="TPO46" s="1"/>
      <c r="TPP46" s="1"/>
      <c r="TPQ46" s="1"/>
      <c r="TPR46" s="1"/>
      <c r="TPS46" s="1"/>
      <c r="TPT46" s="1"/>
      <c r="TPU46" s="1"/>
      <c r="TPV46" s="1"/>
      <c r="TPW46" s="1"/>
      <c r="TPX46" s="1"/>
      <c r="TPY46" s="1"/>
      <c r="TPZ46" s="1"/>
      <c r="TQA46" s="1"/>
      <c r="TQB46" s="1"/>
      <c r="TQC46" s="1"/>
      <c r="TQD46" s="1"/>
      <c r="TQE46" s="1"/>
      <c r="TQF46" s="1"/>
      <c r="TQG46" s="1"/>
      <c r="TQH46" s="1"/>
      <c r="TQI46" s="1"/>
      <c r="TQJ46" s="1"/>
      <c r="TQK46" s="1"/>
      <c r="TQL46" s="1"/>
      <c r="TQM46" s="1"/>
      <c r="TQN46" s="1"/>
      <c r="TQO46" s="1"/>
      <c r="TQP46" s="1"/>
      <c r="TQQ46" s="1"/>
      <c r="TQR46" s="1"/>
      <c r="TQS46" s="1"/>
      <c r="TQT46" s="1"/>
      <c r="TQU46" s="1"/>
      <c r="TQV46" s="1"/>
      <c r="TQW46" s="1"/>
      <c r="TQX46" s="1"/>
      <c r="TQY46" s="1"/>
      <c r="TQZ46" s="1"/>
      <c r="TRA46" s="1"/>
      <c r="TRB46" s="1"/>
      <c r="TRC46" s="1"/>
      <c r="TRD46" s="1"/>
      <c r="TRE46" s="1"/>
      <c r="TRF46" s="1"/>
      <c r="TRG46" s="1"/>
      <c r="TRH46" s="1"/>
      <c r="TRI46" s="1"/>
      <c r="TRJ46" s="1"/>
      <c r="TRK46" s="1"/>
      <c r="TRL46" s="1"/>
      <c r="TRM46" s="1"/>
      <c r="TRN46" s="1"/>
      <c r="TRO46" s="1"/>
      <c r="TRP46" s="1"/>
      <c r="TRQ46" s="1"/>
      <c r="TRR46" s="1"/>
      <c r="TRS46" s="1"/>
      <c r="TRT46" s="1"/>
      <c r="TRU46" s="1"/>
      <c r="TRV46" s="1"/>
      <c r="TRW46" s="1"/>
      <c r="TRX46" s="1"/>
      <c r="TRY46" s="1"/>
      <c r="TRZ46" s="1"/>
      <c r="TSA46" s="1"/>
      <c r="TSB46" s="1"/>
      <c r="TSC46" s="1"/>
      <c r="TSD46" s="1"/>
      <c r="TSE46" s="1"/>
      <c r="TSF46" s="1"/>
      <c r="TSG46" s="1"/>
      <c r="TSH46" s="1"/>
      <c r="TSI46" s="1"/>
      <c r="TSJ46" s="1"/>
      <c r="TSK46" s="1"/>
      <c r="TSL46" s="1"/>
      <c r="TSM46" s="1"/>
      <c r="TSN46" s="1"/>
      <c r="TSO46" s="1"/>
      <c r="TSP46" s="1"/>
      <c r="TSQ46" s="1"/>
      <c r="TSR46" s="1"/>
      <c r="TSS46" s="1"/>
      <c r="TST46" s="1"/>
      <c r="TSU46" s="1"/>
      <c r="TSV46" s="1"/>
      <c r="TSW46" s="1"/>
      <c r="TSX46" s="1"/>
      <c r="TSY46" s="1"/>
      <c r="TSZ46" s="1"/>
      <c r="TTA46" s="1"/>
      <c r="TTB46" s="1"/>
      <c r="TTC46" s="1"/>
      <c r="TTD46" s="1"/>
      <c r="TTE46" s="1"/>
      <c r="TTF46" s="1"/>
      <c r="TTG46" s="1"/>
      <c r="TTH46" s="1"/>
      <c r="TTI46" s="1"/>
      <c r="TTJ46" s="1"/>
      <c r="TTK46" s="1"/>
      <c r="TTL46" s="1"/>
      <c r="TTM46" s="1"/>
      <c r="TTN46" s="1"/>
      <c r="TTO46" s="1"/>
      <c r="TTP46" s="1"/>
      <c r="TTQ46" s="1"/>
      <c r="TTR46" s="1"/>
      <c r="TTS46" s="1"/>
      <c r="TTT46" s="1"/>
      <c r="TTU46" s="1"/>
      <c r="TTV46" s="1"/>
      <c r="TTW46" s="1"/>
      <c r="TTX46" s="1"/>
      <c r="TTY46" s="1"/>
      <c r="TTZ46" s="1"/>
      <c r="TUA46" s="1"/>
      <c r="TUB46" s="1"/>
      <c r="TUC46" s="1"/>
      <c r="TUD46" s="1"/>
      <c r="TUE46" s="1"/>
      <c r="TUF46" s="1"/>
      <c r="TUG46" s="1"/>
      <c r="TUH46" s="1"/>
      <c r="TUI46" s="1"/>
      <c r="TUJ46" s="1"/>
      <c r="TUK46" s="1"/>
      <c r="TUL46" s="1"/>
      <c r="TUM46" s="1"/>
      <c r="TUN46" s="1"/>
      <c r="TUO46" s="1"/>
      <c r="TUP46" s="1"/>
      <c r="TUQ46" s="1"/>
      <c r="TUR46" s="1"/>
      <c r="TUS46" s="1"/>
      <c r="TUT46" s="1"/>
      <c r="TUU46" s="1"/>
      <c r="TUV46" s="1"/>
      <c r="TUW46" s="1"/>
      <c r="TUX46" s="1"/>
      <c r="TUY46" s="1"/>
      <c r="TUZ46" s="1"/>
      <c r="TVA46" s="1"/>
      <c r="TVB46" s="1"/>
      <c r="TVC46" s="1"/>
      <c r="TVD46" s="1"/>
      <c r="TVE46" s="1"/>
      <c r="TVF46" s="1"/>
      <c r="TVG46" s="1"/>
      <c r="TVH46" s="1"/>
      <c r="TVI46" s="1"/>
      <c r="TVJ46" s="1"/>
      <c r="TVK46" s="1"/>
      <c r="TVL46" s="1"/>
      <c r="TVM46" s="1"/>
      <c r="TVN46" s="1"/>
      <c r="TVO46" s="1"/>
      <c r="TVP46" s="1"/>
      <c r="TVQ46" s="1"/>
      <c r="TVR46" s="1"/>
      <c r="TVS46" s="1"/>
      <c r="TVT46" s="1"/>
      <c r="TVU46" s="1"/>
      <c r="TVV46" s="1"/>
      <c r="TVW46" s="1"/>
      <c r="TVX46" s="1"/>
      <c r="TVY46" s="1"/>
      <c r="TVZ46" s="1"/>
      <c r="TWA46" s="1"/>
      <c r="TWB46" s="1"/>
      <c r="TWC46" s="1"/>
      <c r="TWD46" s="1"/>
      <c r="TWE46" s="1"/>
      <c r="TWF46" s="1"/>
      <c r="TWG46" s="1"/>
      <c r="TWH46" s="1"/>
      <c r="TWI46" s="1"/>
      <c r="TWJ46" s="1"/>
      <c r="TWK46" s="1"/>
      <c r="TWL46" s="1"/>
      <c r="TWM46" s="1"/>
      <c r="TWN46" s="1"/>
      <c r="TWO46" s="1"/>
      <c r="TWP46" s="1"/>
      <c r="TWQ46" s="1"/>
      <c r="TWR46" s="1"/>
      <c r="TWS46" s="1"/>
      <c r="TWT46" s="1"/>
      <c r="TWU46" s="1"/>
      <c r="TWV46" s="1"/>
      <c r="TWW46" s="1"/>
      <c r="TWX46" s="1"/>
      <c r="TWY46" s="1"/>
      <c r="TWZ46" s="1"/>
      <c r="TXA46" s="1"/>
      <c r="TXB46" s="1"/>
      <c r="TXC46" s="1"/>
      <c r="TXD46" s="1"/>
      <c r="TXE46" s="1"/>
      <c r="TXF46" s="1"/>
      <c r="TXG46" s="1"/>
      <c r="TXH46" s="1"/>
      <c r="TXI46" s="1"/>
      <c r="TXJ46" s="1"/>
      <c r="TXK46" s="1"/>
      <c r="TXL46" s="1"/>
      <c r="TXM46" s="1"/>
      <c r="TXN46" s="1"/>
      <c r="TXO46" s="1"/>
      <c r="TXP46" s="1"/>
      <c r="TXQ46" s="1"/>
      <c r="TXR46" s="1"/>
      <c r="TXS46" s="1"/>
      <c r="TXT46" s="1"/>
      <c r="TXU46" s="1"/>
      <c r="TXV46" s="1"/>
      <c r="TXW46" s="1"/>
      <c r="TXX46" s="1"/>
      <c r="TXY46" s="1"/>
      <c r="TXZ46" s="1"/>
      <c r="TYA46" s="1"/>
      <c r="TYB46" s="1"/>
      <c r="TYC46" s="1"/>
      <c r="TYD46" s="1"/>
      <c r="TYE46" s="1"/>
      <c r="TYF46" s="1"/>
      <c r="TYG46" s="1"/>
      <c r="TYH46" s="1"/>
      <c r="TYI46" s="1"/>
      <c r="TYJ46" s="1"/>
      <c r="TYK46" s="1"/>
      <c r="TYL46" s="1"/>
      <c r="TYM46" s="1"/>
      <c r="TYN46" s="1"/>
      <c r="TYO46" s="1"/>
      <c r="TYP46" s="1"/>
      <c r="TYQ46" s="1"/>
      <c r="TYR46" s="1"/>
      <c r="TYS46" s="1"/>
      <c r="TYT46" s="1"/>
      <c r="TYU46" s="1"/>
      <c r="TYV46" s="1"/>
      <c r="TYW46" s="1"/>
      <c r="TYX46" s="1"/>
      <c r="TYY46" s="1"/>
      <c r="TYZ46" s="1"/>
      <c r="TZA46" s="1"/>
      <c r="TZB46" s="1"/>
      <c r="TZC46" s="1"/>
      <c r="TZD46" s="1"/>
      <c r="TZE46" s="1"/>
      <c r="TZF46" s="1"/>
      <c r="TZG46" s="1"/>
      <c r="TZH46" s="1"/>
      <c r="TZI46" s="1"/>
      <c r="TZJ46" s="1"/>
      <c r="TZK46" s="1"/>
      <c r="TZL46" s="1"/>
      <c r="TZM46" s="1"/>
      <c r="TZN46" s="1"/>
      <c r="TZO46" s="1"/>
      <c r="TZP46" s="1"/>
      <c r="TZQ46" s="1"/>
      <c r="TZR46" s="1"/>
      <c r="TZS46" s="1"/>
      <c r="TZT46" s="1"/>
      <c r="TZU46" s="1"/>
      <c r="TZV46" s="1"/>
      <c r="TZW46" s="1"/>
      <c r="TZX46" s="1"/>
      <c r="TZY46" s="1"/>
      <c r="TZZ46" s="1"/>
      <c r="UAA46" s="1"/>
      <c r="UAB46" s="1"/>
      <c r="UAC46" s="1"/>
      <c r="UAD46" s="1"/>
      <c r="UAE46" s="1"/>
      <c r="UAF46" s="1"/>
      <c r="UAG46" s="1"/>
      <c r="UAH46" s="1"/>
      <c r="UAI46" s="1"/>
      <c r="UAJ46" s="1"/>
      <c r="UAK46" s="1"/>
      <c r="UAL46" s="1"/>
      <c r="UAM46" s="1"/>
      <c r="UAN46" s="1"/>
      <c r="UAO46" s="1"/>
      <c r="UAP46" s="1"/>
      <c r="UAQ46" s="1"/>
      <c r="UAR46" s="1"/>
      <c r="UAS46" s="1"/>
      <c r="UAT46" s="1"/>
      <c r="UAU46" s="1"/>
      <c r="UAV46" s="1"/>
      <c r="UAW46" s="1"/>
      <c r="UAX46" s="1"/>
      <c r="UAY46" s="1"/>
      <c r="UAZ46" s="1"/>
      <c r="UBA46" s="1"/>
      <c r="UBB46" s="1"/>
      <c r="UBC46" s="1"/>
      <c r="UBD46" s="1"/>
      <c r="UBE46" s="1"/>
      <c r="UBF46" s="1"/>
      <c r="UBG46" s="1"/>
      <c r="UBH46" s="1"/>
      <c r="UBI46" s="1"/>
      <c r="UBJ46" s="1"/>
      <c r="UBK46" s="1"/>
      <c r="UBL46" s="1"/>
      <c r="UBM46" s="1"/>
      <c r="UBN46" s="1"/>
      <c r="UBO46" s="1"/>
      <c r="UBP46" s="1"/>
      <c r="UBQ46" s="1"/>
      <c r="UBR46" s="1"/>
      <c r="UBS46" s="1"/>
      <c r="UBT46" s="1"/>
      <c r="UBU46" s="1"/>
      <c r="UBV46" s="1"/>
      <c r="UBW46" s="1"/>
      <c r="UBX46" s="1"/>
      <c r="UBY46" s="1"/>
      <c r="UBZ46" s="1"/>
      <c r="UCA46" s="1"/>
      <c r="UCB46" s="1"/>
      <c r="UCC46" s="1"/>
      <c r="UCD46" s="1"/>
      <c r="UCE46" s="1"/>
      <c r="UCF46" s="1"/>
      <c r="UCG46" s="1"/>
      <c r="UCH46" s="1"/>
      <c r="UCI46" s="1"/>
      <c r="UCJ46" s="1"/>
      <c r="UCK46" s="1"/>
      <c r="UCL46" s="1"/>
      <c r="UCM46" s="1"/>
      <c r="UCN46" s="1"/>
      <c r="UCO46" s="1"/>
      <c r="UCP46" s="1"/>
      <c r="UCQ46" s="1"/>
      <c r="UCR46" s="1"/>
      <c r="UCS46" s="1"/>
      <c r="UCT46" s="1"/>
      <c r="UCU46" s="1"/>
      <c r="UCV46" s="1"/>
      <c r="UCW46" s="1"/>
      <c r="UCX46" s="1"/>
      <c r="UCY46" s="1"/>
      <c r="UCZ46" s="1"/>
      <c r="UDA46" s="1"/>
      <c r="UDB46" s="1"/>
      <c r="UDC46" s="1"/>
      <c r="UDD46" s="1"/>
      <c r="UDE46" s="1"/>
      <c r="UDF46" s="1"/>
      <c r="UDG46" s="1"/>
      <c r="UDH46" s="1"/>
      <c r="UDI46" s="1"/>
      <c r="UDJ46" s="1"/>
      <c r="UDK46" s="1"/>
      <c r="UDL46" s="1"/>
      <c r="UDM46" s="1"/>
      <c r="UDN46" s="1"/>
      <c r="UDO46" s="1"/>
      <c r="UDP46" s="1"/>
      <c r="UDQ46" s="1"/>
      <c r="UDR46" s="1"/>
      <c r="UDS46" s="1"/>
      <c r="UDT46" s="1"/>
      <c r="UDU46" s="1"/>
      <c r="UDV46" s="1"/>
      <c r="UDW46" s="1"/>
      <c r="UDX46" s="1"/>
      <c r="UDY46" s="1"/>
      <c r="UDZ46" s="1"/>
      <c r="UEA46" s="1"/>
      <c r="UEB46" s="1"/>
      <c r="UEC46" s="1"/>
      <c r="UED46" s="1"/>
      <c r="UEE46" s="1"/>
      <c r="UEF46" s="1"/>
      <c r="UEG46" s="1"/>
      <c r="UEH46" s="1"/>
      <c r="UEI46" s="1"/>
      <c r="UEJ46" s="1"/>
      <c r="UEK46" s="1"/>
      <c r="UEL46" s="1"/>
      <c r="UEM46" s="1"/>
      <c r="UEN46" s="1"/>
      <c r="UEO46" s="1"/>
      <c r="UEP46" s="1"/>
      <c r="UEQ46" s="1"/>
      <c r="UER46" s="1"/>
      <c r="UES46" s="1"/>
      <c r="UET46" s="1"/>
      <c r="UEU46" s="1"/>
      <c r="UEV46" s="1"/>
      <c r="UEW46" s="1"/>
      <c r="UEX46" s="1"/>
      <c r="UEY46" s="1"/>
      <c r="UEZ46" s="1"/>
      <c r="UFA46" s="1"/>
      <c r="UFB46" s="1"/>
      <c r="UFC46" s="1"/>
      <c r="UFD46" s="1"/>
      <c r="UFE46" s="1"/>
      <c r="UFF46" s="1"/>
      <c r="UFG46" s="1"/>
      <c r="UFH46" s="1"/>
      <c r="UFI46" s="1"/>
      <c r="UFJ46" s="1"/>
      <c r="UFK46" s="1"/>
      <c r="UFL46" s="1"/>
      <c r="UFM46" s="1"/>
      <c r="UFN46" s="1"/>
      <c r="UFO46" s="1"/>
      <c r="UFP46" s="1"/>
      <c r="UFQ46" s="1"/>
      <c r="UFR46" s="1"/>
      <c r="UFS46" s="1"/>
      <c r="UFT46" s="1"/>
      <c r="UFU46" s="1"/>
      <c r="UFV46" s="1"/>
      <c r="UFW46" s="1"/>
      <c r="UFX46" s="1"/>
      <c r="UFY46" s="1"/>
      <c r="UFZ46" s="1"/>
      <c r="UGA46" s="1"/>
      <c r="UGB46" s="1"/>
      <c r="UGC46" s="1"/>
      <c r="UGD46" s="1"/>
      <c r="UGE46" s="1"/>
      <c r="UGF46" s="1"/>
      <c r="UGG46" s="1"/>
      <c r="UGH46" s="1"/>
      <c r="UGI46" s="1"/>
      <c r="UGJ46" s="1"/>
      <c r="UGK46" s="1"/>
      <c r="UGL46" s="1"/>
      <c r="UGM46" s="1"/>
      <c r="UGN46" s="1"/>
      <c r="UGO46" s="1"/>
      <c r="UGP46" s="1"/>
      <c r="UGQ46" s="1"/>
      <c r="UGR46" s="1"/>
      <c r="UGS46" s="1"/>
      <c r="UGT46" s="1"/>
      <c r="UGU46" s="1"/>
      <c r="UGV46" s="1"/>
      <c r="UGW46" s="1"/>
      <c r="UGX46" s="1"/>
      <c r="UGY46" s="1"/>
      <c r="UGZ46" s="1"/>
      <c r="UHA46" s="1"/>
      <c r="UHB46" s="1"/>
      <c r="UHC46" s="1"/>
      <c r="UHD46" s="1"/>
      <c r="UHE46" s="1"/>
      <c r="UHF46" s="1"/>
      <c r="UHG46" s="1"/>
      <c r="UHH46" s="1"/>
      <c r="UHI46" s="1"/>
      <c r="UHJ46" s="1"/>
      <c r="UHK46" s="1"/>
      <c r="UHL46" s="1"/>
      <c r="UHM46" s="1"/>
      <c r="UHN46" s="1"/>
      <c r="UHO46" s="1"/>
      <c r="UHP46" s="1"/>
      <c r="UHQ46" s="1"/>
      <c r="UHR46" s="1"/>
      <c r="UHS46" s="1"/>
      <c r="UHT46" s="1"/>
      <c r="UHU46" s="1"/>
      <c r="UHV46" s="1"/>
      <c r="UHW46" s="1"/>
      <c r="UHX46" s="1"/>
      <c r="UHY46" s="1"/>
      <c r="UHZ46" s="1"/>
      <c r="UIA46" s="1"/>
      <c r="UIB46" s="1"/>
      <c r="UIC46" s="1"/>
      <c r="UID46" s="1"/>
      <c r="UIE46" s="1"/>
      <c r="UIF46" s="1"/>
      <c r="UIG46" s="1"/>
      <c r="UIH46" s="1"/>
      <c r="UII46" s="1"/>
      <c r="UIJ46" s="1"/>
      <c r="UIK46" s="1"/>
      <c r="UIL46" s="1"/>
      <c r="UIM46" s="1"/>
      <c r="UIN46" s="1"/>
      <c r="UIO46" s="1"/>
      <c r="UIP46" s="1"/>
      <c r="UIQ46" s="1"/>
      <c r="UIR46" s="1"/>
      <c r="UIS46" s="1"/>
      <c r="UIT46" s="1"/>
      <c r="UIU46" s="1"/>
      <c r="UIV46" s="1"/>
      <c r="UIW46" s="1"/>
      <c r="UIX46" s="1"/>
      <c r="UIY46" s="1"/>
      <c r="UIZ46" s="1"/>
      <c r="UJA46" s="1"/>
      <c r="UJB46" s="1"/>
      <c r="UJC46" s="1"/>
      <c r="UJD46" s="1"/>
      <c r="UJE46" s="1"/>
      <c r="UJF46" s="1"/>
      <c r="UJG46" s="1"/>
      <c r="UJH46" s="1"/>
      <c r="UJI46" s="1"/>
      <c r="UJJ46" s="1"/>
      <c r="UJK46" s="1"/>
      <c r="UJL46" s="1"/>
      <c r="UJM46" s="1"/>
      <c r="UJN46" s="1"/>
      <c r="UJO46" s="1"/>
      <c r="UJP46" s="1"/>
      <c r="UJQ46" s="1"/>
      <c r="UJR46" s="1"/>
      <c r="UJS46" s="1"/>
      <c r="UJT46" s="1"/>
      <c r="UJU46" s="1"/>
      <c r="UJV46" s="1"/>
      <c r="UJW46" s="1"/>
      <c r="UJX46" s="1"/>
      <c r="UJY46" s="1"/>
      <c r="UJZ46" s="1"/>
      <c r="UKA46" s="1"/>
      <c r="UKB46" s="1"/>
      <c r="UKC46" s="1"/>
      <c r="UKD46" s="1"/>
      <c r="UKE46" s="1"/>
      <c r="UKF46" s="1"/>
      <c r="UKG46" s="1"/>
      <c r="UKH46" s="1"/>
      <c r="UKI46" s="1"/>
      <c r="UKJ46" s="1"/>
      <c r="UKK46" s="1"/>
      <c r="UKL46" s="1"/>
      <c r="UKM46" s="1"/>
      <c r="UKN46" s="1"/>
      <c r="UKO46" s="1"/>
      <c r="UKP46" s="1"/>
      <c r="UKQ46" s="1"/>
      <c r="UKR46" s="1"/>
      <c r="UKS46" s="1"/>
      <c r="UKT46" s="1"/>
      <c r="UKU46" s="1"/>
      <c r="UKV46" s="1"/>
      <c r="UKW46" s="1"/>
      <c r="UKX46" s="1"/>
      <c r="UKY46" s="1"/>
      <c r="UKZ46" s="1"/>
      <c r="ULA46" s="1"/>
      <c r="ULB46" s="1"/>
      <c r="ULC46" s="1"/>
      <c r="ULD46" s="1"/>
      <c r="ULE46" s="1"/>
      <c r="ULF46" s="1"/>
      <c r="ULG46" s="1"/>
      <c r="ULH46" s="1"/>
      <c r="ULI46" s="1"/>
      <c r="ULJ46" s="1"/>
      <c r="ULK46" s="1"/>
      <c r="ULL46" s="1"/>
      <c r="ULM46" s="1"/>
      <c r="ULN46" s="1"/>
      <c r="ULO46" s="1"/>
      <c r="ULP46" s="1"/>
      <c r="ULQ46" s="1"/>
      <c r="ULR46" s="1"/>
      <c r="ULS46" s="1"/>
      <c r="ULT46" s="1"/>
      <c r="ULU46" s="1"/>
      <c r="ULV46" s="1"/>
      <c r="ULW46" s="1"/>
      <c r="ULX46" s="1"/>
      <c r="ULY46" s="1"/>
      <c r="ULZ46" s="1"/>
      <c r="UMA46" s="1"/>
      <c r="UMB46" s="1"/>
      <c r="UMC46" s="1"/>
      <c r="UMD46" s="1"/>
      <c r="UME46" s="1"/>
      <c r="UMF46" s="1"/>
      <c r="UMG46" s="1"/>
      <c r="UMH46" s="1"/>
      <c r="UMI46" s="1"/>
      <c r="UMJ46" s="1"/>
      <c r="UMK46" s="1"/>
      <c r="UML46" s="1"/>
      <c r="UMM46" s="1"/>
      <c r="UMN46" s="1"/>
      <c r="UMO46" s="1"/>
      <c r="UMP46" s="1"/>
      <c r="UMQ46" s="1"/>
      <c r="UMR46" s="1"/>
      <c r="UMS46" s="1"/>
      <c r="UMT46" s="1"/>
      <c r="UMU46" s="1"/>
      <c r="UMV46" s="1"/>
      <c r="UMW46" s="1"/>
      <c r="UMX46" s="1"/>
      <c r="UMY46" s="1"/>
      <c r="UMZ46" s="1"/>
      <c r="UNA46" s="1"/>
      <c r="UNB46" s="1"/>
      <c r="UNC46" s="1"/>
      <c r="UND46" s="1"/>
      <c r="UNE46" s="1"/>
      <c r="UNF46" s="1"/>
      <c r="UNG46" s="1"/>
      <c r="UNH46" s="1"/>
      <c r="UNI46" s="1"/>
      <c r="UNJ46" s="1"/>
      <c r="UNK46" s="1"/>
      <c r="UNL46" s="1"/>
      <c r="UNM46" s="1"/>
      <c r="UNN46" s="1"/>
      <c r="UNO46" s="1"/>
      <c r="UNP46" s="1"/>
      <c r="UNQ46" s="1"/>
      <c r="UNR46" s="1"/>
      <c r="UNS46" s="1"/>
      <c r="UNT46" s="1"/>
      <c r="UNU46" s="1"/>
      <c r="UNV46" s="1"/>
      <c r="UNW46" s="1"/>
      <c r="UNX46" s="1"/>
      <c r="UNY46" s="1"/>
      <c r="UNZ46" s="1"/>
      <c r="UOA46" s="1"/>
      <c r="UOB46" s="1"/>
      <c r="UOC46" s="1"/>
      <c r="UOD46" s="1"/>
      <c r="UOE46" s="1"/>
      <c r="UOF46" s="1"/>
      <c r="UOG46" s="1"/>
      <c r="UOH46" s="1"/>
      <c r="UOI46" s="1"/>
      <c r="UOJ46" s="1"/>
      <c r="UOK46" s="1"/>
      <c r="UOL46" s="1"/>
      <c r="UOM46" s="1"/>
      <c r="UON46" s="1"/>
      <c r="UOO46" s="1"/>
      <c r="UOP46" s="1"/>
      <c r="UOQ46" s="1"/>
      <c r="UOR46" s="1"/>
      <c r="UOS46" s="1"/>
      <c r="UOT46" s="1"/>
      <c r="UOU46" s="1"/>
      <c r="UOV46" s="1"/>
      <c r="UOW46" s="1"/>
      <c r="UOX46" s="1"/>
      <c r="UOY46" s="1"/>
      <c r="UOZ46" s="1"/>
      <c r="UPA46" s="1"/>
      <c r="UPB46" s="1"/>
      <c r="UPC46" s="1"/>
      <c r="UPD46" s="1"/>
      <c r="UPE46" s="1"/>
      <c r="UPF46" s="1"/>
      <c r="UPG46" s="1"/>
      <c r="UPH46" s="1"/>
      <c r="UPI46" s="1"/>
      <c r="UPJ46" s="1"/>
      <c r="UPK46" s="1"/>
      <c r="UPL46" s="1"/>
      <c r="UPM46" s="1"/>
      <c r="UPN46" s="1"/>
      <c r="UPO46" s="1"/>
      <c r="UPP46" s="1"/>
      <c r="UPQ46" s="1"/>
      <c r="UPR46" s="1"/>
      <c r="UPS46" s="1"/>
      <c r="UPT46" s="1"/>
      <c r="UPU46" s="1"/>
      <c r="UPV46" s="1"/>
      <c r="UPW46" s="1"/>
      <c r="UPX46" s="1"/>
      <c r="UPY46" s="1"/>
      <c r="UPZ46" s="1"/>
      <c r="UQA46" s="1"/>
      <c r="UQB46" s="1"/>
      <c r="UQC46" s="1"/>
      <c r="UQD46" s="1"/>
      <c r="UQE46" s="1"/>
      <c r="UQF46" s="1"/>
      <c r="UQG46" s="1"/>
      <c r="UQH46" s="1"/>
      <c r="UQI46" s="1"/>
      <c r="UQJ46" s="1"/>
      <c r="UQK46" s="1"/>
      <c r="UQL46" s="1"/>
      <c r="UQM46" s="1"/>
      <c r="UQN46" s="1"/>
      <c r="UQO46" s="1"/>
      <c r="UQP46" s="1"/>
      <c r="UQQ46" s="1"/>
      <c r="UQR46" s="1"/>
      <c r="UQS46" s="1"/>
      <c r="UQT46" s="1"/>
      <c r="UQU46" s="1"/>
      <c r="UQV46" s="1"/>
      <c r="UQW46" s="1"/>
      <c r="UQX46" s="1"/>
      <c r="UQY46" s="1"/>
      <c r="UQZ46" s="1"/>
      <c r="URA46" s="1"/>
      <c r="URB46" s="1"/>
      <c r="URC46" s="1"/>
      <c r="URD46" s="1"/>
      <c r="URE46" s="1"/>
      <c r="URF46" s="1"/>
      <c r="URG46" s="1"/>
      <c r="URH46" s="1"/>
      <c r="URI46" s="1"/>
      <c r="URJ46" s="1"/>
      <c r="URK46" s="1"/>
      <c r="URL46" s="1"/>
      <c r="URM46" s="1"/>
      <c r="URN46" s="1"/>
      <c r="URO46" s="1"/>
      <c r="URP46" s="1"/>
      <c r="URQ46" s="1"/>
      <c r="URR46" s="1"/>
      <c r="URS46" s="1"/>
      <c r="URT46" s="1"/>
      <c r="URU46" s="1"/>
      <c r="URV46" s="1"/>
      <c r="URW46" s="1"/>
      <c r="URX46" s="1"/>
      <c r="URY46" s="1"/>
      <c r="URZ46" s="1"/>
      <c r="USA46" s="1"/>
      <c r="USB46" s="1"/>
      <c r="USC46" s="1"/>
      <c r="USD46" s="1"/>
      <c r="USE46" s="1"/>
      <c r="USF46" s="1"/>
      <c r="USG46" s="1"/>
      <c r="USH46" s="1"/>
      <c r="USI46" s="1"/>
      <c r="USJ46" s="1"/>
      <c r="USK46" s="1"/>
      <c r="USL46" s="1"/>
      <c r="USM46" s="1"/>
      <c r="USN46" s="1"/>
      <c r="USO46" s="1"/>
      <c r="USP46" s="1"/>
      <c r="USQ46" s="1"/>
      <c r="USR46" s="1"/>
      <c r="USS46" s="1"/>
      <c r="UST46" s="1"/>
      <c r="USU46" s="1"/>
      <c r="USV46" s="1"/>
      <c r="USW46" s="1"/>
      <c r="USX46" s="1"/>
      <c r="USY46" s="1"/>
      <c r="USZ46" s="1"/>
      <c r="UTA46" s="1"/>
      <c r="UTB46" s="1"/>
      <c r="UTC46" s="1"/>
      <c r="UTD46" s="1"/>
      <c r="UTE46" s="1"/>
      <c r="UTF46" s="1"/>
      <c r="UTG46" s="1"/>
      <c r="UTH46" s="1"/>
      <c r="UTI46" s="1"/>
      <c r="UTJ46" s="1"/>
      <c r="UTK46" s="1"/>
      <c r="UTL46" s="1"/>
      <c r="UTM46" s="1"/>
      <c r="UTN46" s="1"/>
      <c r="UTO46" s="1"/>
      <c r="UTP46" s="1"/>
      <c r="UTQ46" s="1"/>
      <c r="UTR46" s="1"/>
      <c r="UTS46" s="1"/>
      <c r="UTT46" s="1"/>
      <c r="UTU46" s="1"/>
      <c r="UTV46" s="1"/>
      <c r="UTW46" s="1"/>
      <c r="UTX46" s="1"/>
      <c r="UTY46" s="1"/>
      <c r="UTZ46" s="1"/>
      <c r="UUA46" s="1"/>
      <c r="UUB46" s="1"/>
      <c r="UUC46" s="1"/>
      <c r="UUD46" s="1"/>
      <c r="UUE46" s="1"/>
      <c r="UUF46" s="1"/>
      <c r="UUG46" s="1"/>
      <c r="UUH46" s="1"/>
      <c r="UUI46" s="1"/>
      <c r="UUJ46" s="1"/>
      <c r="UUK46" s="1"/>
      <c r="UUL46" s="1"/>
      <c r="UUM46" s="1"/>
      <c r="UUN46" s="1"/>
      <c r="UUO46" s="1"/>
      <c r="UUP46" s="1"/>
      <c r="UUQ46" s="1"/>
      <c r="UUR46" s="1"/>
      <c r="UUS46" s="1"/>
      <c r="UUT46" s="1"/>
      <c r="UUU46" s="1"/>
      <c r="UUV46" s="1"/>
      <c r="UUW46" s="1"/>
      <c r="UUX46" s="1"/>
      <c r="UUY46" s="1"/>
      <c r="UUZ46" s="1"/>
      <c r="UVA46" s="1"/>
      <c r="UVB46" s="1"/>
      <c r="UVC46" s="1"/>
      <c r="UVD46" s="1"/>
      <c r="UVE46" s="1"/>
      <c r="UVF46" s="1"/>
      <c r="UVG46" s="1"/>
      <c r="UVH46" s="1"/>
      <c r="UVI46" s="1"/>
      <c r="UVJ46" s="1"/>
      <c r="UVK46" s="1"/>
      <c r="UVL46" s="1"/>
      <c r="UVM46" s="1"/>
      <c r="UVN46" s="1"/>
      <c r="UVO46" s="1"/>
      <c r="UVP46" s="1"/>
      <c r="UVQ46" s="1"/>
      <c r="UVR46" s="1"/>
      <c r="UVS46" s="1"/>
      <c r="UVT46" s="1"/>
      <c r="UVU46" s="1"/>
      <c r="UVV46" s="1"/>
      <c r="UVW46" s="1"/>
      <c r="UVX46" s="1"/>
      <c r="UVY46" s="1"/>
      <c r="UVZ46" s="1"/>
      <c r="UWA46" s="1"/>
      <c r="UWB46" s="1"/>
      <c r="UWC46" s="1"/>
      <c r="UWD46" s="1"/>
      <c r="UWE46" s="1"/>
      <c r="UWF46" s="1"/>
      <c r="UWG46" s="1"/>
      <c r="UWH46" s="1"/>
      <c r="UWI46" s="1"/>
      <c r="UWJ46" s="1"/>
      <c r="UWK46" s="1"/>
      <c r="UWL46" s="1"/>
      <c r="UWM46" s="1"/>
      <c r="UWN46" s="1"/>
      <c r="UWO46" s="1"/>
      <c r="UWP46" s="1"/>
      <c r="UWQ46" s="1"/>
      <c r="UWR46" s="1"/>
      <c r="UWS46" s="1"/>
      <c r="UWT46" s="1"/>
      <c r="UWU46" s="1"/>
      <c r="UWV46" s="1"/>
      <c r="UWW46" s="1"/>
      <c r="UWX46" s="1"/>
      <c r="UWY46" s="1"/>
      <c r="UWZ46" s="1"/>
      <c r="UXA46" s="1"/>
      <c r="UXB46" s="1"/>
      <c r="UXC46" s="1"/>
      <c r="UXD46" s="1"/>
      <c r="UXE46" s="1"/>
      <c r="UXF46" s="1"/>
      <c r="UXG46" s="1"/>
      <c r="UXH46" s="1"/>
      <c r="UXI46" s="1"/>
      <c r="UXJ46" s="1"/>
      <c r="UXK46" s="1"/>
      <c r="UXL46" s="1"/>
      <c r="UXM46" s="1"/>
      <c r="UXN46" s="1"/>
      <c r="UXO46" s="1"/>
      <c r="UXP46" s="1"/>
      <c r="UXQ46" s="1"/>
      <c r="UXR46" s="1"/>
      <c r="UXS46" s="1"/>
      <c r="UXT46" s="1"/>
      <c r="UXU46" s="1"/>
      <c r="UXV46" s="1"/>
      <c r="UXW46" s="1"/>
      <c r="UXX46" s="1"/>
      <c r="UXY46" s="1"/>
      <c r="UXZ46" s="1"/>
      <c r="UYA46" s="1"/>
      <c r="UYB46" s="1"/>
      <c r="UYC46" s="1"/>
      <c r="UYD46" s="1"/>
      <c r="UYE46" s="1"/>
      <c r="UYF46" s="1"/>
      <c r="UYG46" s="1"/>
      <c r="UYH46" s="1"/>
      <c r="UYI46" s="1"/>
      <c r="UYJ46" s="1"/>
      <c r="UYK46" s="1"/>
      <c r="UYL46" s="1"/>
      <c r="UYM46" s="1"/>
      <c r="UYN46" s="1"/>
      <c r="UYO46" s="1"/>
      <c r="UYP46" s="1"/>
      <c r="UYQ46" s="1"/>
      <c r="UYR46" s="1"/>
      <c r="UYS46" s="1"/>
      <c r="UYT46" s="1"/>
      <c r="UYU46" s="1"/>
      <c r="UYV46" s="1"/>
      <c r="UYW46" s="1"/>
      <c r="UYX46" s="1"/>
      <c r="UYY46" s="1"/>
      <c r="UYZ46" s="1"/>
      <c r="UZA46" s="1"/>
      <c r="UZB46" s="1"/>
      <c r="UZC46" s="1"/>
      <c r="UZD46" s="1"/>
      <c r="UZE46" s="1"/>
      <c r="UZF46" s="1"/>
      <c r="UZG46" s="1"/>
      <c r="UZH46" s="1"/>
      <c r="UZI46" s="1"/>
      <c r="UZJ46" s="1"/>
      <c r="UZK46" s="1"/>
      <c r="UZL46" s="1"/>
      <c r="UZM46" s="1"/>
      <c r="UZN46" s="1"/>
      <c r="UZO46" s="1"/>
      <c r="UZP46" s="1"/>
      <c r="UZQ46" s="1"/>
      <c r="UZR46" s="1"/>
      <c r="UZS46" s="1"/>
      <c r="UZT46" s="1"/>
      <c r="UZU46" s="1"/>
      <c r="UZV46" s="1"/>
      <c r="UZW46" s="1"/>
      <c r="UZX46" s="1"/>
      <c r="UZY46" s="1"/>
      <c r="UZZ46" s="1"/>
      <c r="VAA46" s="1"/>
      <c r="VAB46" s="1"/>
      <c r="VAC46" s="1"/>
      <c r="VAD46" s="1"/>
      <c r="VAE46" s="1"/>
      <c r="VAF46" s="1"/>
      <c r="VAG46" s="1"/>
      <c r="VAH46" s="1"/>
      <c r="VAI46" s="1"/>
      <c r="VAJ46" s="1"/>
      <c r="VAK46" s="1"/>
      <c r="VAL46" s="1"/>
      <c r="VAM46" s="1"/>
      <c r="VAN46" s="1"/>
      <c r="VAO46" s="1"/>
      <c r="VAP46" s="1"/>
      <c r="VAQ46" s="1"/>
      <c r="VAR46" s="1"/>
      <c r="VAS46" s="1"/>
      <c r="VAT46" s="1"/>
      <c r="VAU46" s="1"/>
      <c r="VAV46" s="1"/>
      <c r="VAW46" s="1"/>
      <c r="VAX46" s="1"/>
      <c r="VAY46" s="1"/>
      <c r="VAZ46" s="1"/>
      <c r="VBA46" s="1"/>
      <c r="VBB46" s="1"/>
      <c r="VBC46" s="1"/>
      <c r="VBD46" s="1"/>
      <c r="VBE46" s="1"/>
      <c r="VBF46" s="1"/>
      <c r="VBG46" s="1"/>
      <c r="VBH46" s="1"/>
      <c r="VBI46" s="1"/>
      <c r="VBJ46" s="1"/>
      <c r="VBK46" s="1"/>
      <c r="VBL46" s="1"/>
      <c r="VBM46" s="1"/>
      <c r="VBN46" s="1"/>
      <c r="VBO46" s="1"/>
      <c r="VBP46" s="1"/>
      <c r="VBQ46" s="1"/>
      <c r="VBR46" s="1"/>
      <c r="VBS46" s="1"/>
      <c r="VBT46" s="1"/>
      <c r="VBU46" s="1"/>
      <c r="VBV46" s="1"/>
      <c r="VBW46" s="1"/>
      <c r="VBX46" s="1"/>
      <c r="VBY46" s="1"/>
      <c r="VBZ46" s="1"/>
      <c r="VCA46" s="1"/>
      <c r="VCB46" s="1"/>
      <c r="VCC46" s="1"/>
      <c r="VCD46" s="1"/>
      <c r="VCE46" s="1"/>
      <c r="VCF46" s="1"/>
      <c r="VCG46" s="1"/>
      <c r="VCH46" s="1"/>
      <c r="VCI46" s="1"/>
      <c r="VCJ46" s="1"/>
      <c r="VCK46" s="1"/>
      <c r="VCL46" s="1"/>
      <c r="VCM46" s="1"/>
      <c r="VCN46" s="1"/>
      <c r="VCO46" s="1"/>
      <c r="VCP46" s="1"/>
      <c r="VCQ46" s="1"/>
      <c r="VCR46" s="1"/>
      <c r="VCS46" s="1"/>
      <c r="VCT46" s="1"/>
      <c r="VCU46" s="1"/>
      <c r="VCV46" s="1"/>
      <c r="VCW46" s="1"/>
      <c r="VCX46" s="1"/>
      <c r="VCY46" s="1"/>
      <c r="VCZ46" s="1"/>
      <c r="VDA46" s="1"/>
      <c r="VDB46" s="1"/>
      <c r="VDC46" s="1"/>
      <c r="VDD46" s="1"/>
      <c r="VDE46" s="1"/>
      <c r="VDF46" s="1"/>
      <c r="VDG46" s="1"/>
      <c r="VDH46" s="1"/>
      <c r="VDI46" s="1"/>
      <c r="VDJ46" s="1"/>
      <c r="VDK46" s="1"/>
      <c r="VDL46" s="1"/>
      <c r="VDM46" s="1"/>
      <c r="VDN46" s="1"/>
      <c r="VDO46" s="1"/>
      <c r="VDP46" s="1"/>
      <c r="VDQ46" s="1"/>
      <c r="VDR46" s="1"/>
      <c r="VDS46" s="1"/>
      <c r="VDT46" s="1"/>
      <c r="VDU46" s="1"/>
      <c r="VDV46" s="1"/>
      <c r="VDW46" s="1"/>
      <c r="VDX46" s="1"/>
      <c r="VDY46" s="1"/>
      <c r="VDZ46" s="1"/>
      <c r="VEA46" s="1"/>
      <c r="VEB46" s="1"/>
      <c r="VEC46" s="1"/>
      <c r="VED46" s="1"/>
      <c r="VEE46" s="1"/>
      <c r="VEF46" s="1"/>
      <c r="VEG46" s="1"/>
      <c r="VEH46" s="1"/>
      <c r="VEI46" s="1"/>
      <c r="VEJ46" s="1"/>
      <c r="VEK46" s="1"/>
      <c r="VEL46" s="1"/>
      <c r="VEM46" s="1"/>
      <c r="VEN46" s="1"/>
      <c r="VEO46" s="1"/>
      <c r="VEP46" s="1"/>
      <c r="VEQ46" s="1"/>
      <c r="VER46" s="1"/>
      <c r="VES46" s="1"/>
      <c r="VET46" s="1"/>
      <c r="VEU46" s="1"/>
      <c r="VEV46" s="1"/>
      <c r="VEW46" s="1"/>
      <c r="VEX46" s="1"/>
      <c r="VEY46" s="1"/>
      <c r="VEZ46" s="1"/>
      <c r="VFA46" s="1"/>
      <c r="VFB46" s="1"/>
      <c r="VFC46" s="1"/>
      <c r="VFD46" s="1"/>
      <c r="VFE46" s="1"/>
      <c r="VFF46" s="1"/>
      <c r="VFG46" s="1"/>
      <c r="VFH46" s="1"/>
      <c r="VFI46" s="1"/>
      <c r="VFJ46" s="1"/>
      <c r="VFK46" s="1"/>
      <c r="VFL46" s="1"/>
      <c r="VFM46" s="1"/>
      <c r="VFN46" s="1"/>
      <c r="VFO46" s="1"/>
      <c r="VFP46" s="1"/>
      <c r="VFQ46" s="1"/>
      <c r="VFR46" s="1"/>
      <c r="VFS46" s="1"/>
      <c r="VFT46" s="1"/>
      <c r="VFU46" s="1"/>
      <c r="VFV46" s="1"/>
      <c r="VFW46" s="1"/>
      <c r="VFX46" s="1"/>
      <c r="VFY46" s="1"/>
      <c r="VFZ46" s="1"/>
      <c r="VGA46" s="1"/>
      <c r="VGB46" s="1"/>
      <c r="VGC46" s="1"/>
      <c r="VGD46" s="1"/>
      <c r="VGE46" s="1"/>
      <c r="VGF46" s="1"/>
      <c r="VGG46" s="1"/>
      <c r="VGH46" s="1"/>
      <c r="VGI46" s="1"/>
      <c r="VGJ46" s="1"/>
      <c r="VGK46" s="1"/>
      <c r="VGL46" s="1"/>
      <c r="VGM46" s="1"/>
      <c r="VGN46" s="1"/>
      <c r="VGO46" s="1"/>
      <c r="VGP46" s="1"/>
      <c r="VGQ46" s="1"/>
      <c r="VGR46" s="1"/>
      <c r="VGS46" s="1"/>
      <c r="VGT46" s="1"/>
      <c r="VGU46" s="1"/>
      <c r="VGV46" s="1"/>
      <c r="VGW46" s="1"/>
      <c r="VGX46" s="1"/>
      <c r="VGY46" s="1"/>
      <c r="VGZ46" s="1"/>
      <c r="VHA46" s="1"/>
      <c r="VHB46" s="1"/>
      <c r="VHC46" s="1"/>
      <c r="VHD46" s="1"/>
      <c r="VHE46" s="1"/>
      <c r="VHF46" s="1"/>
      <c r="VHG46" s="1"/>
      <c r="VHH46" s="1"/>
      <c r="VHI46" s="1"/>
      <c r="VHJ46" s="1"/>
      <c r="VHK46" s="1"/>
      <c r="VHL46" s="1"/>
      <c r="VHM46" s="1"/>
      <c r="VHN46" s="1"/>
      <c r="VHO46" s="1"/>
      <c r="VHP46" s="1"/>
      <c r="VHQ46" s="1"/>
      <c r="VHR46" s="1"/>
      <c r="VHS46" s="1"/>
      <c r="VHT46" s="1"/>
      <c r="VHU46" s="1"/>
      <c r="VHV46" s="1"/>
      <c r="VHW46" s="1"/>
      <c r="VHX46" s="1"/>
      <c r="VHY46" s="1"/>
      <c r="VHZ46" s="1"/>
      <c r="VIA46" s="1"/>
      <c r="VIB46" s="1"/>
      <c r="VIC46" s="1"/>
      <c r="VID46" s="1"/>
      <c r="VIE46" s="1"/>
      <c r="VIF46" s="1"/>
      <c r="VIG46" s="1"/>
      <c r="VIH46" s="1"/>
      <c r="VII46" s="1"/>
      <c r="VIJ46" s="1"/>
      <c r="VIK46" s="1"/>
      <c r="VIL46" s="1"/>
      <c r="VIM46" s="1"/>
      <c r="VIN46" s="1"/>
      <c r="VIO46" s="1"/>
      <c r="VIP46" s="1"/>
      <c r="VIQ46" s="1"/>
      <c r="VIR46" s="1"/>
      <c r="VIS46" s="1"/>
      <c r="VIT46" s="1"/>
      <c r="VIU46" s="1"/>
      <c r="VIV46" s="1"/>
      <c r="VIW46" s="1"/>
      <c r="VIX46" s="1"/>
      <c r="VIY46" s="1"/>
      <c r="VIZ46" s="1"/>
      <c r="VJA46" s="1"/>
      <c r="VJB46" s="1"/>
      <c r="VJC46" s="1"/>
      <c r="VJD46" s="1"/>
      <c r="VJE46" s="1"/>
      <c r="VJF46" s="1"/>
      <c r="VJG46" s="1"/>
      <c r="VJH46" s="1"/>
      <c r="VJI46" s="1"/>
      <c r="VJJ46" s="1"/>
      <c r="VJK46" s="1"/>
      <c r="VJL46" s="1"/>
      <c r="VJM46" s="1"/>
      <c r="VJN46" s="1"/>
      <c r="VJO46" s="1"/>
      <c r="VJP46" s="1"/>
      <c r="VJQ46" s="1"/>
      <c r="VJR46" s="1"/>
      <c r="VJS46" s="1"/>
      <c r="VJT46" s="1"/>
      <c r="VJU46" s="1"/>
      <c r="VJV46" s="1"/>
      <c r="VJW46" s="1"/>
      <c r="VJX46" s="1"/>
      <c r="VJY46" s="1"/>
      <c r="VJZ46" s="1"/>
      <c r="VKA46" s="1"/>
      <c r="VKB46" s="1"/>
      <c r="VKC46" s="1"/>
      <c r="VKD46" s="1"/>
      <c r="VKE46" s="1"/>
      <c r="VKF46" s="1"/>
      <c r="VKG46" s="1"/>
      <c r="VKH46" s="1"/>
      <c r="VKI46" s="1"/>
      <c r="VKJ46" s="1"/>
      <c r="VKK46" s="1"/>
      <c r="VKL46" s="1"/>
      <c r="VKM46" s="1"/>
      <c r="VKN46" s="1"/>
      <c r="VKO46" s="1"/>
      <c r="VKP46" s="1"/>
      <c r="VKQ46" s="1"/>
      <c r="VKR46" s="1"/>
      <c r="VKS46" s="1"/>
      <c r="VKT46" s="1"/>
      <c r="VKU46" s="1"/>
      <c r="VKV46" s="1"/>
      <c r="VKW46" s="1"/>
      <c r="VKX46" s="1"/>
      <c r="VKY46" s="1"/>
      <c r="VKZ46" s="1"/>
      <c r="VLA46" s="1"/>
      <c r="VLB46" s="1"/>
      <c r="VLC46" s="1"/>
      <c r="VLD46" s="1"/>
      <c r="VLE46" s="1"/>
      <c r="VLF46" s="1"/>
      <c r="VLG46" s="1"/>
      <c r="VLH46" s="1"/>
      <c r="VLI46" s="1"/>
      <c r="VLJ46" s="1"/>
      <c r="VLK46" s="1"/>
      <c r="VLL46" s="1"/>
      <c r="VLM46" s="1"/>
      <c r="VLN46" s="1"/>
      <c r="VLO46" s="1"/>
      <c r="VLP46" s="1"/>
      <c r="VLQ46" s="1"/>
      <c r="VLR46" s="1"/>
      <c r="VLS46" s="1"/>
      <c r="VLT46" s="1"/>
      <c r="VLU46" s="1"/>
      <c r="VLV46" s="1"/>
      <c r="VLW46" s="1"/>
      <c r="VLX46" s="1"/>
      <c r="VLY46" s="1"/>
      <c r="VLZ46" s="1"/>
      <c r="VMA46" s="1"/>
      <c r="VMB46" s="1"/>
      <c r="VMC46" s="1"/>
      <c r="VMD46" s="1"/>
      <c r="VME46" s="1"/>
      <c r="VMF46" s="1"/>
      <c r="VMG46" s="1"/>
      <c r="VMH46" s="1"/>
      <c r="VMI46" s="1"/>
      <c r="VMJ46" s="1"/>
      <c r="VMK46" s="1"/>
      <c r="VML46" s="1"/>
      <c r="VMM46" s="1"/>
      <c r="VMN46" s="1"/>
      <c r="VMO46" s="1"/>
      <c r="VMP46" s="1"/>
      <c r="VMQ46" s="1"/>
      <c r="VMR46" s="1"/>
      <c r="VMS46" s="1"/>
      <c r="VMT46" s="1"/>
      <c r="VMU46" s="1"/>
      <c r="VMV46" s="1"/>
      <c r="VMW46" s="1"/>
      <c r="VMX46" s="1"/>
      <c r="VMY46" s="1"/>
      <c r="VMZ46" s="1"/>
      <c r="VNA46" s="1"/>
      <c r="VNB46" s="1"/>
      <c r="VNC46" s="1"/>
      <c r="VND46" s="1"/>
      <c r="VNE46" s="1"/>
      <c r="VNF46" s="1"/>
      <c r="VNG46" s="1"/>
      <c r="VNH46" s="1"/>
      <c r="VNI46" s="1"/>
      <c r="VNJ46" s="1"/>
      <c r="VNK46" s="1"/>
      <c r="VNL46" s="1"/>
      <c r="VNM46" s="1"/>
      <c r="VNN46" s="1"/>
      <c r="VNO46" s="1"/>
      <c r="VNP46" s="1"/>
      <c r="VNQ46" s="1"/>
      <c r="VNR46" s="1"/>
      <c r="VNS46" s="1"/>
      <c r="VNT46" s="1"/>
      <c r="VNU46" s="1"/>
      <c r="VNV46" s="1"/>
      <c r="VNW46" s="1"/>
      <c r="VNX46" s="1"/>
      <c r="VNY46" s="1"/>
      <c r="VNZ46" s="1"/>
      <c r="VOA46" s="1"/>
      <c r="VOB46" s="1"/>
      <c r="VOC46" s="1"/>
      <c r="VOD46" s="1"/>
      <c r="VOE46" s="1"/>
      <c r="VOF46" s="1"/>
      <c r="VOG46" s="1"/>
      <c r="VOH46" s="1"/>
      <c r="VOI46" s="1"/>
      <c r="VOJ46" s="1"/>
      <c r="VOK46" s="1"/>
      <c r="VOL46" s="1"/>
      <c r="VOM46" s="1"/>
      <c r="VON46" s="1"/>
      <c r="VOO46" s="1"/>
      <c r="VOP46" s="1"/>
      <c r="VOQ46" s="1"/>
      <c r="VOR46" s="1"/>
      <c r="VOS46" s="1"/>
      <c r="VOT46" s="1"/>
      <c r="VOU46" s="1"/>
      <c r="VOV46" s="1"/>
      <c r="VOW46" s="1"/>
      <c r="VOX46" s="1"/>
      <c r="VOY46" s="1"/>
      <c r="VOZ46" s="1"/>
      <c r="VPA46" s="1"/>
      <c r="VPB46" s="1"/>
      <c r="VPC46" s="1"/>
      <c r="VPD46" s="1"/>
      <c r="VPE46" s="1"/>
      <c r="VPF46" s="1"/>
      <c r="VPG46" s="1"/>
      <c r="VPH46" s="1"/>
      <c r="VPI46" s="1"/>
      <c r="VPJ46" s="1"/>
      <c r="VPK46" s="1"/>
      <c r="VPL46" s="1"/>
      <c r="VPM46" s="1"/>
      <c r="VPN46" s="1"/>
      <c r="VPO46" s="1"/>
      <c r="VPP46" s="1"/>
      <c r="VPQ46" s="1"/>
      <c r="VPR46" s="1"/>
      <c r="VPS46" s="1"/>
      <c r="VPT46" s="1"/>
      <c r="VPU46" s="1"/>
      <c r="VPV46" s="1"/>
      <c r="VPW46" s="1"/>
      <c r="VPX46" s="1"/>
      <c r="VPY46" s="1"/>
      <c r="VPZ46" s="1"/>
      <c r="VQA46" s="1"/>
      <c r="VQB46" s="1"/>
      <c r="VQC46" s="1"/>
      <c r="VQD46" s="1"/>
      <c r="VQE46" s="1"/>
      <c r="VQF46" s="1"/>
      <c r="VQG46" s="1"/>
      <c r="VQH46" s="1"/>
      <c r="VQI46" s="1"/>
      <c r="VQJ46" s="1"/>
      <c r="VQK46" s="1"/>
      <c r="VQL46" s="1"/>
      <c r="VQM46" s="1"/>
      <c r="VQN46" s="1"/>
      <c r="VQO46" s="1"/>
      <c r="VQP46" s="1"/>
      <c r="VQQ46" s="1"/>
      <c r="VQR46" s="1"/>
      <c r="VQS46" s="1"/>
      <c r="VQT46" s="1"/>
      <c r="VQU46" s="1"/>
      <c r="VQV46" s="1"/>
      <c r="VQW46" s="1"/>
      <c r="VQX46" s="1"/>
      <c r="VQY46" s="1"/>
      <c r="VQZ46" s="1"/>
      <c r="VRA46" s="1"/>
      <c r="VRB46" s="1"/>
      <c r="VRC46" s="1"/>
      <c r="VRD46" s="1"/>
      <c r="VRE46" s="1"/>
      <c r="VRF46" s="1"/>
      <c r="VRG46" s="1"/>
      <c r="VRH46" s="1"/>
      <c r="VRI46" s="1"/>
      <c r="VRJ46" s="1"/>
      <c r="VRK46" s="1"/>
      <c r="VRL46" s="1"/>
      <c r="VRM46" s="1"/>
      <c r="VRN46" s="1"/>
      <c r="VRO46" s="1"/>
      <c r="VRP46" s="1"/>
      <c r="VRQ46" s="1"/>
      <c r="VRR46" s="1"/>
      <c r="VRS46" s="1"/>
      <c r="VRT46" s="1"/>
      <c r="VRU46" s="1"/>
      <c r="VRV46" s="1"/>
      <c r="VRW46" s="1"/>
      <c r="VRX46" s="1"/>
      <c r="VRY46" s="1"/>
      <c r="VRZ46" s="1"/>
      <c r="VSA46" s="1"/>
      <c r="VSB46" s="1"/>
      <c r="VSC46" s="1"/>
      <c r="VSD46" s="1"/>
      <c r="VSE46" s="1"/>
      <c r="VSF46" s="1"/>
      <c r="VSG46" s="1"/>
      <c r="VSH46" s="1"/>
      <c r="VSI46" s="1"/>
      <c r="VSJ46" s="1"/>
      <c r="VSK46" s="1"/>
      <c r="VSL46" s="1"/>
      <c r="VSM46" s="1"/>
      <c r="VSN46" s="1"/>
      <c r="VSO46" s="1"/>
      <c r="VSP46" s="1"/>
      <c r="VSQ46" s="1"/>
      <c r="VSR46" s="1"/>
      <c r="VSS46" s="1"/>
      <c r="VST46" s="1"/>
      <c r="VSU46" s="1"/>
      <c r="VSV46" s="1"/>
      <c r="VSW46" s="1"/>
      <c r="VSX46" s="1"/>
      <c r="VSY46" s="1"/>
      <c r="VSZ46" s="1"/>
      <c r="VTA46" s="1"/>
      <c r="VTB46" s="1"/>
      <c r="VTC46" s="1"/>
      <c r="VTD46" s="1"/>
      <c r="VTE46" s="1"/>
      <c r="VTF46" s="1"/>
      <c r="VTG46" s="1"/>
      <c r="VTH46" s="1"/>
      <c r="VTI46" s="1"/>
      <c r="VTJ46" s="1"/>
      <c r="VTK46" s="1"/>
      <c r="VTL46" s="1"/>
      <c r="VTM46" s="1"/>
      <c r="VTN46" s="1"/>
      <c r="VTO46" s="1"/>
      <c r="VTP46" s="1"/>
      <c r="VTQ46" s="1"/>
      <c r="VTR46" s="1"/>
      <c r="VTS46" s="1"/>
      <c r="VTT46" s="1"/>
      <c r="VTU46" s="1"/>
      <c r="VTV46" s="1"/>
      <c r="VTW46" s="1"/>
      <c r="VTX46" s="1"/>
      <c r="VTY46" s="1"/>
      <c r="VTZ46" s="1"/>
      <c r="VUA46" s="1"/>
      <c r="VUB46" s="1"/>
      <c r="VUC46" s="1"/>
      <c r="VUD46" s="1"/>
      <c r="VUE46" s="1"/>
      <c r="VUF46" s="1"/>
      <c r="VUG46" s="1"/>
      <c r="VUH46" s="1"/>
      <c r="VUI46" s="1"/>
      <c r="VUJ46" s="1"/>
      <c r="VUK46" s="1"/>
      <c r="VUL46" s="1"/>
      <c r="VUM46" s="1"/>
      <c r="VUN46" s="1"/>
      <c r="VUO46" s="1"/>
      <c r="VUP46" s="1"/>
      <c r="VUQ46" s="1"/>
      <c r="VUR46" s="1"/>
      <c r="VUS46" s="1"/>
      <c r="VUT46" s="1"/>
      <c r="VUU46" s="1"/>
      <c r="VUV46" s="1"/>
      <c r="VUW46" s="1"/>
      <c r="VUX46" s="1"/>
      <c r="VUY46" s="1"/>
      <c r="VUZ46" s="1"/>
      <c r="VVA46" s="1"/>
      <c r="VVB46" s="1"/>
      <c r="VVC46" s="1"/>
      <c r="VVD46" s="1"/>
      <c r="VVE46" s="1"/>
      <c r="VVF46" s="1"/>
      <c r="VVG46" s="1"/>
      <c r="VVH46" s="1"/>
      <c r="VVI46" s="1"/>
      <c r="VVJ46" s="1"/>
      <c r="VVK46" s="1"/>
      <c r="VVL46" s="1"/>
      <c r="VVM46" s="1"/>
      <c r="VVN46" s="1"/>
      <c r="VVO46" s="1"/>
      <c r="VVP46" s="1"/>
      <c r="VVQ46" s="1"/>
      <c r="VVR46" s="1"/>
      <c r="VVS46" s="1"/>
      <c r="VVT46" s="1"/>
      <c r="VVU46" s="1"/>
      <c r="VVV46" s="1"/>
      <c r="VVW46" s="1"/>
      <c r="VVX46" s="1"/>
      <c r="VVY46" s="1"/>
      <c r="VVZ46" s="1"/>
      <c r="VWA46" s="1"/>
      <c r="VWB46" s="1"/>
      <c r="VWC46" s="1"/>
      <c r="VWD46" s="1"/>
      <c r="VWE46" s="1"/>
      <c r="VWF46" s="1"/>
      <c r="VWG46" s="1"/>
      <c r="VWH46" s="1"/>
      <c r="VWI46" s="1"/>
      <c r="VWJ46" s="1"/>
      <c r="VWK46" s="1"/>
      <c r="VWL46" s="1"/>
      <c r="VWM46" s="1"/>
      <c r="VWN46" s="1"/>
      <c r="VWO46" s="1"/>
      <c r="VWP46" s="1"/>
      <c r="VWQ46" s="1"/>
      <c r="VWR46" s="1"/>
      <c r="VWS46" s="1"/>
      <c r="VWT46" s="1"/>
      <c r="VWU46" s="1"/>
      <c r="VWV46" s="1"/>
      <c r="VWW46" s="1"/>
      <c r="VWX46" s="1"/>
      <c r="VWY46" s="1"/>
      <c r="VWZ46" s="1"/>
      <c r="VXA46" s="1"/>
      <c r="VXB46" s="1"/>
      <c r="VXC46" s="1"/>
      <c r="VXD46" s="1"/>
      <c r="VXE46" s="1"/>
      <c r="VXF46" s="1"/>
      <c r="VXG46" s="1"/>
      <c r="VXH46" s="1"/>
      <c r="VXI46" s="1"/>
      <c r="VXJ46" s="1"/>
      <c r="VXK46" s="1"/>
      <c r="VXL46" s="1"/>
      <c r="VXM46" s="1"/>
      <c r="VXN46" s="1"/>
      <c r="VXO46" s="1"/>
      <c r="VXP46" s="1"/>
      <c r="VXQ46" s="1"/>
      <c r="VXR46" s="1"/>
      <c r="VXS46" s="1"/>
      <c r="VXT46" s="1"/>
      <c r="VXU46" s="1"/>
      <c r="VXV46" s="1"/>
      <c r="VXW46" s="1"/>
      <c r="VXX46" s="1"/>
      <c r="VXY46" s="1"/>
      <c r="VXZ46" s="1"/>
      <c r="VYA46" s="1"/>
      <c r="VYB46" s="1"/>
      <c r="VYC46" s="1"/>
      <c r="VYD46" s="1"/>
      <c r="VYE46" s="1"/>
      <c r="VYF46" s="1"/>
      <c r="VYG46" s="1"/>
      <c r="VYH46" s="1"/>
      <c r="VYI46" s="1"/>
      <c r="VYJ46" s="1"/>
      <c r="VYK46" s="1"/>
      <c r="VYL46" s="1"/>
      <c r="VYM46" s="1"/>
      <c r="VYN46" s="1"/>
      <c r="VYO46" s="1"/>
      <c r="VYP46" s="1"/>
      <c r="VYQ46" s="1"/>
      <c r="VYR46" s="1"/>
      <c r="VYS46" s="1"/>
      <c r="VYT46" s="1"/>
      <c r="VYU46" s="1"/>
      <c r="VYV46" s="1"/>
      <c r="VYW46" s="1"/>
      <c r="VYX46" s="1"/>
      <c r="VYY46" s="1"/>
      <c r="VYZ46" s="1"/>
      <c r="VZA46" s="1"/>
      <c r="VZB46" s="1"/>
      <c r="VZC46" s="1"/>
      <c r="VZD46" s="1"/>
      <c r="VZE46" s="1"/>
      <c r="VZF46" s="1"/>
      <c r="VZG46" s="1"/>
      <c r="VZH46" s="1"/>
      <c r="VZI46" s="1"/>
      <c r="VZJ46" s="1"/>
      <c r="VZK46" s="1"/>
      <c r="VZL46" s="1"/>
      <c r="VZM46" s="1"/>
      <c r="VZN46" s="1"/>
      <c r="VZO46" s="1"/>
      <c r="VZP46" s="1"/>
      <c r="VZQ46" s="1"/>
      <c r="VZR46" s="1"/>
      <c r="VZS46" s="1"/>
      <c r="VZT46" s="1"/>
      <c r="VZU46" s="1"/>
      <c r="VZV46" s="1"/>
      <c r="VZW46" s="1"/>
      <c r="VZX46" s="1"/>
      <c r="VZY46" s="1"/>
      <c r="VZZ46" s="1"/>
      <c r="WAA46" s="1"/>
      <c r="WAB46" s="1"/>
      <c r="WAC46" s="1"/>
      <c r="WAD46" s="1"/>
      <c r="WAE46" s="1"/>
      <c r="WAF46" s="1"/>
      <c r="WAG46" s="1"/>
      <c r="WAH46" s="1"/>
      <c r="WAI46" s="1"/>
      <c r="WAJ46" s="1"/>
      <c r="WAK46" s="1"/>
      <c r="WAL46" s="1"/>
      <c r="WAM46" s="1"/>
      <c r="WAN46" s="1"/>
      <c r="WAO46" s="1"/>
      <c r="WAP46" s="1"/>
      <c r="WAQ46" s="1"/>
      <c r="WAR46" s="1"/>
      <c r="WAS46" s="1"/>
      <c r="WAT46" s="1"/>
      <c r="WAU46" s="1"/>
      <c r="WAV46" s="1"/>
      <c r="WAW46" s="1"/>
      <c r="WAX46" s="1"/>
      <c r="WAY46" s="1"/>
      <c r="WAZ46" s="1"/>
      <c r="WBA46" s="1"/>
      <c r="WBB46" s="1"/>
      <c r="WBC46" s="1"/>
      <c r="WBD46" s="1"/>
      <c r="WBE46" s="1"/>
      <c r="WBF46" s="1"/>
      <c r="WBG46" s="1"/>
      <c r="WBH46" s="1"/>
      <c r="WBI46" s="1"/>
      <c r="WBJ46" s="1"/>
      <c r="WBK46" s="1"/>
      <c r="WBL46" s="1"/>
      <c r="WBM46" s="1"/>
      <c r="WBN46" s="1"/>
      <c r="WBO46" s="1"/>
      <c r="WBP46" s="1"/>
      <c r="WBQ46" s="1"/>
      <c r="WBR46" s="1"/>
      <c r="WBS46" s="1"/>
      <c r="WBT46" s="1"/>
      <c r="WBU46" s="1"/>
      <c r="WBV46" s="1"/>
      <c r="WBW46" s="1"/>
      <c r="WBX46" s="1"/>
      <c r="WBY46" s="1"/>
      <c r="WBZ46" s="1"/>
      <c r="WCA46" s="1"/>
      <c r="WCB46" s="1"/>
      <c r="WCC46" s="1"/>
      <c r="WCD46" s="1"/>
      <c r="WCE46" s="1"/>
      <c r="WCF46" s="1"/>
      <c r="WCG46" s="1"/>
      <c r="WCH46" s="1"/>
      <c r="WCI46" s="1"/>
      <c r="WCJ46" s="1"/>
      <c r="WCK46" s="1"/>
      <c r="WCL46" s="1"/>
      <c r="WCM46" s="1"/>
      <c r="WCN46" s="1"/>
      <c r="WCO46" s="1"/>
      <c r="WCP46" s="1"/>
      <c r="WCQ46" s="1"/>
      <c r="WCR46" s="1"/>
      <c r="WCS46" s="1"/>
      <c r="WCT46" s="1"/>
      <c r="WCU46" s="1"/>
      <c r="WCV46" s="1"/>
      <c r="WCW46" s="1"/>
      <c r="WCX46" s="1"/>
      <c r="WCY46" s="1"/>
      <c r="WCZ46" s="1"/>
      <c r="WDA46" s="1"/>
      <c r="WDB46" s="1"/>
      <c r="WDC46" s="1"/>
      <c r="WDD46" s="1"/>
      <c r="WDE46" s="1"/>
      <c r="WDF46" s="1"/>
      <c r="WDG46" s="1"/>
      <c r="WDH46" s="1"/>
      <c r="WDI46" s="1"/>
      <c r="WDJ46" s="1"/>
      <c r="WDK46" s="1"/>
      <c r="WDL46" s="1"/>
      <c r="WDM46" s="1"/>
      <c r="WDN46" s="1"/>
      <c r="WDO46" s="1"/>
      <c r="WDP46" s="1"/>
      <c r="WDQ46" s="1"/>
      <c r="WDR46" s="1"/>
      <c r="WDS46" s="1"/>
      <c r="WDT46" s="1"/>
      <c r="WDU46" s="1"/>
      <c r="WDV46" s="1"/>
      <c r="WDW46" s="1"/>
      <c r="WDX46" s="1"/>
      <c r="WDY46" s="1"/>
      <c r="WDZ46" s="1"/>
      <c r="WEA46" s="1"/>
      <c r="WEB46" s="1"/>
      <c r="WEC46" s="1"/>
      <c r="WED46" s="1"/>
      <c r="WEE46" s="1"/>
      <c r="WEF46" s="1"/>
      <c r="WEG46" s="1"/>
      <c r="WEH46" s="1"/>
      <c r="WEI46" s="1"/>
      <c r="WEJ46" s="1"/>
      <c r="WEK46" s="1"/>
      <c r="WEL46" s="1"/>
      <c r="WEM46" s="1"/>
      <c r="WEN46" s="1"/>
      <c r="WEO46" s="1"/>
      <c r="WEP46" s="1"/>
      <c r="WEQ46" s="1"/>
      <c r="WER46" s="1"/>
      <c r="WES46" s="1"/>
      <c r="WET46" s="1"/>
      <c r="WEU46" s="1"/>
      <c r="WEV46" s="1"/>
      <c r="WEW46" s="1"/>
      <c r="WEX46" s="1"/>
      <c r="WEY46" s="1"/>
      <c r="WEZ46" s="1"/>
      <c r="WFA46" s="1"/>
      <c r="WFB46" s="1"/>
      <c r="WFC46" s="1"/>
      <c r="WFD46" s="1"/>
      <c r="WFE46" s="1"/>
      <c r="WFF46" s="1"/>
      <c r="WFG46" s="1"/>
      <c r="WFH46" s="1"/>
      <c r="WFI46" s="1"/>
      <c r="WFJ46" s="1"/>
      <c r="WFK46" s="1"/>
      <c r="WFL46" s="1"/>
      <c r="WFM46" s="1"/>
      <c r="WFN46" s="1"/>
      <c r="WFO46" s="1"/>
      <c r="WFP46" s="1"/>
      <c r="WFQ46" s="1"/>
      <c r="WFR46" s="1"/>
      <c r="WFS46" s="1"/>
      <c r="WFT46" s="1"/>
      <c r="WFU46" s="1"/>
      <c r="WFV46" s="1"/>
      <c r="WFW46" s="1"/>
      <c r="WFX46" s="1"/>
      <c r="WFY46" s="1"/>
      <c r="WFZ46" s="1"/>
      <c r="WGA46" s="1"/>
      <c r="WGB46" s="1"/>
      <c r="WGC46" s="1"/>
      <c r="WGD46" s="1"/>
      <c r="WGE46" s="1"/>
      <c r="WGF46" s="1"/>
      <c r="WGG46" s="1"/>
      <c r="WGH46" s="1"/>
      <c r="WGI46" s="1"/>
      <c r="WGJ46" s="1"/>
      <c r="WGK46" s="1"/>
      <c r="WGL46" s="1"/>
      <c r="WGM46" s="1"/>
      <c r="WGN46" s="1"/>
      <c r="WGO46" s="1"/>
      <c r="WGP46" s="1"/>
      <c r="WGQ46" s="1"/>
      <c r="WGR46" s="1"/>
      <c r="WGS46" s="1"/>
      <c r="WGT46" s="1"/>
      <c r="WGU46" s="1"/>
      <c r="WGV46" s="1"/>
      <c r="WGW46" s="1"/>
      <c r="WGX46" s="1"/>
      <c r="WGY46" s="1"/>
      <c r="WGZ46" s="1"/>
      <c r="WHA46" s="1"/>
      <c r="WHB46" s="1"/>
      <c r="WHC46" s="1"/>
      <c r="WHD46" s="1"/>
      <c r="WHE46" s="1"/>
      <c r="WHF46" s="1"/>
      <c r="WHG46" s="1"/>
      <c r="WHH46" s="1"/>
      <c r="WHI46" s="1"/>
      <c r="WHJ46" s="1"/>
      <c r="WHK46" s="1"/>
      <c r="WHL46" s="1"/>
      <c r="WHM46" s="1"/>
      <c r="WHN46" s="1"/>
      <c r="WHO46" s="1"/>
      <c r="WHP46" s="1"/>
      <c r="WHQ46" s="1"/>
      <c r="WHR46" s="1"/>
      <c r="WHS46" s="1"/>
      <c r="WHT46" s="1"/>
      <c r="WHU46" s="1"/>
      <c r="WHV46" s="1"/>
      <c r="WHW46" s="1"/>
      <c r="WHX46" s="1"/>
      <c r="WHY46" s="1"/>
      <c r="WHZ46" s="1"/>
      <c r="WIA46" s="1"/>
      <c r="WIB46" s="1"/>
      <c r="WIC46" s="1"/>
      <c r="WID46" s="1"/>
      <c r="WIE46" s="1"/>
      <c r="WIF46" s="1"/>
      <c r="WIG46" s="1"/>
      <c r="WIH46" s="1"/>
      <c r="WII46" s="1"/>
      <c r="WIJ46" s="1"/>
      <c r="WIK46" s="1"/>
      <c r="WIL46" s="1"/>
      <c r="WIM46" s="1"/>
      <c r="WIN46" s="1"/>
      <c r="WIO46" s="1"/>
      <c r="WIP46" s="1"/>
      <c r="WIQ46" s="1"/>
      <c r="WIR46" s="1"/>
      <c r="WIS46" s="1"/>
      <c r="WIT46" s="1"/>
      <c r="WIU46" s="1"/>
      <c r="WIV46" s="1"/>
      <c r="WIW46" s="1"/>
      <c r="WIX46" s="1"/>
      <c r="WIY46" s="1"/>
      <c r="WIZ46" s="1"/>
      <c r="WJA46" s="1"/>
      <c r="WJB46" s="1"/>
      <c r="WJC46" s="1"/>
      <c r="WJD46" s="1"/>
      <c r="WJE46" s="1"/>
      <c r="WJF46" s="1"/>
      <c r="WJG46" s="1"/>
      <c r="WJH46" s="1"/>
      <c r="WJI46" s="1"/>
      <c r="WJJ46" s="1"/>
      <c r="WJK46" s="1"/>
      <c r="WJL46" s="1"/>
      <c r="WJM46" s="1"/>
      <c r="WJN46" s="1"/>
      <c r="WJO46" s="1"/>
      <c r="WJP46" s="1"/>
      <c r="WJQ46" s="1"/>
      <c r="WJR46" s="1"/>
      <c r="WJS46" s="1"/>
      <c r="WJT46" s="1"/>
      <c r="WJU46" s="1"/>
      <c r="WJV46" s="1"/>
      <c r="WJW46" s="1"/>
      <c r="WJX46" s="1"/>
      <c r="WJY46" s="1"/>
      <c r="WJZ46" s="1"/>
      <c r="WKA46" s="1"/>
      <c r="WKB46" s="1"/>
      <c r="WKC46" s="1"/>
      <c r="WKD46" s="1"/>
      <c r="WKE46" s="1"/>
      <c r="WKF46" s="1"/>
      <c r="WKG46" s="1"/>
      <c r="WKH46" s="1"/>
      <c r="WKI46" s="1"/>
      <c r="WKJ46" s="1"/>
      <c r="WKK46" s="1"/>
      <c r="WKL46" s="1"/>
      <c r="WKM46" s="1"/>
      <c r="WKN46" s="1"/>
      <c r="WKO46" s="1"/>
      <c r="WKP46" s="1"/>
      <c r="WKQ46" s="1"/>
      <c r="WKR46" s="1"/>
      <c r="WKS46" s="1"/>
      <c r="WKT46" s="1"/>
      <c r="WKU46" s="1"/>
      <c r="WKV46" s="1"/>
      <c r="WKW46" s="1"/>
      <c r="WKX46" s="1"/>
      <c r="WKY46" s="1"/>
      <c r="WKZ46" s="1"/>
      <c r="WLA46" s="1"/>
      <c r="WLB46" s="1"/>
      <c r="WLC46" s="1"/>
      <c r="WLD46" s="1"/>
      <c r="WLE46" s="1"/>
      <c r="WLF46" s="1"/>
      <c r="WLG46" s="1"/>
      <c r="WLH46" s="1"/>
      <c r="WLI46" s="1"/>
      <c r="WLJ46" s="1"/>
      <c r="WLK46" s="1"/>
      <c r="WLL46" s="1"/>
      <c r="WLM46" s="1"/>
      <c r="WLN46" s="1"/>
      <c r="WLO46" s="1"/>
      <c r="WLP46" s="1"/>
      <c r="WLQ46" s="1"/>
      <c r="WLR46" s="1"/>
      <c r="WLS46" s="1"/>
      <c r="WLT46" s="1"/>
      <c r="WLU46" s="1"/>
      <c r="WLV46" s="1"/>
      <c r="WLW46" s="1"/>
      <c r="WLX46" s="1"/>
      <c r="WLY46" s="1"/>
      <c r="WLZ46" s="1"/>
      <c r="WMA46" s="1"/>
      <c r="WMB46" s="1"/>
      <c r="WMC46" s="1"/>
      <c r="WMD46" s="1"/>
      <c r="WME46" s="1"/>
      <c r="WMF46" s="1"/>
      <c r="WMG46" s="1"/>
      <c r="WMH46" s="1"/>
      <c r="WMI46" s="1"/>
      <c r="WMJ46" s="1"/>
      <c r="WMK46" s="1"/>
      <c r="WML46" s="1"/>
      <c r="WMM46" s="1"/>
      <c r="WMN46" s="1"/>
      <c r="WMO46" s="1"/>
      <c r="WMP46" s="1"/>
      <c r="WMQ46" s="1"/>
      <c r="WMR46" s="1"/>
      <c r="WMS46" s="1"/>
      <c r="WMT46" s="1"/>
      <c r="WMU46" s="1"/>
      <c r="WMV46" s="1"/>
      <c r="WMW46" s="1"/>
      <c r="WMX46" s="1"/>
      <c r="WMY46" s="1"/>
      <c r="WMZ46" s="1"/>
      <c r="WNA46" s="1"/>
      <c r="WNB46" s="1"/>
      <c r="WNC46" s="1"/>
      <c r="WND46" s="1"/>
      <c r="WNE46" s="1"/>
      <c r="WNF46" s="1"/>
      <c r="WNG46" s="1"/>
      <c r="WNH46" s="1"/>
      <c r="WNI46" s="1"/>
      <c r="WNJ46" s="1"/>
      <c r="WNK46" s="1"/>
      <c r="WNL46" s="1"/>
      <c r="WNM46" s="1"/>
      <c r="WNN46" s="1"/>
      <c r="WNO46" s="1"/>
      <c r="WNP46" s="1"/>
      <c r="WNQ46" s="1"/>
      <c r="WNR46" s="1"/>
      <c r="WNS46" s="1"/>
      <c r="WNT46" s="1"/>
      <c r="WNU46" s="1"/>
      <c r="WNV46" s="1"/>
      <c r="WNW46" s="1"/>
      <c r="WNX46" s="1"/>
      <c r="WNY46" s="1"/>
      <c r="WNZ46" s="1"/>
      <c r="WOA46" s="1"/>
      <c r="WOB46" s="1"/>
      <c r="WOC46" s="1"/>
      <c r="WOD46" s="1"/>
      <c r="WOE46" s="1"/>
      <c r="WOF46" s="1"/>
      <c r="WOG46" s="1"/>
      <c r="WOH46" s="1"/>
      <c r="WOI46" s="1"/>
      <c r="WOJ46" s="1"/>
      <c r="WOK46" s="1"/>
      <c r="WOL46" s="1"/>
      <c r="WOM46" s="1"/>
      <c r="WON46" s="1"/>
      <c r="WOO46" s="1"/>
      <c r="WOP46" s="1"/>
      <c r="WOQ46" s="1"/>
      <c r="WOR46" s="1"/>
      <c r="WOS46" s="1"/>
      <c r="WOT46" s="1"/>
      <c r="WOU46" s="1"/>
      <c r="WOV46" s="1"/>
      <c r="WOW46" s="1"/>
      <c r="WOX46" s="1"/>
      <c r="WOY46" s="1"/>
      <c r="WOZ46" s="1"/>
      <c r="WPA46" s="1"/>
      <c r="WPB46" s="1"/>
      <c r="WPC46" s="1"/>
      <c r="WPD46" s="1"/>
      <c r="WPE46" s="1"/>
      <c r="WPF46" s="1"/>
      <c r="WPG46" s="1"/>
      <c r="WPH46" s="1"/>
      <c r="WPI46" s="1"/>
      <c r="WPJ46" s="1"/>
      <c r="WPK46" s="1"/>
      <c r="WPL46" s="1"/>
      <c r="WPM46" s="1"/>
      <c r="WPN46" s="1"/>
      <c r="WPO46" s="1"/>
      <c r="WPP46" s="1"/>
      <c r="WPQ46" s="1"/>
      <c r="WPR46" s="1"/>
      <c r="WPS46" s="1"/>
      <c r="WPT46" s="1"/>
      <c r="WPU46" s="1"/>
      <c r="WPV46" s="1"/>
      <c r="WPW46" s="1"/>
      <c r="WPX46" s="1"/>
      <c r="WPY46" s="1"/>
      <c r="WPZ46" s="1"/>
      <c r="WQA46" s="1"/>
      <c r="WQB46" s="1"/>
      <c r="WQC46" s="1"/>
      <c r="WQD46" s="1"/>
      <c r="WQE46" s="1"/>
      <c r="WQF46" s="1"/>
      <c r="WQG46" s="1"/>
      <c r="WQH46" s="1"/>
      <c r="WQI46" s="1"/>
      <c r="WQJ46" s="1"/>
      <c r="WQK46" s="1"/>
      <c r="WQL46" s="1"/>
      <c r="WQM46" s="1"/>
      <c r="WQN46" s="1"/>
      <c r="WQO46" s="1"/>
      <c r="WQP46" s="1"/>
      <c r="WQQ46" s="1"/>
      <c r="WQR46" s="1"/>
      <c r="WQS46" s="1"/>
      <c r="WQT46" s="1"/>
      <c r="WQU46" s="1"/>
      <c r="WQV46" s="1"/>
      <c r="WQW46" s="1"/>
      <c r="WQX46" s="1"/>
      <c r="WQY46" s="1"/>
      <c r="WQZ46" s="1"/>
      <c r="WRA46" s="1"/>
      <c r="WRB46" s="1"/>
      <c r="WRC46" s="1"/>
      <c r="WRD46" s="1"/>
      <c r="WRE46" s="1"/>
      <c r="WRF46" s="1"/>
      <c r="WRG46" s="1"/>
      <c r="WRH46" s="1"/>
      <c r="WRI46" s="1"/>
      <c r="WRJ46" s="1"/>
      <c r="WRK46" s="1"/>
      <c r="WRL46" s="1"/>
      <c r="WRM46" s="1"/>
      <c r="WRN46" s="1"/>
      <c r="WRO46" s="1"/>
      <c r="WRP46" s="1"/>
      <c r="WRQ46" s="1"/>
      <c r="WRR46" s="1"/>
      <c r="WRS46" s="1"/>
      <c r="WRT46" s="1"/>
      <c r="WRU46" s="1"/>
      <c r="WRV46" s="1"/>
      <c r="WRW46" s="1"/>
      <c r="WRX46" s="1"/>
      <c r="WRY46" s="1"/>
      <c r="WRZ46" s="1"/>
      <c r="WSA46" s="1"/>
      <c r="WSB46" s="1"/>
      <c r="WSC46" s="1"/>
      <c r="WSD46" s="1"/>
      <c r="WSE46" s="1"/>
      <c r="WSF46" s="1"/>
      <c r="WSG46" s="1"/>
      <c r="WSH46" s="1"/>
      <c r="WSI46" s="1"/>
      <c r="WSJ46" s="1"/>
      <c r="WSK46" s="1"/>
      <c r="WSL46" s="1"/>
      <c r="WSM46" s="1"/>
      <c r="WSN46" s="1"/>
      <c r="WSO46" s="1"/>
      <c r="WSP46" s="1"/>
      <c r="WSQ46" s="1"/>
      <c r="WSR46" s="1"/>
      <c r="WSS46" s="1"/>
      <c r="WST46" s="1"/>
      <c r="WSU46" s="1"/>
      <c r="WSV46" s="1"/>
      <c r="WSW46" s="1"/>
      <c r="WSX46" s="1"/>
      <c r="WSY46" s="1"/>
      <c r="WSZ46" s="1"/>
      <c r="WTA46" s="1"/>
      <c r="WTB46" s="1"/>
      <c r="WTC46" s="1"/>
      <c r="WTD46" s="1"/>
      <c r="WTE46" s="1"/>
      <c r="WTF46" s="1"/>
      <c r="WTG46" s="1"/>
      <c r="WTH46" s="1"/>
      <c r="WTI46" s="1"/>
      <c r="WTJ46" s="1"/>
      <c r="WTK46" s="1"/>
      <c r="WTL46" s="1"/>
      <c r="WTM46" s="1"/>
      <c r="WTN46" s="1"/>
      <c r="WTO46" s="1"/>
      <c r="WTP46" s="1"/>
      <c r="WTQ46" s="1"/>
      <c r="WTR46" s="1"/>
      <c r="WTS46" s="1"/>
      <c r="WTT46" s="1"/>
      <c r="WTU46" s="1"/>
      <c r="WTV46" s="1"/>
      <c r="WTW46" s="1"/>
      <c r="WTX46" s="1"/>
      <c r="WTY46" s="1"/>
      <c r="WTZ46" s="1"/>
      <c r="WUA46" s="1"/>
      <c r="WUB46" s="1"/>
      <c r="WUC46" s="1"/>
      <c r="WUD46" s="1"/>
      <c r="WUE46" s="1"/>
      <c r="WUF46" s="1"/>
      <c r="WUG46" s="1"/>
      <c r="WUH46" s="1"/>
      <c r="WUI46" s="1"/>
      <c r="WUJ46" s="1"/>
      <c r="WUK46" s="1"/>
      <c r="WUL46" s="1"/>
      <c r="WUM46" s="1"/>
      <c r="WUN46" s="1"/>
      <c r="WUO46" s="1"/>
      <c r="WUP46" s="1"/>
      <c r="WUQ46" s="1"/>
      <c r="WUR46" s="1"/>
      <c r="WUS46" s="1"/>
      <c r="WUT46" s="1"/>
      <c r="WUU46" s="1"/>
      <c r="WUV46" s="1"/>
      <c r="WUW46" s="1"/>
      <c r="WUX46" s="1"/>
      <c r="WUY46" s="1"/>
      <c r="WUZ46" s="1"/>
      <c r="WVA46" s="1"/>
      <c r="WVB46" s="1"/>
      <c r="WVC46" s="1"/>
      <c r="WVD46" s="1"/>
      <c r="WVE46" s="1"/>
      <c r="WVF46" s="1"/>
      <c r="WVG46" s="1"/>
      <c r="WVH46" s="1"/>
      <c r="WVI46" s="1"/>
      <c r="WVJ46" s="1"/>
      <c r="WVK46" s="1"/>
      <c r="WVL46" s="1"/>
      <c r="WVM46" s="1"/>
      <c r="WVN46" s="1"/>
      <c r="WVO46" s="1"/>
      <c r="WVP46" s="1"/>
      <c r="WVQ46" s="1"/>
      <c r="WVR46" s="1"/>
      <c r="WVS46" s="1"/>
      <c r="WVT46" s="1"/>
      <c r="WVU46" s="1"/>
      <c r="WVV46" s="1"/>
      <c r="WVW46" s="1"/>
      <c r="WVX46" s="1"/>
      <c r="WVY46" s="1"/>
      <c r="WVZ46" s="1"/>
      <c r="WWA46" s="1"/>
      <c r="WWB46" s="1"/>
      <c r="WWC46" s="1"/>
      <c r="WWD46" s="1"/>
      <c r="WWE46" s="1"/>
      <c r="WWF46" s="1"/>
      <c r="WWG46" s="1"/>
      <c r="WWH46" s="1"/>
      <c r="WWI46" s="1"/>
      <c r="WWJ46" s="1"/>
      <c r="WWK46" s="1"/>
      <c r="WWL46" s="1"/>
      <c r="WWM46" s="1"/>
      <c r="WWN46" s="1"/>
      <c r="WWO46" s="1"/>
      <c r="WWP46" s="1"/>
      <c r="WWQ46" s="1"/>
      <c r="WWR46" s="1"/>
      <c r="WWS46" s="1"/>
      <c r="WWT46" s="1"/>
      <c r="WWU46" s="1"/>
      <c r="WWV46" s="1"/>
      <c r="WWW46" s="1"/>
      <c r="WWX46" s="1"/>
      <c r="WWY46" s="1"/>
      <c r="WWZ46" s="1"/>
      <c r="WXA46" s="1"/>
      <c r="WXB46" s="1"/>
      <c r="WXC46" s="1"/>
      <c r="WXD46" s="1"/>
      <c r="WXE46" s="1"/>
      <c r="WXF46" s="1"/>
      <c r="WXG46" s="1"/>
      <c r="WXH46" s="1"/>
      <c r="WXI46" s="1"/>
      <c r="WXJ46" s="1"/>
      <c r="WXK46" s="1"/>
      <c r="WXL46" s="1"/>
      <c r="WXM46" s="1"/>
      <c r="WXN46" s="1"/>
      <c r="WXO46" s="1"/>
      <c r="WXP46" s="1"/>
      <c r="WXQ46" s="1"/>
      <c r="WXR46" s="1"/>
      <c r="WXS46" s="1"/>
      <c r="WXT46" s="1"/>
      <c r="WXU46" s="1"/>
      <c r="WXV46" s="1"/>
      <c r="WXW46" s="1"/>
      <c r="WXX46" s="1"/>
      <c r="WXY46" s="1"/>
      <c r="WXZ46" s="1"/>
      <c r="WYA46" s="1"/>
      <c r="WYB46" s="1"/>
      <c r="WYC46" s="1"/>
      <c r="WYD46" s="1"/>
      <c r="WYE46" s="1"/>
      <c r="WYF46" s="1"/>
      <c r="WYG46" s="1"/>
      <c r="WYH46" s="1"/>
      <c r="WYI46" s="1"/>
      <c r="WYJ46" s="1"/>
      <c r="WYK46" s="1"/>
      <c r="WYL46" s="1"/>
      <c r="WYM46" s="1"/>
      <c r="WYN46" s="1"/>
      <c r="WYO46" s="1"/>
      <c r="WYP46" s="1"/>
      <c r="WYQ46" s="1"/>
      <c r="WYR46" s="1"/>
      <c r="WYS46" s="1"/>
      <c r="WYT46" s="1"/>
      <c r="WYU46" s="1"/>
      <c r="WYV46" s="1"/>
      <c r="WYW46" s="1"/>
      <c r="WYX46" s="1"/>
      <c r="WYY46" s="1"/>
      <c r="WYZ46" s="1"/>
      <c r="WZA46" s="1"/>
      <c r="WZB46" s="1"/>
      <c r="WZC46" s="1"/>
      <c r="WZD46" s="1"/>
      <c r="WZE46" s="1"/>
      <c r="WZF46" s="1"/>
      <c r="WZG46" s="1"/>
      <c r="WZH46" s="1"/>
      <c r="WZI46" s="1"/>
      <c r="WZJ46" s="1"/>
      <c r="WZK46" s="1"/>
      <c r="WZL46" s="1"/>
      <c r="WZM46" s="1"/>
      <c r="WZN46" s="1"/>
      <c r="WZO46" s="1"/>
      <c r="WZP46" s="1"/>
      <c r="WZQ46" s="1"/>
      <c r="WZR46" s="1"/>
      <c r="WZS46" s="1"/>
      <c r="WZT46" s="1"/>
      <c r="WZU46" s="1"/>
      <c r="WZV46" s="1"/>
      <c r="WZW46" s="1"/>
      <c r="WZX46" s="1"/>
      <c r="WZY46" s="1"/>
      <c r="WZZ46" s="1"/>
      <c r="XAA46" s="1"/>
      <c r="XAB46" s="1"/>
      <c r="XAC46" s="1"/>
      <c r="XAD46" s="1"/>
      <c r="XAE46" s="1"/>
      <c r="XAF46" s="1"/>
      <c r="XAG46" s="1"/>
      <c r="XAH46" s="1"/>
      <c r="XAI46" s="1"/>
      <c r="XAJ46" s="1"/>
      <c r="XAK46" s="1"/>
      <c r="XAL46" s="1"/>
      <c r="XAM46" s="1"/>
      <c r="XAN46" s="1"/>
      <c r="XAO46" s="1"/>
      <c r="XAP46" s="1"/>
      <c r="XAQ46" s="1"/>
      <c r="XAR46" s="1"/>
      <c r="XAS46" s="1"/>
      <c r="XAT46" s="1"/>
      <c r="XAU46" s="1"/>
      <c r="XAV46" s="1"/>
      <c r="XAW46" s="1"/>
      <c r="XAX46" s="1"/>
      <c r="XAY46" s="1"/>
      <c r="XAZ46" s="1"/>
      <c r="XBA46" s="1"/>
      <c r="XBB46" s="1"/>
      <c r="XBC46" s="1"/>
      <c r="XBD46" s="1"/>
      <c r="XBE46" s="1"/>
      <c r="XBF46" s="1"/>
      <c r="XBG46" s="1"/>
      <c r="XBH46" s="1"/>
      <c r="XBI46" s="1"/>
      <c r="XBJ46" s="1"/>
      <c r="XBK46" s="1"/>
      <c r="XBL46" s="1"/>
      <c r="XBM46" s="1"/>
      <c r="XBN46" s="1"/>
      <c r="XBO46" s="1"/>
      <c r="XBP46" s="1"/>
      <c r="XBQ46" s="1"/>
      <c r="XBR46" s="1"/>
      <c r="XBS46" s="1"/>
      <c r="XBT46" s="1"/>
      <c r="XBU46" s="1"/>
      <c r="XBV46" s="1"/>
      <c r="XBW46" s="1"/>
      <c r="XBX46" s="1"/>
      <c r="XBY46" s="1"/>
      <c r="XBZ46" s="1"/>
      <c r="XCA46" s="1"/>
      <c r="XCB46" s="1"/>
      <c r="XCC46" s="1"/>
      <c r="XCD46" s="1"/>
      <c r="XCE46" s="1"/>
      <c r="XCF46" s="1"/>
      <c r="XCG46" s="1"/>
      <c r="XCH46" s="1"/>
      <c r="XCI46" s="1"/>
      <c r="XCJ46" s="1"/>
      <c r="XCK46" s="1"/>
      <c r="XCL46" s="1"/>
      <c r="XCM46" s="1"/>
      <c r="XCN46" s="1"/>
      <c r="XCO46" s="1"/>
      <c r="XCP46" s="1"/>
      <c r="XCQ46" s="1"/>
      <c r="XCR46" s="1"/>
      <c r="XCS46" s="1"/>
      <c r="XCT46" s="1"/>
      <c r="XCU46" s="1"/>
      <c r="XCV46" s="1"/>
      <c r="XCW46" s="1"/>
      <c r="XCX46" s="1"/>
      <c r="XCY46" s="1"/>
      <c r="XCZ46" s="1"/>
      <c r="XDA46" s="1"/>
      <c r="XDB46" s="1"/>
      <c r="XDC46" s="1"/>
      <c r="XDD46" s="1"/>
      <c r="XDE46" s="1"/>
      <c r="XDF46" s="1"/>
      <c r="XDG46" s="1"/>
      <c r="XDH46" s="1"/>
      <c r="XDI46" s="1"/>
      <c r="XDJ46" s="1"/>
      <c r="XDK46" s="1"/>
      <c r="XDL46" s="1"/>
      <c r="XDM46" s="1"/>
      <c r="XDN46" s="1"/>
      <c r="XDO46" s="1"/>
      <c r="XDP46" s="1"/>
      <c r="XDQ46" s="1"/>
      <c r="XDR46" s="1"/>
      <c r="XDS46" s="1"/>
      <c r="XDT46" s="1"/>
      <c r="XDU46" s="1"/>
      <c r="XDV46" s="1"/>
      <c r="XDW46" s="1"/>
      <c r="XDX46" s="1"/>
      <c r="XDY46" s="1"/>
      <c r="XDZ46" s="1"/>
      <c r="XEA46" s="1"/>
      <c r="XEB46" s="1"/>
      <c r="XEC46" s="1"/>
      <c r="XED46" s="1"/>
      <c r="XEE46" s="1"/>
      <c r="XEF46" s="1"/>
      <c r="XEG46" s="1"/>
      <c r="XEH46" s="1"/>
      <c r="XEI46" s="1"/>
      <c r="XEJ46" s="1"/>
      <c r="XEK46" s="1"/>
      <c r="XEL46" s="1"/>
      <c r="XEM46" s="1"/>
      <c r="XEN46" s="1"/>
      <c r="XEO46" s="1"/>
      <c r="XEP46" s="1"/>
      <c r="XEQ46" s="1"/>
      <c r="XER46" s="1"/>
      <c r="XES46" s="1"/>
      <c r="XET46" s="1"/>
      <c r="XEU46" s="1"/>
      <c r="XEV46" s="1"/>
      <c r="XEW46" s="1"/>
      <c r="XEX46" s="1"/>
      <c r="XEY46" s="1"/>
      <c r="XEZ46" s="1"/>
      <c r="XFA46" s="1"/>
      <c r="XFB46" s="1"/>
      <c r="XFC46" s="1"/>
      <c r="XFD46" s="1"/>
    </row>
    <row r="47" spans="1:16384" x14ac:dyDescent="0.25">
      <c r="A47" s="1"/>
      <c r="B47" s="222" t="s">
        <v>335</v>
      </c>
      <c r="C47" s="223" t="s">
        <v>336</v>
      </c>
      <c r="D47" s="223"/>
      <c r="E47" s="223"/>
      <c r="F47" s="1"/>
      <c r="G47" s="1"/>
      <c r="H47" s="1"/>
      <c r="I47" s="1"/>
      <c r="J47" s="1"/>
      <c r="K47" s="1"/>
      <c r="L47" s="1"/>
      <c r="M47" s="1"/>
      <c r="N47" s="1"/>
      <c r="O47" s="1"/>
      <c r="P47" s="1"/>
      <c r="Q47" s="1"/>
      <c r="R47" s="1"/>
      <c r="S47" s="1"/>
    </row>
    <row r="48" spans="1:16384" x14ac:dyDescent="0.25">
      <c r="A48" s="1"/>
      <c r="B48" s="223"/>
      <c r="C48" s="226" t="s">
        <v>337</v>
      </c>
      <c r="D48" s="223"/>
      <c r="E48" s="223"/>
      <c r="F48" s="1"/>
      <c r="G48" s="1"/>
      <c r="H48" s="1"/>
      <c r="I48" s="1"/>
      <c r="J48" s="1"/>
      <c r="K48" s="1"/>
      <c r="L48" s="1"/>
      <c r="M48" s="1"/>
      <c r="N48" s="1"/>
      <c r="O48" s="1"/>
      <c r="P48" s="1"/>
      <c r="Q48" s="1"/>
      <c r="R48" s="1"/>
      <c r="S48" s="1"/>
    </row>
    <row r="49" spans="1:19" x14ac:dyDescent="0.25">
      <c r="A49" s="1"/>
      <c r="B49" s="223"/>
      <c r="C49" s="223" t="s">
        <v>338</v>
      </c>
      <c r="D49" s="223"/>
      <c r="E49" s="223"/>
      <c r="F49" s="1"/>
      <c r="G49" s="1"/>
      <c r="H49" s="1"/>
      <c r="I49" s="1"/>
      <c r="J49" s="1"/>
      <c r="K49" s="1"/>
      <c r="L49" s="1"/>
      <c r="M49" s="1"/>
      <c r="N49" s="1"/>
      <c r="O49" s="1"/>
      <c r="P49" s="1"/>
      <c r="Q49" s="1"/>
      <c r="R49" s="1"/>
      <c r="S49" s="1"/>
    </row>
    <row r="50" spans="1:19" x14ac:dyDescent="0.25">
      <c r="A50" s="1"/>
      <c r="B50" s="223"/>
      <c r="C50" s="223" t="s">
        <v>339</v>
      </c>
      <c r="D50" s="223"/>
      <c r="E50" s="223"/>
      <c r="F50" s="1"/>
      <c r="G50" s="1"/>
      <c r="H50" s="1"/>
      <c r="I50" s="1"/>
      <c r="J50" s="1"/>
      <c r="K50" s="1"/>
      <c r="L50" s="1"/>
      <c r="M50" s="1"/>
      <c r="N50" s="1"/>
      <c r="O50" s="1"/>
      <c r="P50" s="1"/>
      <c r="Q50" s="1"/>
      <c r="R50" s="1"/>
      <c r="S50" s="1"/>
    </row>
    <row r="51" spans="1:19" x14ac:dyDescent="0.25">
      <c r="A51" s="1"/>
      <c r="B51" s="223"/>
      <c r="C51" s="227" t="s">
        <v>0</v>
      </c>
      <c r="D51" s="223"/>
      <c r="E51" s="223"/>
      <c r="F51" s="1"/>
      <c r="G51" s="1"/>
      <c r="H51" s="1"/>
      <c r="I51" s="1"/>
      <c r="J51" s="1"/>
      <c r="K51" s="1"/>
      <c r="L51" s="1"/>
      <c r="M51" s="1"/>
      <c r="N51" s="1"/>
      <c r="O51" s="1"/>
      <c r="P51" s="1"/>
      <c r="Q51" s="1"/>
      <c r="R51" s="1"/>
      <c r="S51" s="1"/>
    </row>
    <row r="52" spans="1:19" x14ac:dyDescent="0.25">
      <c r="A52" s="1"/>
      <c r="B52" s="223"/>
      <c r="C52" s="223"/>
      <c r="D52" s="560"/>
      <c r="E52" s="560"/>
      <c r="F52" s="560"/>
      <c r="G52" s="560"/>
      <c r="H52" s="560"/>
      <c r="I52" s="560"/>
      <c r="J52" s="560"/>
      <c r="K52" s="560"/>
      <c r="L52" s="560"/>
      <c r="M52" s="560"/>
      <c r="N52" s="560"/>
      <c r="O52" s="560"/>
      <c r="P52" s="560"/>
      <c r="Q52" s="560"/>
      <c r="R52" s="560"/>
      <c r="S52" s="560"/>
    </row>
    <row r="53" spans="1:19" x14ac:dyDescent="0.25">
      <c r="A53" s="1"/>
      <c r="B53" s="223"/>
      <c r="C53" s="223"/>
      <c r="D53" s="560"/>
      <c r="E53" s="560"/>
      <c r="F53" s="560"/>
      <c r="G53" s="560"/>
      <c r="H53" s="560"/>
      <c r="I53" s="560"/>
      <c r="J53" s="560"/>
      <c r="K53" s="560"/>
      <c r="L53" s="560"/>
      <c r="M53" s="560"/>
      <c r="N53" s="560"/>
      <c r="O53" s="560"/>
      <c r="P53" s="560"/>
      <c r="Q53" s="560"/>
      <c r="R53" s="560"/>
      <c r="S53" s="560"/>
    </row>
    <row r="54" spans="1:19" x14ac:dyDescent="0.25">
      <c r="A54" s="332"/>
      <c r="B54" s="332"/>
      <c r="C54" s="332"/>
      <c r="D54" s="332"/>
      <c r="E54" s="332"/>
      <c r="F54" s="332"/>
      <c r="G54" s="332"/>
      <c r="H54" s="332"/>
      <c r="I54" s="332"/>
      <c r="J54" s="332"/>
      <c r="K54" s="332"/>
      <c r="L54" s="332"/>
      <c r="M54" s="332"/>
      <c r="N54" s="332"/>
      <c r="O54" s="332"/>
      <c r="P54" s="332"/>
      <c r="Q54" s="332"/>
      <c r="R54" s="332"/>
      <c r="S54" s="332"/>
    </row>
    <row r="55" spans="1:19" hidden="1" x14ac:dyDescent="0.25"/>
    <row r="56" spans="1:19" hidden="1" x14ac:dyDescent="0.25"/>
    <row r="57" spans="1:19" hidden="1" x14ac:dyDescent="0.25"/>
    <row r="58" spans="1:19" hidden="1" x14ac:dyDescent="0.25"/>
    <row r="59" spans="1:19" hidden="1" x14ac:dyDescent="0.25"/>
    <row r="60" spans="1:19" hidden="1" x14ac:dyDescent="0.25"/>
    <row r="61" spans="1:19" hidden="1" x14ac:dyDescent="0.25"/>
    <row r="62" spans="1:19" hidden="1" x14ac:dyDescent="0.25"/>
    <row r="63" spans="1:19" hidden="1" x14ac:dyDescent="0.25"/>
    <row r="64" spans="1:19"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x14ac:dyDescent="0.25"/>
    <row r="85" x14ac:dyDescent="0.25"/>
    <row r="86" x14ac:dyDescent="0.25"/>
  </sheetData>
  <hyperlinks>
    <hyperlink ref="C48" r:id="rId1"/>
    <hyperlink ref="C51" r:id="rId2"/>
    <hyperlink ref="D25" location="SSW_WRMP_MAIN_RESULTS" display="SSW_WRMP_MAIN_RESULTS"/>
    <hyperlink ref="D26" location="CAM_WRMP_MAIN_RESULTS" display="CAM_WRMP_MAIN_RESULTS"/>
    <hyperlink ref="D27" location="SSC_WTP_MAIN_RESULTS" display="SSC_WTP_MAIN_RESULTS"/>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M393"/>
  <sheetViews>
    <sheetView zoomScale="70" zoomScaleNormal="70" workbookViewId="0">
      <pane xSplit="4" ySplit="6" topLeftCell="E7" activePane="bottomRight" state="frozen"/>
      <selection pane="topRight"/>
      <selection pane="bottomLeft"/>
      <selection pane="bottomRight" activeCell="F8" sqref="F8"/>
    </sheetView>
  </sheetViews>
  <sheetFormatPr defaultColWidth="0" defaultRowHeight="15" zeroHeight="1" x14ac:dyDescent="0.25"/>
  <cols>
    <col min="1" max="1" width="27.7109375" style="176" customWidth="1"/>
    <col min="2" max="2" width="42" style="176" customWidth="1"/>
    <col min="3" max="3" width="22.42578125" style="176" customWidth="1"/>
    <col min="4" max="4" width="19.42578125" style="176" customWidth="1"/>
    <col min="5" max="20" width="14.140625" style="176" customWidth="1"/>
    <col min="21" max="30" width="14.140625" style="9" customWidth="1"/>
    <col min="31" max="36" width="14.140625" style="176" customWidth="1"/>
    <col min="37" max="39" width="14.140625" style="9" customWidth="1"/>
    <col min="40" max="16384" width="14.140625" style="176" hidden="1"/>
  </cols>
  <sheetData>
    <row r="1" spans="1:39" ht="28.5" x14ac:dyDescent="0.45">
      <c r="A1" s="102" t="s">
        <v>891</v>
      </c>
      <c r="B1" s="103"/>
      <c r="C1" s="103"/>
      <c r="D1" s="103"/>
      <c r="E1" s="103"/>
      <c r="F1" s="103"/>
      <c r="G1" s="103"/>
      <c r="H1" s="103"/>
      <c r="I1" s="102"/>
      <c r="J1" s="102"/>
      <c r="K1" s="102"/>
      <c r="L1" s="102"/>
      <c r="M1" s="102"/>
      <c r="N1" s="102"/>
      <c r="O1" s="102"/>
      <c r="P1" s="102"/>
      <c r="Q1" s="102"/>
      <c r="R1" s="102"/>
      <c r="S1" s="102"/>
      <c r="T1" s="102"/>
      <c r="U1" s="103"/>
      <c r="V1" s="103"/>
      <c r="W1" s="103"/>
      <c r="X1" s="103"/>
      <c r="Y1" s="103"/>
      <c r="Z1" s="102"/>
      <c r="AA1" s="102"/>
      <c r="AB1" s="102"/>
      <c r="AC1" s="102"/>
      <c r="AD1" s="102"/>
      <c r="AE1" s="102"/>
      <c r="AF1" s="102"/>
      <c r="AG1" s="102"/>
      <c r="AH1" s="102"/>
      <c r="AI1" s="102"/>
      <c r="AJ1" s="102"/>
      <c r="AK1" s="102"/>
      <c r="AL1" s="102"/>
      <c r="AM1" s="102"/>
    </row>
    <row r="2" spans="1:39" s="9" customFormat="1" ht="21.75" thickBot="1" x14ac:dyDescent="0.4">
      <c r="A2" s="112"/>
      <c r="B2" s="112"/>
      <c r="C2" s="112"/>
      <c r="D2" s="112"/>
      <c r="E2" s="166" t="s">
        <v>252</v>
      </c>
      <c r="F2" s="166"/>
      <c r="G2" s="166"/>
      <c r="H2" s="166"/>
      <c r="I2" s="166"/>
      <c r="J2" s="166"/>
      <c r="K2" s="166"/>
      <c r="L2" s="166"/>
      <c r="M2" s="166"/>
      <c r="N2" s="166"/>
      <c r="O2" s="166"/>
      <c r="P2" s="166"/>
      <c r="Q2" s="166"/>
      <c r="R2" s="166"/>
      <c r="S2" s="166"/>
      <c r="T2" s="166"/>
      <c r="U2" s="304" t="s">
        <v>253</v>
      </c>
      <c r="V2" s="164"/>
      <c r="W2" s="164"/>
      <c r="X2" s="164"/>
      <c r="Y2" s="164"/>
      <c r="Z2" s="164"/>
      <c r="AA2" s="164"/>
      <c r="AB2" s="164"/>
      <c r="AC2" s="164"/>
      <c r="AD2" s="164"/>
      <c r="AE2" s="164"/>
      <c r="AF2" s="164"/>
      <c r="AG2" s="164"/>
      <c r="AH2" s="164"/>
      <c r="AI2" s="164"/>
      <c r="AJ2" s="164"/>
      <c r="AK2" s="63"/>
      <c r="AL2" s="63"/>
      <c r="AM2" s="63"/>
    </row>
    <row r="3" spans="1:39" s="9" customFormat="1" ht="19.5" x14ac:dyDescent="0.3">
      <c r="A3" s="112"/>
      <c r="B3" s="112"/>
      <c r="C3" s="112"/>
      <c r="D3" s="112"/>
      <c r="E3" s="112"/>
      <c r="F3" s="112"/>
      <c r="G3" s="112"/>
      <c r="H3" s="112"/>
      <c r="I3" s="112"/>
      <c r="J3" s="112"/>
      <c r="K3" s="112"/>
      <c r="L3" s="112"/>
      <c r="M3" s="112"/>
      <c r="N3" s="112"/>
      <c r="O3" s="112"/>
      <c r="P3" s="112"/>
      <c r="Q3" s="112"/>
      <c r="R3" s="381"/>
      <c r="S3" s="382"/>
      <c r="T3" s="383"/>
      <c r="U3" s="112"/>
      <c r="V3" s="112"/>
      <c r="W3" s="112"/>
      <c r="X3" s="112"/>
      <c r="Y3" s="112"/>
      <c r="Z3" s="112"/>
      <c r="AA3" s="112"/>
      <c r="AB3" s="112"/>
      <c r="AC3" s="112"/>
      <c r="AD3" s="112"/>
      <c r="AE3" s="112"/>
      <c r="AF3" s="112"/>
      <c r="AG3" s="112"/>
      <c r="AH3" s="381"/>
      <c r="AI3" s="382"/>
      <c r="AJ3" s="383"/>
      <c r="AK3" s="63"/>
      <c r="AL3" s="63"/>
      <c r="AM3" s="63"/>
    </row>
    <row r="4" spans="1:39" s="9" customFormat="1" ht="15" customHeight="1" x14ac:dyDescent="0.25">
      <c r="A4" s="63"/>
      <c r="B4" s="63"/>
      <c r="C4" s="63"/>
      <c r="D4" s="63"/>
      <c r="E4" s="63" t="s">
        <v>5</v>
      </c>
      <c r="F4" s="63"/>
      <c r="G4" s="63"/>
      <c r="H4" s="771" t="s">
        <v>969</v>
      </c>
      <c r="I4" s="63" t="s">
        <v>377</v>
      </c>
      <c r="J4" s="63"/>
      <c r="K4" s="63"/>
      <c r="L4" s="63"/>
      <c r="M4" s="63"/>
      <c r="N4" s="63"/>
      <c r="O4" s="774" t="s">
        <v>971</v>
      </c>
      <c r="P4" s="129"/>
      <c r="Q4" s="253"/>
      <c r="R4" s="384" t="s">
        <v>404</v>
      </c>
      <c r="S4" s="775"/>
      <c r="T4" s="386"/>
      <c r="U4" s="63" t="s">
        <v>5</v>
      </c>
      <c r="V4" s="63"/>
      <c r="W4" s="63"/>
      <c r="X4" s="771" t="s">
        <v>969</v>
      </c>
      <c r="Y4" s="63" t="s">
        <v>377</v>
      </c>
      <c r="Z4" s="63"/>
      <c r="AA4" s="63"/>
      <c r="AB4" s="63"/>
      <c r="AC4" s="63"/>
      <c r="AD4" s="63"/>
      <c r="AE4" s="253" t="s">
        <v>405</v>
      </c>
      <c r="AF4" s="129"/>
      <c r="AG4" s="253"/>
      <c r="AH4" s="384" t="s">
        <v>404</v>
      </c>
      <c r="AI4" s="385"/>
      <c r="AJ4" s="386"/>
      <c r="AK4" s="63"/>
      <c r="AL4" s="63"/>
      <c r="AM4" s="63"/>
    </row>
    <row r="5" spans="1:39" s="175" customFormat="1" x14ac:dyDescent="0.25">
      <c r="A5" s="63" t="s">
        <v>24</v>
      </c>
      <c r="B5" s="63" t="s">
        <v>187</v>
      </c>
      <c r="C5" s="63" t="s">
        <v>4</v>
      </c>
      <c r="D5" s="63" t="s">
        <v>204</v>
      </c>
      <c r="E5" s="108" t="s">
        <v>378</v>
      </c>
      <c r="F5" s="177"/>
      <c r="G5" s="177"/>
      <c r="H5" s="772"/>
      <c r="I5" s="108"/>
      <c r="J5" s="177"/>
      <c r="K5" s="177"/>
      <c r="L5" s="177"/>
      <c r="M5" s="177"/>
      <c r="N5" s="177"/>
      <c r="O5" s="66"/>
      <c r="P5" s="177"/>
      <c r="Q5" s="66"/>
      <c r="R5" s="387"/>
      <c r="S5" s="388"/>
      <c r="T5" s="389"/>
      <c r="U5" s="108" t="s">
        <v>378</v>
      </c>
      <c r="V5" s="177"/>
      <c r="W5" s="177"/>
      <c r="X5" s="772"/>
      <c r="Y5" s="108"/>
      <c r="Z5" s="177"/>
      <c r="AA5" s="177"/>
      <c r="AB5" s="177"/>
      <c r="AC5" s="177"/>
      <c r="AD5" s="177"/>
      <c r="AE5" s="66"/>
      <c r="AF5" s="177"/>
      <c r="AG5" s="66"/>
      <c r="AH5" s="387"/>
      <c r="AI5" s="388"/>
      <c r="AJ5" s="389"/>
      <c r="AK5" s="167"/>
      <c r="AL5" s="167"/>
      <c r="AM5" s="167"/>
    </row>
    <row r="6" spans="1:39" s="64" customFormat="1" ht="75" x14ac:dyDescent="0.25">
      <c r="A6" s="177"/>
      <c r="B6" s="168" t="s">
        <v>372</v>
      </c>
      <c r="C6" s="177"/>
      <c r="D6" s="177"/>
      <c r="E6" s="113" t="s">
        <v>259</v>
      </c>
      <c r="F6" s="169" t="s">
        <v>260</v>
      </c>
      <c r="G6" s="170" t="s">
        <v>261</v>
      </c>
      <c r="H6" s="773" t="s">
        <v>970</v>
      </c>
      <c r="I6" s="171" t="s">
        <v>190</v>
      </c>
      <c r="J6" s="171" t="s">
        <v>191</v>
      </c>
      <c r="K6" s="171" t="s">
        <v>192</v>
      </c>
      <c r="L6" s="171" t="s">
        <v>193</v>
      </c>
      <c r="M6" s="171" t="s">
        <v>194</v>
      </c>
      <c r="N6" s="171" t="s">
        <v>195</v>
      </c>
      <c r="O6" s="171" t="s">
        <v>196</v>
      </c>
      <c r="P6" s="171" t="s">
        <v>197</v>
      </c>
      <c r="Q6" s="171" t="s">
        <v>198</v>
      </c>
      <c r="R6" s="390" t="s">
        <v>196</v>
      </c>
      <c r="S6" s="171" t="s">
        <v>197</v>
      </c>
      <c r="T6" s="391" t="s">
        <v>198</v>
      </c>
      <c r="U6" s="113" t="s">
        <v>259</v>
      </c>
      <c r="V6" s="169" t="s">
        <v>260</v>
      </c>
      <c r="W6" s="170" t="s">
        <v>261</v>
      </c>
      <c r="X6" s="773" t="s">
        <v>970</v>
      </c>
      <c r="Y6" s="171" t="s">
        <v>190</v>
      </c>
      <c r="Z6" s="171" t="s">
        <v>191</v>
      </c>
      <c r="AA6" s="171" t="s">
        <v>192</v>
      </c>
      <c r="AB6" s="171" t="s">
        <v>193</v>
      </c>
      <c r="AC6" s="171" t="s">
        <v>194</v>
      </c>
      <c r="AD6" s="171" t="s">
        <v>195</v>
      </c>
      <c r="AE6" s="171" t="s">
        <v>196</v>
      </c>
      <c r="AF6" s="171" t="s">
        <v>197</v>
      </c>
      <c r="AG6" s="171" t="s">
        <v>198</v>
      </c>
      <c r="AH6" s="390" t="s">
        <v>196</v>
      </c>
      <c r="AI6" s="171" t="s">
        <v>197</v>
      </c>
      <c r="AJ6" s="391" t="s">
        <v>198</v>
      </c>
      <c r="AK6" s="172"/>
      <c r="AL6" s="172"/>
      <c r="AM6" s="172"/>
    </row>
    <row r="7" spans="1:39" s="175" customFormat="1" x14ac:dyDescent="0.25">
      <c r="A7" s="64" t="s">
        <v>370</v>
      </c>
      <c r="B7" s="64" t="s">
        <v>371</v>
      </c>
      <c r="C7" s="9" t="s">
        <v>26</v>
      </c>
      <c r="D7" s="9" t="s">
        <v>200</v>
      </c>
      <c r="E7" s="134">
        <f>1/80</f>
        <v>1.2500000000000001E-2</v>
      </c>
      <c r="F7" s="134">
        <f>1/120</f>
        <v>8.3333333333333332E-3</v>
      </c>
      <c r="G7" s="134">
        <v>0</v>
      </c>
      <c r="H7" s="134" t="s">
        <v>260</v>
      </c>
      <c r="I7" s="161">
        <v>7.14</v>
      </c>
      <c r="J7" s="161">
        <v>8.6999999999999993</v>
      </c>
      <c r="K7" s="161">
        <v>10.25</v>
      </c>
      <c r="L7" s="161">
        <v>0.67</v>
      </c>
      <c r="M7" s="161">
        <v>0.82</v>
      </c>
      <c r="N7" s="161">
        <v>0.97</v>
      </c>
      <c r="O7" s="252">
        <f t="shared" ref="O7:Q8" si="0">HHProps_SSW*IF($H7="S1",I7,(I7+L7))</f>
        <v>3941280</v>
      </c>
      <c r="P7" s="252">
        <f t="shared" si="0"/>
        <v>4802400</v>
      </c>
      <c r="Q7" s="252">
        <f t="shared" si="0"/>
        <v>5658000</v>
      </c>
      <c r="R7" s="392">
        <f t="shared" ref="R7:T10" si="1">O7/(IF($H7="S1",($E7-$F7),($E7-$G7))*AllProps_SSW)</f>
        <v>1605.9544991511034</v>
      </c>
      <c r="S7" s="252">
        <f t="shared" si="1"/>
        <v>1956.8353140916806</v>
      </c>
      <c r="T7" s="393">
        <f t="shared" si="1"/>
        <v>2305.466893039049</v>
      </c>
      <c r="U7" s="134">
        <f t="shared" ref="U7:X10" si="2">E7</f>
        <v>1.2500000000000001E-2</v>
      </c>
      <c r="V7" s="134">
        <f t="shared" si="2"/>
        <v>8.3333333333333332E-3</v>
      </c>
      <c r="W7" s="134">
        <f t="shared" si="2"/>
        <v>0</v>
      </c>
      <c r="X7" s="134" t="str">
        <f t="shared" si="2"/>
        <v>S1</v>
      </c>
      <c r="Y7" s="136">
        <v>6.07</v>
      </c>
      <c r="Z7" s="136">
        <v>7.13</v>
      </c>
      <c r="AA7" s="136">
        <v>8.19</v>
      </c>
      <c r="AB7" s="136">
        <v>0.56999999999999995</v>
      </c>
      <c r="AC7" s="136">
        <v>0.67</v>
      </c>
      <c r="AD7" s="136">
        <v>0.76</v>
      </c>
      <c r="AE7" s="252">
        <f t="shared" ref="AE7:AG8" si="3">HHProps_CAM*IF($H7="S1",Y7,(Y7+AB7))</f>
        <v>795170</v>
      </c>
      <c r="AF7" s="252">
        <f t="shared" si="3"/>
        <v>934030</v>
      </c>
      <c r="AG7" s="252">
        <f t="shared" si="3"/>
        <v>1072890</v>
      </c>
      <c r="AH7" s="392">
        <f t="shared" ref="AH7:AJ10" si="4">AE7/(IF($H7="S1",($U7-$V7),($U7-$W7))*AllProps_CAM)</f>
        <v>1353.4808510638295</v>
      </c>
      <c r="AI7" s="252">
        <f t="shared" si="4"/>
        <v>1589.83829787234</v>
      </c>
      <c r="AJ7" s="393">
        <f t="shared" si="4"/>
        <v>1826.1957446808508</v>
      </c>
      <c r="AK7" s="194"/>
      <c r="AL7" s="194"/>
      <c r="AM7" s="194"/>
    </row>
    <row r="8" spans="1:39" x14ac:dyDescent="0.25">
      <c r="A8" s="9"/>
      <c r="B8" s="9"/>
      <c r="C8" s="9" t="s">
        <v>407</v>
      </c>
      <c r="D8" s="9" t="s">
        <v>188</v>
      </c>
      <c r="E8" s="134">
        <f>1/80</f>
        <v>1.2500000000000001E-2</v>
      </c>
      <c r="F8" s="134">
        <f>1/120</f>
        <v>8.3333333333333332E-3</v>
      </c>
      <c r="G8" s="134">
        <v>0</v>
      </c>
      <c r="H8" s="134" t="s">
        <v>260</v>
      </c>
      <c r="I8" s="161">
        <v>2.92</v>
      </c>
      <c r="J8" s="161">
        <v>3.34</v>
      </c>
      <c r="K8" s="161">
        <v>3.76</v>
      </c>
      <c r="L8" s="161">
        <v>0.73</v>
      </c>
      <c r="M8" s="161">
        <v>0.83</v>
      </c>
      <c r="N8" s="161">
        <v>0.94</v>
      </c>
      <c r="O8" s="252">
        <f t="shared" si="0"/>
        <v>1611840</v>
      </c>
      <c r="P8" s="252">
        <f t="shared" si="0"/>
        <v>1843680</v>
      </c>
      <c r="Q8" s="252">
        <f t="shared" si="0"/>
        <v>2075519.9999999998</v>
      </c>
      <c r="R8" s="392">
        <f t="shared" si="1"/>
        <v>656.77691001697781</v>
      </c>
      <c r="S8" s="252">
        <f t="shared" si="1"/>
        <v>751.24482173174863</v>
      </c>
      <c r="T8" s="393">
        <f t="shared" si="1"/>
        <v>845.71273344651934</v>
      </c>
      <c r="U8" s="134">
        <f t="shared" si="2"/>
        <v>1.2500000000000001E-2</v>
      </c>
      <c r="V8" s="134">
        <f t="shared" si="2"/>
        <v>8.3333333333333332E-3</v>
      </c>
      <c r="W8" s="134">
        <f t="shared" si="2"/>
        <v>0</v>
      </c>
      <c r="X8" s="134" t="str">
        <f t="shared" si="2"/>
        <v>S1</v>
      </c>
      <c r="Y8" s="136">
        <v>1.86</v>
      </c>
      <c r="Z8" s="136">
        <v>2.2200000000000002</v>
      </c>
      <c r="AA8" s="136">
        <v>2.58</v>
      </c>
      <c r="AB8" s="136">
        <v>0.64</v>
      </c>
      <c r="AC8" s="136">
        <v>0.75</v>
      </c>
      <c r="AD8" s="136">
        <v>0.87</v>
      </c>
      <c r="AE8" s="252">
        <f t="shared" si="3"/>
        <v>243660</v>
      </c>
      <c r="AF8" s="252">
        <f t="shared" si="3"/>
        <v>290820</v>
      </c>
      <c r="AG8" s="252">
        <f t="shared" si="3"/>
        <v>337980</v>
      </c>
      <c r="AH8" s="392">
        <f t="shared" si="4"/>
        <v>414.74042553191481</v>
      </c>
      <c r="AI8" s="252">
        <f t="shared" si="4"/>
        <v>495.01276595744673</v>
      </c>
      <c r="AJ8" s="393">
        <f t="shared" si="4"/>
        <v>575.2851063829786</v>
      </c>
    </row>
    <row r="9" spans="1:39" x14ac:dyDescent="0.25">
      <c r="A9" s="9"/>
      <c r="B9" s="9"/>
      <c r="C9" s="9"/>
      <c r="D9" s="9" t="s">
        <v>201</v>
      </c>
      <c r="E9" s="134">
        <f>1/80</f>
        <v>1.2500000000000001E-2</v>
      </c>
      <c r="F9" s="134">
        <f>1/120</f>
        <v>8.3333333333333332E-3</v>
      </c>
      <c r="G9" s="134">
        <v>0</v>
      </c>
      <c r="H9" s="134" t="s">
        <v>260</v>
      </c>
      <c r="I9" s="137">
        <v>0.02</v>
      </c>
      <c r="J9" s="137">
        <v>2.3E-2</v>
      </c>
      <c r="K9" s="137">
        <v>2.5000000000000001E-2</v>
      </c>
      <c r="L9" s="137">
        <v>1E-3</v>
      </c>
      <c r="M9" s="137">
        <v>2E-3</v>
      </c>
      <c r="N9" s="137">
        <v>3.0000000000000001E-3</v>
      </c>
      <c r="O9" s="252">
        <f t="shared" ref="O9:Q10" si="5">NHHProps_SSW*AvgNHHBill_SSW*IF($H9="S1",I9,(I9+L9))</f>
        <v>3273760</v>
      </c>
      <c r="P9" s="252">
        <f t="shared" si="5"/>
        <v>3764824</v>
      </c>
      <c r="Q9" s="252">
        <f t="shared" si="5"/>
        <v>4092200</v>
      </c>
      <c r="R9" s="392">
        <f t="shared" si="1"/>
        <v>1333.9599320882851</v>
      </c>
      <c r="S9" s="252">
        <f t="shared" si="1"/>
        <v>1534.0539219015279</v>
      </c>
      <c r="T9" s="393">
        <f t="shared" si="1"/>
        <v>1667.4499151103564</v>
      </c>
      <c r="U9" s="134">
        <f t="shared" si="2"/>
        <v>1.2500000000000001E-2</v>
      </c>
      <c r="V9" s="134">
        <f t="shared" si="2"/>
        <v>8.3333333333333332E-3</v>
      </c>
      <c r="W9" s="134">
        <f t="shared" si="2"/>
        <v>0</v>
      </c>
      <c r="X9" s="134" t="str">
        <f t="shared" si="2"/>
        <v>S1</v>
      </c>
      <c r="Y9" s="137">
        <v>8.7999999999999995E-2</v>
      </c>
      <c r="Z9" s="142">
        <v>0.109</v>
      </c>
      <c r="AA9" s="142">
        <v>0.129</v>
      </c>
      <c r="AB9" s="137">
        <v>7.0000000000000001E-3</v>
      </c>
      <c r="AC9" s="137">
        <v>8.0000000000000002E-3</v>
      </c>
      <c r="AD9" s="137">
        <v>0.01</v>
      </c>
      <c r="AE9" s="252">
        <f t="shared" ref="AE9:AG10" si="6">NHHProps_CAM*AvgNHHBill_CAM*IF($H9="S1",Y9,(Y9+AB9))</f>
        <v>4505600</v>
      </c>
      <c r="AF9" s="252">
        <f t="shared" si="6"/>
        <v>5580800</v>
      </c>
      <c r="AG9" s="252">
        <f t="shared" si="6"/>
        <v>6604800</v>
      </c>
      <c r="AH9" s="392">
        <f t="shared" si="4"/>
        <v>7669.1063829787217</v>
      </c>
      <c r="AI9" s="252">
        <f t="shared" si="4"/>
        <v>9499.2340425531893</v>
      </c>
      <c r="AJ9" s="393">
        <f t="shared" si="4"/>
        <v>11242.212765957445</v>
      </c>
    </row>
    <row r="10" spans="1:39" x14ac:dyDescent="0.25">
      <c r="A10" s="9"/>
      <c r="B10" s="9"/>
      <c r="C10" s="9"/>
      <c r="D10" s="9" t="s">
        <v>189</v>
      </c>
      <c r="E10" s="134">
        <f>1/80</f>
        <v>1.2500000000000001E-2</v>
      </c>
      <c r="F10" s="134">
        <f>1/120</f>
        <v>8.3333333333333332E-3</v>
      </c>
      <c r="G10" s="134">
        <v>0</v>
      </c>
      <c r="H10" s="134" t="s">
        <v>260</v>
      </c>
      <c r="I10" s="137">
        <v>0.01</v>
      </c>
      <c r="J10" s="137">
        <v>1.2E-2</v>
      </c>
      <c r="K10" s="137">
        <v>1.4E-2</v>
      </c>
      <c r="L10" s="137">
        <v>2E-3</v>
      </c>
      <c r="M10" s="137">
        <v>1E-3</v>
      </c>
      <c r="N10" s="137">
        <v>1E-3</v>
      </c>
      <c r="O10" s="252">
        <f t="shared" si="5"/>
        <v>1636880</v>
      </c>
      <c r="P10" s="252">
        <f t="shared" si="5"/>
        <v>1964256</v>
      </c>
      <c r="Q10" s="252">
        <f t="shared" si="5"/>
        <v>2291632</v>
      </c>
      <c r="R10" s="392">
        <f t="shared" si="1"/>
        <v>666.97996604414254</v>
      </c>
      <c r="S10" s="252">
        <f t="shared" si="1"/>
        <v>800.37595925297103</v>
      </c>
      <c r="T10" s="393">
        <f t="shared" si="1"/>
        <v>933.77195246179951</v>
      </c>
      <c r="U10" s="134">
        <f t="shared" si="2"/>
        <v>1.2500000000000001E-2</v>
      </c>
      <c r="V10" s="134">
        <f t="shared" si="2"/>
        <v>8.3333333333333332E-3</v>
      </c>
      <c r="W10" s="134">
        <f t="shared" si="2"/>
        <v>0</v>
      </c>
      <c r="X10" s="134" t="str">
        <f t="shared" si="2"/>
        <v>S1</v>
      </c>
      <c r="Y10" s="137">
        <v>6.0000000000000001E-3</v>
      </c>
      <c r="Z10" s="137">
        <v>8.9999999999999993E-3</v>
      </c>
      <c r="AA10" s="137">
        <v>1.2E-2</v>
      </c>
      <c r="AB10" s="137">
        <v>3.0000000000000001E-3</v>
      </c>
      <c r="AC10" s="137">
        <v>3.0000000000000001E-3</v>
      </c>
      <c r="AD10" s="137">
        <v>3.0000000000000001E-3</v>
      </c>
      <c r="AE10" s="252">
        <f t="shared" si="6"/>
        <v>307200</v>
      </c>
      <c r="AF10" s="252">
        <f t="shared" si="6"/>
        <v>460799.99999999994</v>
      </c>
      <c r="AG10" s="252">
        <f t="shared" si="6"/>
        <v>614400</v>
      </c>
      <c r="AH10" s="392">
        <f t="shared" si="4"/>
        <v>522.89361702127644</v>
      </c>
      <c r="AI10" s="252">
        <f t="shared" si="4"/>
        <v>784.34042553191466</v>
      </c>
      <c r="AJ10" s="393">
        <f t="shared" si="4"/>
        <v>1045.7872340425529</v>
      </c>
    </row>
    <row r="11" spans="1:39" x14ac:dyDescent="0.25">
      <c r="A11" s="9"/>
      <c r="B11" s="9"/>
      <c r="C11" s="9"/>
      <c r="D11" s="9" t="s">
        <v>202</v>
      </c>
      <c r="E11" s="195">
        <f>E8</f>
        <v>1.2500000000000001E-2</v>
      </c>
      <c r="F11" s="195">
        <f>F8</f>
        <v>8.3333333333333332E-3</v>
      </c>
      <c r="G11" s="195">
        <f>G8</f>
        <v>0</v>
      </c>
      <c r="H11" s="148"/>
      <c r="I11" s="196">
        <f t="shared" ref="I11:W11" si="7">I8</f>
        <v>2.92</v>
      </c>
      <c r="J11" s="196">
        <f t="shared" si="7"/>
        <v>3.34</v>
      </c>
      <c r="K11" s="196">
        <f t="shared" si="7"/>
        <v>3.76</v>
      </c>
      <c r="L11" s="196">
        <f t="shared" si="7"/>
        <v>0.73</v>
      </c>
      <c r="M11" s="196">
        <f t="shared" si="7"/>
        <v>0.83</v>
      </c>
      <c r="N11" s="196">
        <f t="shared" si="7"/>
        <v>0.94</v>
      </c>
      <c r="O11" s="254">
        <f t="shared" si="7"/>
        <v>1611840</v>
      </c>
      <c r="P11" s="254">
        <f t="shared" si="7"/>
        <v>1843680</v>
      </c>
      <c r="Q11" s="254">
        <f t="shared" si="7"/>
        <v>2075519.9999999998</v>
      </c>
      <c r="R11" s="394">
        <f t="shared" si="7"/>
        <v>656.77691001697781</v>
      </c>
      <c r="S11" s="256">
        <f t="shared" si="7"/>
        <v>751.24482173174863</v>
      </c>
      <c r="T11" s="395">
        <f t="shared" si="7"/>
        <v>845.71273344651934</v>
      </c>
      <c r="U11" s="195">
        <f t="shared" si="7"/>
        <v>1.2500000000000001E-2</v>
      </c>
      <c r="V11" s="195">
        <f t="shared" si="7"/>
        <v>8.3333333333333332E-3</v>
      </c>
      <c r="W11" s="195">
        <f t="shared" si="7"/>
        <v>0</v>
      </c>
      <c r="X11" s="195"/>
      <c r="Y11" s="196">
        <f t="shared" ref="Y11:AJ11" si="8">Y8</f>
        <v>1.86</v>
      </c>
      <c r="Z11" s="196">
        <f t="shared" si="8"/>
        <v>2.2200000000000002</v>
      </c>
      <c r="AA11" s="196">
        <f t="shared" si="8"/>
        <v>2.58</v>
      </c>
      <c r="AB11" s="196">
        <f t="shared" si="8"/>
        <v>0.64</v>
      </c>
      <c r="AC11" s="196">
        <f t="shared" si="8"/>
        <v>0.75</v>
      </c>
      <c r="AD11" s="196">
        <f t="shared" si="8"/>
        <v>0.87</v>
      </c>
      <c r="AE11" s="254">
        <f t="shared" si="8"/>
        <v>243660</v>
      </c>
      <c r="AF11" s="254">
        <f t="shared" si="8"/>
        <v>290820</v>
      </c>
      <c r="AG11" s="254">
        <f t="shared" si="8"/>
        <v>337980</v>
      </c>
      <c r="AH11" s="394">
        <f t="shared" si="8"/>
        <v>414.74042553191481</v>
      </c>
      <c r="AI11" s="256">
        <f t="shared" si="8"/>
        <v>495.01276595744673</v>
      </c>
      <c r="AJ11" s="395">
        <f t="shared" si="8"/>
        <v>575.2851063829786</v>
      </c>
    </row>
    <row r="12" spans="1:39" x14ac:dyDescent="0.25">
      <c r="A12" s="128"/>
      <c r="B12" s="9"/>
      <c r="C12" s="9"/>
      <c r="D12" s="9" t="s">
        <v>203</v>
      </c>
      <c r="E12" s="195">
        <f>E10</f>
        <v>1.2500000000000001E-2</v>
      </c>
      <c r="F12" s="195">
        <f>F10</f>
        <v>8.3333333333333332E-3</v>
      </c>
      <c r="G12" s="195">
        <f>G10</f>
        <v>0</v>
      </c>
      <c r="H12" s="148"/>
      <c r="I12" s="195">
        <f t="shared" ref="I12:W12" si="9">I10</f>
        <v>0.01</v>
      </c>
      <c r="J12" s="195">
        <f t="shared" si="9"/>
        <v>1.2E-2</v>
      </c>
      <c r="K12" s="195">
        <f t="shared" si="9"/>
        <v>1.4E-2</v>
      </c>
      <c r="L12" s="195">
        <f t="shared" si="9"/>
        <v>2E-3</v>
      </c>
      <c r="M12" s="195">
        <f t="shared" si="9"/>
        <v>1E-3</v>
      </c>
      <c r="N12" s="195">
        <f t="shared" si="9"/>
        <v>1E-3</v>
      </c>
      <c r="O12" s="254">
        <f t="shared" si="9"/>
        <v>1636880</v>
      </c>
      <c r="P12" s="254">
        <f t="shared" si="9"/>
        <v>1964256</v>
      </c>
      <c r="Q12" s="254">
        <f t="shared" si="9"/>
        <v>2291632</v>
      </c>
      <c r="R12" s="394">
        <f t="shared" si="9"/>
        <v>666.97996604414254</v>
      </c>
      <c r="S12" s="256">
        <f t="shared" si="9"/>
        <v>800.37595925297103</v>
      </c>
      <c r="T12" s="395">
        <f t="shared" si="9"/>
        <v>933.77195246179951</v>
      </c>
      <c r="U12" s="195">
        <f t="shared" si="9"/>
        <v>1.2500000000000001E-2</v>
      </c>
      <c r="V12" s="195">
        <f t="shared" si="9"/>
        <v>8.3333333333333332E-3</v>
      </c>
      <c r="W12" s="195">
        <f t="shared" si="9"/>
        <v>0</v>
      </c>
      <c r="X12" s="195"/>
      <c r="Y12" s="195">
        <f t="shared" ref="Y12:AJ12" si="10">Y10</f>
        <v>6.0000000000000001E-3</v>
      </c>
      <c r="Z12" s="195">
        <f t="shared" si="10"/>
        <v>8.9999999999999993E-3</v>
      </c>
      <c r="AA12" s="195">
        <f t="shared" si="10"/>
        <v>1.2E-2</v>
      </c>
      <c r="AB12" s="195">
        <f t="shared" si="10"/>
        <v>3.0000000000000001E-3</v>
      </c>
      <c r="AC12" s="195">
        <f t="shared" si="10"/>
        <v>3.0000000000000001E-3</v>
      </c>
      <c r="AD12" s="195">
        <f t="shared" si="10"/>
        <v>3.0000000000000001E-3</v>
      </c>
      <c r="AE12" s="254">
        <f t="shared" si="10"/>
        <v>307200</v>
      </c>
      <c r="AF12" s="254">
        <f t="shared" si="10"/>
        <v>460799.99999999994</v>
      </c>
      <c r="AG12" s="254">
        <f t="shared" si="10"/>
        <v>614400</v>
      </c>
      <c r="AH12" s="394">
        <f t="shared" si="10"/>
        <v>522.89361702127644</v>
      </c>
      <c r="AI12" s="256">
        <f t="shared" si="10"/>
        <v>784.34042553191466</v>
      </c>
      <c r="AJ12" s="395">
        <f t="shared" si="10"/>
        <v>1045.7872340425529</v>
      </c>
      <c r="AK12" s="145"/>
      <c r="AL12" s="145"/>
      <c r="AM12" s="145"/>
    </row>
    <row r="13" spans="1:39" x14ac:dyDescent="0.25">
      <c r="A13" s="128"/>
      <c r="B13" s="9"/>
      <c r="C13" s="9"/>
      <c r="D13" s="9" t="s">
        <v>256</v>
      </c>
      <c r="E13" s="177"/>
      <c r="F13" s="177"/>
      <c r="G13" s="177"/>
      <c r="H13" s="177"/>
      <c r="I13" s="197"/>
      <c r="J13" s="182"/>
      <c r="K13" s="198"/>
      <c r="L13" s="199"/>
      <c r="M13" s="200"/>
      <c r="N13" s="200"/>
      <c r="O13" s="254">
        <f t="shared" ref="O13:T13" si="11">SUM(O11:O12)</f>
        <v>3248720</v>
      </c>
      <c r="P13" s="254">
        <f t="shared" si="11"/>
        <v>3807936</v>
      </c>
      <c r="Q13" s="254">
        <f t="shared" si="11"/>
        <v>4367152</v>
      </c>
      <c r="R13" s="396">
        <f t="shared" si="11"/>
        <v>1323.7568760611202</v>
      </c>
      <c r="S13" s="397">
        <f t="shared" si="11"/>
        <v>1551.6207809847197</v>
      </c>
      <c r="T13" s="398">
        <f t="shared" si="11"/>
        <v>1779.4846859083189</v>
      </c>
      <c r="U13" s="177"/>
      <c r="V13" s="177"/>
      <c r="W13" s="177"/>
      <c r="X13" s="177"/>
      <c r="Y13" s="197"/>
      <c r="Z13" s="182"/>
      <c r="AA13" s="201"/>
      <c r="AB13" s="199"/>
      <c r="AC13" s="197"/>
      <c r="AD13" s="182"/>
      <c r="AE13" s="254">
        <f t="shared" ref="AE13:AJ13" si="12">SUM(AE11:AE12)</f>
        <v>550860</v>
      </c>
      <c r="AF13" s="254">
        <f t="shared" si="12"/>
        <v>751620</v>
      </c>
      <c r="AG13" s="254">
        <f t="shared" si="12"/>
        <v>952380</v>
      </c>
      <c r="AH13" s="396">
        <f t="shared" si="12"/>
        <v>937.63404255319119</v>
      </c>
      <c r="AI13" s="397">
        <f t="shared" si="12"/>
        <v>1279.3531914893615</v>
      </c>
      <c r="AJ13" s="398">
        <f t="shared" si="12"/>
        <v>1621.0723404255314</v>
      </c>
      <c r="AK13" s="145"/>
      <c r="AL13" s="145"/>
      <c r="AM13" s="145"/>
    </row>
    <row r="14" spans="1:39" s="175" customFormat="1" x14ac:dyDescent="0.25">
      <c r="A14" s="64" t="s">
        <v>25</v>
      </c>
      <c r="B14" s="64" t="s">
        <v>91</v>
      </c>
      <c r="C14" s="9" t="s">
        <v>26</v>
      </c>
      <c r="D14" s="9" t="s">
        <v>200</v>
      </c>
      <c r="E14" s="134">
        <f>1/15</f>
        <v>6.6666666666666666E-2</v>
      </c>
      <c r="F14" s="134">
        <f>1/25</f>
        <v>0.04</v>
      </c>
      <c r="G14" s="134">
        <v>0</v>
      </c>
      <c r="H14" s="134" t="s">
        <v>260</v>
      </c>
      <c r="I14" s="136">
        <v>1.28</v>
      </c>
      <c r="J14" s="136">
        <v>1.56</v>
      </c>
      <c r="K14" s="136">
        <v>1.84</v>
      </c>
      <c r="L14" s="136">
        <v>4.12</v>
      </c>
      <c r="M14" s="136">
        <v>5.0199999999999996</v>
      </c>
      <c r="N14" s="136">
        <v>5.92</v>
      </c>
      <c r="O14" s="252">
        <f t="shared" ref="O14:Q15" si="13">HHProps_SSW*IF($H14="S1",I14,(I14+L14))</f>
        <v>706560</v>
      </c>
      <c r="P14" s="252">
        <f t="shared" si="13"/>
        <v>861120</v>
      </c>
      <c r="Q14" s="252">
        <f t="shared" si="13"/>
        <v>1015680</v>
      </c>
      <c r="R14" s="392">
        <f t="shared" ref="R14:T17" si="14">O14/(IF($H14="S1",($E14-$F14),($E14-$G14))*AllProps_SSW)</f>
        <v>44.984719864176569</v>
      </c>
      <c r="S14" s="252">
        <f t="shared" si="14"/>
        <v>54.825127334465201</v>
      </c>
      <c r="T14" s="393">
        <f t="shared" si="14"/>
        <v>64.665534804753818</v>
      </c>
      <c r="U14" s="134">
        <f>1/45</f>
        <v>2.2222222222222223E-2</v>
      </c>
      <c r="V14" s="134">
        <f>1/65</f>
        <v>1.5384615384615385E-2</v>
      </c>
      <c r="W14" s="134">
        <v>0</v>
      </c>
      <c r="X14" s="134" t="str">
        <f>H14</f>
        <v>S1</v>
      </c>
      <c r="Y14" s="136">
        <v>2.86</v>
      </c>
      <c r="Z14" s="136">
        <v>3.34</v>
      </c>
      <c r="AA14" s="136">
        <v>3.83</v>
      </c>
      <c r="AB14" s="136">
        <v>1.87</v>
      </c>
      <c r="AC14" s="136">
        <v>2.1800000000000002</v>
      </c>
      <c r="AD14" s="136">
        <v>2.5</v>
      </c>
      <c r="AE14" s="252">
        <f t="shared" ref="AE14:AG15" si="15">HHProps_CAM*IF($H14="S1",Y14,(Y14+AB14))</f>
        <v>374660</v>
      </c>
      <c r="AF14" s="252">
        <f t="shared" si="15"/>
        <v>437540</v>
      </c>
      <c r="AG14" s="252">
        <f t="shared" si="15"/>
        <v>501730</v>
      </c>
      <c r="AH14" s="392">
        <f t="shared" ref="AH14:AJ17" si="16">AE14/(IF($H14="S1",($U14-$V14),($U14-$W14))*AllProps_CAM)</f>
        <v>388.61010638297876</v>
      </c>
      <c r="AI14" s="252">
        <f t="shared" si="16"/>
        <v>453.83138297872341</v>
      </c>
      <c r="AJ14" s="393">
        <f t="shared" si="16"/>
        <v>520.41143617021282</v>
      </c>
      <c r="AK14" s="194"/>
      <c r="AL14" s="194"/>
      <c r="AM14" s="194"/>
    </row>
    <row r="15" spans="1:39" x14ac:dyDescent="0.25">
      <c r="A15" s="9"/>
      <c r="B15" s="9"/>
      <c r="C15" s="9" t="s">
        <v>407</v>
      </c>
      <c r="D15" s="9" t="s">
        <v>188</v>
      </c>
      <c r="E15" s="134">
        <f>34600/552000</f>
        <v>6.2681159420289859E-2</v>
      </c>
      <c r="F15" s="134">
        <f>17300/552000</f>
        <v>3.1340579710144929E-2</v>
      </c>
      <c r="G15" s="134">
        <v>0</v>
      </c>
      <c r="H15" s="134" t="s">
        <v>260</v>
      </c>
      <c r="I15" s="136">
        <v>0.81</v>
      </c>
      <c r="J15" s="136">
        <v>0.93</v>
      </c>
      <c r="K15" s="136">
        <v>1.05</v>
      </c>
      <c r="L15" s="136">
        <v>2.0499999999999998</v>
      </c>
      <c r="M15" s="136">
        <v>2.33</v>
      </c>
      <c r="N15" s="136">
        <v>2.62</v>
      </c>
      <c r="O15" s="252">
        <f t="shared" si="13"/>
        <v>447120.00000000006</v>
      </c>
      <c r="P15" s="252">
        <f t="shared" si="13"/>
        <v>513360</v>
      </c>
      <c r="Q15" s="252">
        <f t="shared" si="13"/>
        <v>579600</v>
      </c>
      <c r="R15" s="392">
        <f t="shared" si="14"/>
        <v>24.221541360393338</v>
      </c>
      <c r="S15" s="252">
        <f t="shared" si="14"/>
        <v>27.809917858229387</v>
      </c>
      <c r="T15" s="393">
        <f t="shared" si="14"/>
        <v>31.398294356065435</v>
      </c>
      <c r="U15" s="134">
        <f>2800/131000</f>
        <v>2.1374045801526718E-2</v>
      </c>
      <c r="V15" s="134">
        <f>1400/131000</f>
        <v>1.0687022900763359E-2</v>
      </c>
      <c r="W15" s="134">
        <v>0</v>
      </c>
      <c r="X15" s="134" t="str">
        <f>H15</f>
        <v>S1</v>
      </c>
      <c r="Y15" s="136">
        <v>2.94</v>
      </c>
      <c r="Z15" s="136">
        <v>3.51</v>
      </c>
      <c r="AA15" s="136">
        <v>4.09</v>
      </c>
      <c r="AB15" s="136">
        <v>0.88</v>
      </c>
      <c r="AC15" s="136">
        <v>1.05</v>
      </c>
      <c r="AD15" s="136">
        <v>1.22</v>
      </c>
      <c r="AE15" s="252">
        <f t="shared" si="15"/>
        <v>385140</v>
      </c>
      <c r="AF15" s="252">
        <f t="shared" si="15"/>
        <v>459810</v>
      </c>
      <c r="AG15" s="252">
        <f t="shared" si="15"/>
        <v>535790</v>
      </c>
      <c r="AH15" s="392">
        <f t="shared" si="16"/>
        <v>255.58936170212766</v>
      </c>
      <c r="AI15" s="252">
        <f t="shared" si="16"/>
        <v>305.14240121580548</v>
      </c>
      <c r="AJ15" s="393">
        <f t="shared" si="16"/>
        <v>355.56479229989873</v>
      </c>
    </row>
    <row r="16" spans="1:39" x14ac:dyDescent="0.25">
      <c r="A16" s="9"/>
      <c r="B16" s="9"/>
      <c r="C16" s="9"/>
      <c r="D16" s="9" t="s">
        <v>201</v>
      </c>
      <c r="E16" s="134">
        <f>1/15</f>
        <v>6.6666666666666666E-2</v>
      </c>
      <c r="F16" s="134">
        <f>1/25</f>
        <v>0.04</v>
      </c>
      <c r="G16" s="134">
        <v>0</v>
      </c>
      <c r="H16" s="134" t="s">
        <v>260</v>
      </c>
      <c r="I16" s="137">
        <v>5.0000000000000001E-3</v>
      </c>
      <c r="J16" s="137">
        <v>5.0000000000000001E-3</v>
      </c>
      <c r="K16" s="137">
        <v>6.0000000000000001E-3</v>
      </c>
      <c r="L16" s="137">
        <v>6.0000000000000001E-3</v>
      </c>
      <c r="M16" s="137">
        <v>7.0000000000000001E-3</v>
      </c>
      <c r="N16" s="137">
        <v>7.0000000000000001E-3</v>
      </c>
      <c r="O16" s="252">
        <f t="shared" ref="O16:Q17" si="17">NHHProps_SSW*AvgNHHBill_SSW*IF($H16="S1",I16,(I16+L16))</f>
        <v>818440</v>
      </c>
      <c r="P16" s="252">
        <f t="shared" si="17"/>
        <v>818440</v>
      </c>
      <c r="Q16" s="252">
        <f t="shared" si="17"/>
        <v>982128</v>
      </c>
      <c r="R16" s="392">
        <f t="shared" si="14"/>
        <v>52.107809847198645</v>
      </c>
      <c r="S16" s="252">
        <f t="shared" si="14"/>
        <v>52.107809847198645</v>
      </c>
      <c r="T16" s="393">
        <f t="shared" si="14"/>
        <v>62.529371816638374</v>
      </c>
      <c r="U16" s="134">
        <f>1/45</f>
        <v>2.2222222222222223E-2</v>
      </c>
      <c r="V16" s="134">
        <f>1/65</f>
        <v>1.5384615384615385E-2</v>
      </c>
      <c r="W16" s="134">
        <v>0</v>
      </c>
      <c r="X16" s="134" t="str">
        <f>H16</f>
        <v>S1</v>
      </c>
      <c r="Y16" s="137">
        <v>2.5999999999999999E-2</v>
      </c>
      <c r="Z16" s="142">
        <v>3.3000000000000002E-2</v>
      </c>
      <c r="AA16" s="142">
        <v>0.04</v>
      </c>
      <c r="AB16" s="137">
        <v>3.3000000000000002E-2</v>
      </c>
      <c r="AC16" s="142">
        <v>3.9E-2</v>
      </c>
      <c r="AD16" s="142">
        <v>4.3999999999999997E-2</v>
      </c>
      <c r="AE16" s="252">
        <f t="shared" ref="AE16:AG17" si="18">NHHProps_CAM*AvgNHHBill_CAM*IF($H16="S1",Y16,(Y16+AB16))</f>
        <v>1331200</v>
      </c>
      <c r="AF16" s="252">
        <f t="shared" si="18"/>
        <v>1689600</v>
      </c>
      <c r="AG16" s="252">
        <f t="shared" si="18"/>
        <v>2048000</v>
      </c>
      <c r="AH16" s="392">
        <f t="shared" si="16"/>
        <v>1380.7659574468084</v>
      </c>
      <c r="AI16" s="252">
        <f t="shared" si="16"/>
        <v>1752.5106382978724</v>
      </c>
      <c r="AJ16" s="393">
        <f t="shared" si="16"/>
        <v>2124.255319148936</v>
      </c>
    </row>
    <row r="17" spans="1:39" x14ac:dyDescent="0.25">
      <c r="A17" s="9"/>
      <c r="B17" s="9"/>
      <c r="C17" s="9"/>
      <c r="D17" s="9" t="s">
        <v>189</v>
      </c>
      <c r="E17" s="134">
        <f>2320/37000</f>
        <v>6.2702702702702701E-2</v>
      </c>
      <c r="F17" s="134">
        <f>1160/37000</f>
        <v>3.135135135135135E-2</v>
      </c>
      <c r="G17" s="134">
        <v>0</v>
      </c>
      <c r="H17" s="134" t="s">
        <v>260</v>
      </c>
      <c r="I17" s="137">
        <v>5.0000000000000001E-3</v>
      </c>
      <c r="J17" s="137">
        <v>5.0000000000000001E-3</v>
      </c>
      <c r="K17" s="137">
        <v>6.0000000000000001E-3</v>
      </c>
      <c r="L17" s="137">
        <v>8.9999999999999993E-3</v>
      </c>
      <c r="M17" s="137">
        <v>1.0999999999999999E-2</v>
      </c>
      <c r="N17" s="137">
        <v>1.2999999999999999E-2</v>
      </c>
      <c r="O17" s="252">
        <f t="shared" si="17"/>
        <v>818440</v>
      </c>
      <c r="P17" s="252">
        <f t="shared" si="17"/>
        <v>818440</v>
      </c>
      <c r="Q17" s="252">
        <f t="shared" si="17"/>
        <v>982128</v>
      </c>
      <c r="R17" s="392">
        <f t="shared" si="14"/>
        <v>44.321585387272407</v>
      </c>
      <c r="S17" s="252">
        <f t="shared" si="14"/>
        <v>44.321585387272407</v>
      </c>
      <c r="T17" s="393">
        <f t="shared" si="14"/>
        <v>53.185902464726887</v>
      </c>
      <c r="U17" s="134">
        <f>210/10000</f>
        <v>2.1000000000000001E-2</v>
      </c>
      <c r="V17" s="134">
        <f>110/10000</f>
        <v>1.0999999999999999E-2</v>
      </c>
      <c r="W17" s="134">
        <v>0</v>
      </c>
      <c r="X17" s="134" t="str">
        <f>H17</f>
        <v>S1</v>
      </c>
      <c r="Y17" s="137">
        <v>6.0000000000000001E-3</v>
      </c>
      <c r="Z17" s="137">
        <v>8.0000000000000002E-3</v>
      </c>
      <c r="AA17" s="137">
        <v>8.9999999999999993E-3</v>
      </c>
      <c r="AB17" s="137">
        <v>3.0000000000000001E-3</v>
      </c>
      <c r="AC17" s="137">
        <v>3.0000000000000001E-3</v>
      </c>
      <c r="AD17" s="137">
        <v>3.0000000000000001E-3</v>
      </c>
      <c r="AE17" s="252">
        <f t="shared" si="18"/>
        <v>307200</v>
      </c>
      <c r="AF17" s="252">
        <f t="shared" si="18"/>
        <v>409600</v>
      </c>
      <c r="AG17" s="252">
        <f t="shared" si="18"/>
        <v>460799.99999999994</v>
      </c>
      <c r="AH17" s="392">
        <f t="shared" si="16"/>
        <v>217.87234042553189</v>
      </c>
      <c r="AI17" s="252">
        <f t="shared" si="16"/>
        <v>290.49645390070918</v>
      </c>
      <c r="AJ17" s="393">
        <f t="shared" si="16"/>
        <v>326.80851063829778</v>
      </c>
    </row>
    <row r="18" spans="1:39" x14ac:dyDescent="0.25">
      <c r="A18" s="9"/>
      <c r="B18" s="9"/>
      <c r="C18" s="9"/>
      <c r="D18" s="9" t="s">
        <v>202</v>
      </c>
      <c r="E18" s="195">
        <f>E15</f>
        <v>6.2681159420289859E-2</v>
      </c>
      <c r="F18" s="195">
        <f>F15</f>
        <v>3.1340579710144929E-2</v>
      </c>
      <c r="G18" s="195">
        <f>G15</f>
        <v>0</v>
      </c>
      <c r="H18" s="195"/>
      <c r="I18" s="196">
        <f t="shared" ref="I18:W18" si="19">I15</f>
        <v>0.81</v>
      </c>
      <c r="J18" s="196">
        <f t="shared" si="19"/>
        <v>0.93</v>
      </c>
      <c r="K18" s="196">
        <f t="shared" si="19"/>
        <v>1.05</v>
      </c>
      <c r="L18" s="196">
        <f t="shared" si="19"/>
        <v>2.0499999999999998</v>
      </c>
      <c r="M18" s="196">
        <f t="shared" si="19"/>
        <v>2.33</v>
      </c>
      <c r="N18" s="196">
        <f t="shared" si="19"/>
        <v>2.62</v>
      </c>
      <c r="O18" s="254">
        <f t="shared" si="19"/>
        <v>447120.00000000006</v>
      </c>
      <c r="P18" s="254">
        <f t="shared" si="19"/>
        <v>513360</v>
      </c>
      <c r="Q18" s="254">
        <f t="shared" si="19"/>
        <v>579600</v>
      </c>
      <c r="R18" s="394">
        <f t="shared" si="19"/>
        <v>24.221541360393338</v>
      </c>
      <c r="S18" s="256">
        <f t="shared" si="19"/>
        <v>27.809917858229387</v>
      </c>
      <c r="T18" s="395">
        <f t="shared" si="19"/>
        <v>31.398294356065435</v>
      </c>
      <c r="U18" s="195">
        <f t="shared" si="19"/>
        <v>2.1374045801526718E-2</v>
      </c>
      <c r="V18" s="195">
        <f t="shared" si="19"/>
        <v>1.0687022900763359E-2</v>
      </c>
      <c r="W18" s="195">
        <f t="shared" si="19"/>
        <v>0</v>
      </c>
      <c r="X18" s="195"/>
      <c r="Y18" s="196">
        <f t="shared" ref="Y18:AJ18" si="20">Y15</f>
        <v>2.94</v>
      </c>
      <c r="Z18" s="196">
        <f t="shared" si="20"/>
        <v>3.51</v>
      </c>
      <c r="AA18" s="196">
        <f t="shared" si="20"/>
        <v>4.09</v>
      </c>
      <c r="AB18" s="196">
        <f t="shared" si="20"/>
        <v>0.88</v>
      </c>
      <c r="AC18" s="196">
        <f t="shared" si="20"/>
        <v>1.05</v>
      </c>
      <c r="AD18" s="196">
        <f t="shared" si="20"/>
        <v>1.22</v>
      </c>
      <c r="AE18" s="254">
        <f t="shared" si="20"/>
        <v>385140</v>
      </c>
      <c r="AF18" s="254">
        <f t="shared" si="20"/>
        <v>459810</v>
      </c>
      <c r="AG18" s="254">
        <f t="shared" si="20"/>
        <v>535790</v>
      </c>
      <c r="AH18" s="394">
        <f t="shared" si="20"/>
        <v>255.58936170212766</v>
      </c>
      <c r="AI18" s="256">
        <f t="shared" si="20"/>
        <v>305.14240121580548</v>
      </c>
      <c r="AJ18" s="395">
        <f t="shared" si="20"/>
        <v>355.56479229989873</v>
      </c>
    </row>
    <row r="19" spans="1:39" x14ac:dyDescent="0.25">
      <c r="A19" s="128"/>
      <c r="B19" s="9"/>
      <c r="C19" s="9"/>
      <c r="D19" s="9" t="s">
        <v>203</v>
      </c>
      <c r="E19" s="195">
        <f>E17</f>
        <v>6.2702702702702701E-2</v>
      </c>
      <c r="F19" s="195">
        <f>F17</f>
        <v>3.135135135135135E-2</v>
      </c>
      <c r="G19" s="195">
        <f>G17</f>
        <v>0</v>
      </c>
      <c r="H19" s="195"/>
      <c r="I19" s="195">
        <f t="shared" ref="I19:W19" si="21">I17</f>
        <v>5.0000000000000001E-3</v>
      </c>
      <c r="J19" s="195">
        <f t="shared" si="21"/>
        <v>5.0000000000000001E-3</v>
      </c>
      <c r="K19" s="195">
        <f t="shared" si="21"/>
        <v>6.0000000000000001E-3</v>
      </c>
      <c r="L19" s="195">
        <f t="shared" si="21"/>
        <v>8.9999999999999993E-3</v>
      </c>
      <c r="M19" s="195">
        <f t="shared" si="21"/>
        <v>1.0999999999999999E-2</v>
      </c>
      <c r="N19" s="195">
        <f t="shared" si="21"/>
        <v>1.2999999999999999E-2</v>
      </c>
      <c r="O19" s="254">
        <f t="shared" si="21"/>
        <v>818440</v>
      </c>
      <c r="P19" s="254">
        <f t="shared" si="21"/>
        <v>818440</v>
      </c>
      <c r="Q19" s="254">
        <f t="shared" si="21"/>
        <v>982128</v>
      </c>
      <c r="R19" s="394">
        <f t="shared" si="21"/>
        <v>44.321585387272407</v>
      </c>
      <c r="S19" s="256">
        <f t="shared" si="21"/>
        <v>44.321585387272407</v>
      </c>
      <c r="T19" s="395">
        <f t="shared" si="21"/>
        <v>53.185902464726887</v>
      </c>
      <c r="U19" s="195">
        <f t="shared" si="21"/>
        <v>2.1000000000000001E-2</v>
      </c>
      <c r="V19" s="195">
        <f t="shared" si="21"/>
        <v>1.0999999999999999E-2</v>
      </c>
      <c r="W19" s="195">
        <f t="shared" si="21"/>
        <v>0</v>
      </c>
      <c r="X19" s="195"/>
      <c r="Y19" s="195">
        <f t="shared" ref="Y19:AJ19" si="22">Y17</f>
        <v>6.0000000000000001E-3</v>
      </c>
      <c r="Z19" s="195">
        <f t="shared" si="22"/>
        <v>8.0000000000000002E-3</v>
      </c>
      <c r="AA19" s="195">
        <f t="shared" si="22"/>
        <v>8.9999999999999993E-3</v>
      </c>
      <c r="AB19" s="195">
        <f t="shared" si="22"/>
        <v>3.0000000000000001E-3</v>
      </c>
      <c r="AC19" s="195">
        <f t="shared" si="22"/>
        <v>3.0000000000000001E-3</v>
      </c>
      <c r="AD19" s="195">
        <f t="shared" si="22"/>
        <v>3.0000000000000001E-3</v>
      </c>
      <c r="AE19" s="254">
        <f t="shared" si="22"/>
        <v>307200</v>
      </c>
      <c r="AF19" s="254">
        <f t="shared" si="22"/>
        <v>409600</v>
      </c>
      <c r="AG19" s="254">
        <f t="shared" si="22"/>
        <v>460799.99999999994</v>
      </c>
      <c r="AH19" s="394">
        <f t="shared" si="22"/>
        <v>217.87234042553189</v>
      </c>
      <c r="AI19" s="256">
        <f t="shared" si="22"/>
        <v>290.49645390070918</v>
      </c>
      <c r="AJ19" s="395">
        <f t="shared" si="22"/>
        <v>326.80851063829778</v>
      </c>
      <c r="AK19" s="145"/>
      <c r="AL19" s="145"/>
      <c r="AM19" s="145"/>
    </row>
    <row r="20" spans="1:39" x14ac:dyDescent="0.25">
      <c r="A20" s="128"/>
      <c r="B20" s="9"/>
      <c r="C20" s="9"/>
      <c r="D20" s="9" t="s">
        <v>256</v>
      </c>
      <c r="E20" s="177"/>
      <c r="F20" s="177"/>
      <c r="G20" s="177"/>
      <c r="H20" s="177"/>
      <c r="I20" s="197"/>
      <c r="J20" s="182"/>
      <c r="K20" s="198"/>
      <c r="L20" s="199"/>
      <c r="M20" s="200"/>
      <c r="N20" s="200"/>
      <c r="O20" s="254">
        <f t="shared" ref="O20:T20" si="23">SUM(O18:O19)</f>
        <v>1265560</v>
      </c>
      <c r="P20" s="254">
        <f t="shared" si="23"/>
        <v>1331800</v>
      </c>
      <c r="Q20" s="254">
        <f t="shared" si="23"/>
        <v>1561728</v>
      </c>
      <c r="R20" s="396">
        <f t="shared" si="23"/>
        <v>68.543126747665752</v>
      </c>
      <c r="S20" s="397">
        <f t="shared" si="23"/>
        <v>72.13150324550179</v>
      </c>
      <c r="T20" s="398">
        <f t="shared" si="23"/>
        <v>84.584196820792329</v>
      </c>
      <c r="U20" s="177"/>
      <c r="V20" s="177"/>
      <c r="W20" s="177"/>
      <c r="X20" s="177"/>
      <c r="Y20" s="197"/>
      <c r="Z20" s="182"/>
      <c r="AA20" s="201"/>
      <c r="AB20" s="199"/>
      <c r="AC20" s="197"/>
      <c r="AD20" s="182"/>
      <c r="AE20" s="254">
        <f t="shared" ref="AE20:AJ20" si="24">SUM(AE18:AE19)</f>
        <v>692340</v>
      </c>
      <c r="AF20" s="254">
        <f t="shared" si="24"/>
        <v>869410</v>
      </c>
      <c r="AG20" s="254">
        <f t="shared" si="24"/>
        <v>996590</v>
      </c>
      <c r="AH20" s="396">
        <f t="shared" si="24"/>
        <v>473.46170212765958</v>
      </c>
      <c r="AI20" s="397">
        <f t="shared" si="24"/>
        <v>595.63885511651461</v>
      </c>
      <c r="AJ20" s="398">
        <f t="shared" si="24"/>
        <v>682.3733029381965</v>
      </c>
      <c r="AK20" s="145"/>
      <c r="AL20" s="145"/>
      <c r="AM20" s="145"/>
    </row>
    <row r="21" spans="1:39" x14ac:dyDescent="0.25">
      <c r="A21" s="128" t="s">
        <v>117</v>
      </c>
      <c r="B21" s="9" t="s">
        <v>90</v>
      </c>
      <c r="C21" s="9" t="s">
        <v>26</v>
      </c>
      <c r="D21" s="9" t="s">
        <v>200</v>
      </c>
      <c r="E21" s="134">
        <f>1/60</f>
        <v>1.6666666666666666E-2</v>
      </c>
      <c r="F21" s="135">
        <f>1/90</f>
        <v>1.1111111111111112E-2</v>
      </c>
      <c r="G21" s="135">
        <v>0</v>
      </c>
      <c r="H21" s="134" t="s">
        <v>260</v>
      </c>
      <c r="I21" s="136">
        <v>1.28</v>
      </c>
      <c r="J21" s="136">
        <v>1.56</v>
      </c>
      <c r="K21" s="136">
        <v>1.84</v>
      </c>
      <c r="L21" s="136">
        <v>2.39</v>
      </c>
      <c r="M21" s="136">
        <v>2.91</v>
      </c>
      <c r="N21" s="136">
        <v>3.43</v>
      </c>
      <c r="O21" s="252">
        <f t="shared" ref="O21:Q22" si="25">HHProps_SSW*IF($H21="S1",I21,(I21+L21))</f>
        <v>706560</v>
      </c>
      <c r="P21" s="252">
        <f t="shared" si="25"/>
        <v>861120</v>
      </c>
      <c r="Q21" s="252">
        <f t="shared" si="25"/>
        <v>1015680</v>
      </c>
      <c r="R21" s="392">
        <f t="shared" ref="R21:T24" si="26">O21/(IF($H21="S1",($E21-$F21),($E21-$G21))*AllProps_SSW)</f>
        <v>215.92665534804757</v>
      </c>
      <c r="S21" s="252">
        <f t="shared" si="26"/>
        <v>263.16061120543299</v>
      </c>
      <c r="T21" s="393">
        <f t="shared" si="26"/>
        <v>310.3945670628184</v>
      </c>
      <c r="U21" s="134">
        <f>1/70</f>
        <v>1.4285714285714285E-2</v>
      </c>
      <c r="V21" s="134">
        <f>1/100</f>
        <v>0.01</v>
      </c>
      <c r="W21" s="134">
        <v>0</v>
      </c>
      <c r="X21" s="134" t="str">
        <f>H21</f>
        <v>S1</v>
      </c>
      <c r="Y21" s="136">
        <v>1.73</v>
      </c>
      <c r="Z21" s="136">
        <v>2.02</v>
      </c>
      <c r="AA21" s="136">
        <v>2.3199999999999998</v>
      </c>
      <c r="AB21" s="136">
        <v>1.5</v>
      </c>
      <c r="AC21" s="136">
        <v>1.75</v>
      </c>
      <c r="AD21" s="136">
        <v>2.0099999999999998</v>
      </c>
      <c r="AE21" s="252">
        <f t="shared" ref="AE21:AG22" si="27">HHProps_CAM*IF($H21="S1",Y21,(Y21+AB21))</f>
        <v>226630</v>
      </c>
      <c r="AF21" s="252">
        <f t="shared" si="27"/>
        <v>264620</v>
      </c>
      <c r="AG21" s="252">
        <f t="shared" si="27"/>
        <v>303920</v>
      </c>
      <c r="AH21" s="392">
        <f t="shared" ref="AH21:AJ24" si="28">AE21/(IF($H21="S1",($U21-$V21),($U21-$W21))*AllProps_CAM)</f>
        <v>375.03782505910169</v>
      </c>
      <c r="AI21" s="252">
        <f t="shared" si="28"/>
        <v>437.90543735224588</v>
      </c>
      <c r="AJ21" s="393">
        <f t="shared" si="28"/>
        <v>502.9408983451537</v>
      </c>
      <c r="AK21" s="145"/>
      <c r="AL21" s="145"/>
      <c r="AM21" s="145"/>
    </row>
    <row r="22" spans="1:39" x14ac:dyDescent="0.25">
      <c r="A22" s="128"/>
      <c r="B22" s="9"/>
      <c r="C22" s="9" t="s">
        <v>407</v>
      </c>
      <c r="D22" s="9" t="s">
        <v>188</v>
      </c>
      <c r="E22" s="134">
        <f>8400/552000</f>
        <v>1.5217391304347827E-2</v>
      </c>
      <c r="F22" s="135">
        <f>4700/552000</f>
        <v>8.5144927536231884E-3</v>
      </c>
      <c r="G22" s="135">
        <v>0</v>
      </c>
      <c r="H22" s="134" t="s">
        <v>260</v>
      </c>
      <c r="I22" s="136">
        <v>1.07</v>
      </c>
      <c r="J22" s="136">
        <v>1.23</v>
      </c>
      <c r="K22" s="136">
        <v>1.38</v>
      </c>
      <c r="L22" s="136">
        <v>1.5</v>
      </c>
      <c r="M22" s="136">
        <v>1.72</v>
      </c>
      <c r="N22" s="136">
        <v>1.93</v>
      </c>
      <c r="O22" s="252">
        <f t="shared" si="25"/>
        <v>590640</v>
      </c>
      <c r="P22" s="252">
        <f t="shared" si="25"/>
        <v>678960</v>
      </c>
      <c r="Q22" s="252">
        <f t="shared" si="25"/>
        <v>761759.99999999988</v>
      </c>
      <c r="R22" s="392">
        <f t="shared" si="26"/>
        <v>149.60458862937639</v>
      </c>
      <c r="S22" s="252">
        <f t="shared" si="26"/>
        <v>171.97536823750744</v>
      </c>
      <c r="T22" s="393">
        <f t="shared" si="26"/>
        <v>192.94797412013028</v>
      </c>
      <c r="U22" s="134">
        <f>2800/131000</f>
        <v>2.1374045801526718E-2</v>
      </c>
      <c r="V22" s="134">
        <f>1400/131000</f>
        <v>1.0687022900763359E-2</v>
      </c>
      <c r="W22" s="134">
        <v>0</v>
      </c>
      <c r="X22" s="134" t="str">
        <f>H22</f>
        <v>S1</v>
      </c>
      <c r="Y22" s="136">
        <v>1.98</v>
      </c>
      <c r="Z22" s="136">
        <v>2.36</v>
      </c>
      <c r="AA22" s="136">
        <v>2.74</v>
      </c>
      <c r="AB22" s="136">
        <v>2.44</v>
      </c>
      <c r="AC22" s="136">
        <v>2.91</v>
      </c>
      <c r="AD22" s="136">
        <v>3.4</v>
      </c>
      <c r="AE22" s="252">
        <f t="shared" si="27"/>
        <v>259380</v>
      </c>
      <c r="AF22" s="252">
        <f t="shared" si="27"/>
        <v>309160</v>
      </c>
      <c r="AG22" s="252">
        <f t="shared" si="27"/>
        <v>358940</v>
      </c>
      <c r="AH22" s="392">
        <f t="shared" si="28"/>
        <v>172.13161094224924</v>
      </c>
      <c r="AI22" s="252">
        <f t="shared" si="28"/>
        <v>205.16697061803447</v>
      </c>
      <c r="AJ22" s="393">
        <f t="shared" si="28"/>
        <v>238.20233029381967</v>
      </c>
      <c r="AK22" s="145"/>
      <c r="AL22" s="145"/>
      <c r="AM22" s="145"/>
    </row>
    <row r="23" spans="1:39" x14ac:dyDescent="0.25">
      <c r="A23" s="128"/>
      <c r="B23" s="9"/>
      <c r="C23" s="9"/>
      <c r="D23" s="9" t="s">
        <v>201</v>
      </c>
      <c r="E23" s="134">
        <f>1/60</f>
        <v>1.6666666666666666E-2</v>
      </c>
      <c r="F23" s="135">
        <f>1/90</f>
        <v>1.1111111111111112E-2</v>
      </c>
      <c r="G23" s="135">
        <v>0</v>
      </c>
      <c r="H23" s="134" t="s">
        <v>260</v>
      </c>
      <c r="I23" s="137">
        <v>6.0000000000000001E-3</v>
      </c>
      <c r="J23" s="138">
        <v>7.0000000000000001E-3</v>
      </c>
      <c r="K23" s="137">
        <v>7.0000000000000001E-3</v>
      </c>
      <c r="L23" s="137">
        <v>0.01</v>
      </c>
      <c r="M23" s="138">
        <v>1.0999999999999999E-2</v>
      </c>
      <c r="N23" s="137">
        <v>1.2E-2</v>
      </c>
      <c r="O23" s="252">
        <f t="shared" ref="O23:Q24" si="29">NHHProps_SSW*AvgNHHBill_SSW*IF($H23="S1",I23,(I23+L23))</f>
        <v>982128</v>
      </c>
      <c r="P23" s="252">
        <f t="shared" si="29"/>
        <v>1145816</v>
      </c>
      <c r="Q23" s="252">
        <f t="shared" si="29"/>
        <v>1145816</v>
      </c>
      <c r="R23" s="392">
        <f t="shared" si="26"/>
        <v>300.14098471986421</v>
      </c>
      <c r="S23" s="252">
        <f t="shared" si="26"/>
        <v>350.16448217317492</v>
      </c>
      <c r="T23" s="393">
        <f t="shared" si="26"/>
        <v>350.16448217317492</v>
      </c>
      <c r="U23" s="134">
        <f>1/70</f>
        <v>1.4285714285714285E-2</v>
      </c>
      <c r="V23" s="134">
        <f>1/100</f>
        <v>0.01</v>
      </c>
      <c r="W23" s="134">
        <v>0</v>
      </c>
      <c r="X23" s="134" t="str">
        <f>H23</f>
        <v>S1</v>
      </c>
      <c r="Y23" s="137">
        <v>1.7000000000000001E-2</v>
      </c>
      <c r="Z23" s="142">
        <v>2.1999999999999999E-2</v>
      </c>
      <c r="AA23" s="142">
        <v>2.5999999999999999E-2</v>
      </c>
      <c r="AB23" s="137">
        <v>4.4999999999999998E-2</v>
      </c>
      <c r="AC23" s="142">
        <v>5.6000000000000001E-2</v>
      </c>
      <c r="AD23" s="142">
        <v>6.8000000000000005E-2</v>
      </c>
      <c r="AE23" s="252">
        <f t="shared" ref="AE23:AG24" si="30">NHHProps_CAM*AvgNHHBill_CAM*IF($H23="S1",Y23,(Y23+AB23))</f>
        <v>870400.00000000012</v>
      </c>
      <c r="AF23" s="252">
        <f t="shared" si="30"/>
        <v>1126400</v>
      </c>
      <c r="AG23" s="252">
        <f t="shared" si="30"/>
        <v>1331200</v>
      </c>
      <c r="AH23" s="392">
        <f t="shared" si="28"/>
        <v>1440.3782505910169</v>
      </c>
      <c r="AI23" s="252">
        <f t="shared" si="28"/>
        <v>1864.018912529551</v>
      </c>
      <c r="AJ23" s="393">
        <f t="shared" si="28"/>
        <v>2202.9314420803785</v>
      </c>
      <c r="AK23" s="145"/>
      <c r="AL23" s="145"/>
      <c r="AM23" s="145"/>
    </row>
    <row r="24" spans="1:39" x14ac:dyDescent="0.25">
      <c r="A24" s="128"/>
      <c r="B24" s="9"/>
      <c r="C24" s="9"/>
      <c r="D24" s="9" t="s">
        <v>189</v>
      </c>
      <c r="E24" s="134">
        <f>2320/37000</f>
        <v>6.2702702702702701E-2</v>
      </c>
      <c r="F24" s="135">
        <f>1160/37000</f>
        <v>3.135135135135135E-2</v>
      </c>
      <c r="G24" s="135">
        <v>0</v>
      </c>
      <c r="H24" s="134" t="s">
        <v>260</v>
      </c>
      <c r="I24" s="137">
        <v>6.0000000000000001E-3</v>
      </c>
      <c r="J24" s="138">
        <v>8.0000000000000002E-3</v>
      </c>
      <c r="K24" s="137">
        <v>8.9999999999999993E-3</v>
      </c>
      <c r="L24" s="137">
        <v>4.0000000000000001E-3</v>
      </c>
      <c r="M24" s="138">
        <v>4.0000000000000001E-3</v>
      </c>
      <c r="N24" s="137">
        <v>5.0000000000000001E-3</v>
      </c>
      <c r="O24" s="252">
        <f t="shared" si="29"/>
        <v>982128</v>
      </c>
      <c r="P24" s="252">
        <f t="shared" si="29"/>
        <v>1309504</v>
      </c>
      <c r="Q24" s="252">
        <f t="shared" si="29"/>
        <v>1473192</v>
      </c>
      <c r="R24" s="392">
        <f t="shared" si="26"/>
        <v>53.185902464726887</v>
      </c>
      <c r="S24" s="252">
        <f t="shared" si="26"/>
        <v>70.914536619635854</v>
      </c>
      <c r="T24" s="393">
        <f t="shared" si="26"/>
        <v>79.778853697090327</v>
      </c>
      <c r="U24" s="134">
        <f>210/10000</f>
        <v>2.1000000000000001E-2</v>
      </c>
      <c r="V24" s="134">
        <f>110/10000</f>
        <v>1.0999999999999999E-2</v>
      </c>
      <c r="W24" s="134">
        <v>0</v>
      </c>
      <c r="X24" s="134" t="str">
        <f>H24</f>
        <v>S1</v>
      </c>
      <c r="Y24" s="137">
        <v>4.0000000000000001E-3</v>
      </c>
      <c r="Z24" s="137">
        <v>5.0000000000000001E-3</v>
      </c>
      <c r="AA24" s="137">
        <v>5.0000000000000001E-3</v>
      </c>
      <c r="AB24" s="137">
        <v>2E-3</v>
      </c>
      <c r="AC24" s="137">
        <v>3.0000000000000001E-3</v>
      </c>
      <c r="AD24" s="137">
        <v>3.0000000000000001E-3</v>
      </c>
      <c r="AE24" s="252">
        <f t="shared" si="30"/>
        <v>204800</v>
      </c>
      <c r="AF24" s="252">
        <f t="shared" si="30"/>
        <v>256000</v>
      </c>
      <c r="AG24" s="252">
        <f t="shared" si="30"/>
        <v>256000</v>
      </c>
      <c r="AH24" s="392">
        <f t="shared" si="28"/>
        <v>145.24822695035459</v>
      </c>
      <c r="AI24" s="252">
        <f t="shared" si="28"/>
        <v>181.56028368794324</v>
      </c>
      <c r="AJ24" s="393">
        <f t="shared" si="28"/>
        <v>181.56028368794324</v>
      </c>
      <c r="AK24" s="145"/>
      <c r="AL24" s="145"/>
      <c r="AM24" s="145"/>
    </row>
    <row r="25" spans="1:39" x14ac:dyDescent="0.25">
      <c r="A25" s="128"/>
      <c r="B25" s="9"/>
      <c r="C25" s="9"/>
      <c r="D25" s="9" t="s">
        <v>202</v>
      </c>
      <c r="E25" s="195">
        <f>E22</f>
        <v>1.5217391304347827E-2</v>
      </c>
      <c r="F25" s="195">
        <f>F22</f>
        <v>8.5144927536231884E-3</v>
      </c>
      <c r="G25" s="195">
        <f>G22</f>
        <v>0</v>
      </c>
      <c r="H25" s="195"/>
      <c r="I25" s="196">
        <f t="shared" ref="I25:W25" si="31">I22</f>
        <v>1.07</v>
      </c>
      <c r="J25" s="196">
        <f t="shared" si="31"/>
        <v>1.23</v>
      </c>
      <c r="K25" s="196">
        <f t="shared" si="31"/>
        <v>1.38</v>
      </c>
      <c r="L25" s="196">
        <f t="shared" si="31"/>
        <v>1.5</v>
      </c>
      <c r="M25" s="196">
        <f t="shared" si="31"/>
        <v>1.72</v>
      </c>
      <c r="N25" s="196">
        <f t="shared" si="31"/>
        <v>1.93</v>
      </c>
      <c r="O25" s="254">
        <f t="shared" si="31"/>
        <v>590640</v>
      </c>
      <c r="P25" s="254">
        <f t="shared" si="31"/>
        <v>678960</v>
      </c>
      <c r="Q25" s="254">
        <f t="shared" si="31"/>
        <v>761759.99999999988</v>
      </c>
      <c r="R25" s="394">
        <f t="shared" si="31"/>
        <v>149.60458862937639</v>
      </c>
      <c r="S25" s="256">
        <f t="shared" si="31"/>
        <v>171.97536823750744</v>
      </c>
      <c r="T25" s="395">
        <f t="shared" si="31"/>
        <v>192.94797412013028</v>
      </c>
      <c r="U25" s="195">
        <f t="shared" si="31"/>
        <v>2.1374045801526718E-2</v>
      </c>
      <c r="V25" s="195">
        <f t="shared" si="31"/>
        <v>1.0687022900763359E-2</v>
      </c>
      <c r="W25" s="195">
        <f t="shared" si="31"/>
        <v>0</v>
      </c>
      <c r="X25" s="195"/>
      <c r="Y25" s="196">
        <f t="shared" ref="Y25:AJ25" si="32">Y22</f>
        <v>1.98</v>
      </c>
      <c r="Z25" s="196">
        <f t="shared" si="32"/>
        <v>2.36</v>
      </c>
      <c r="AA25" s="196">
        <f t="shared" si="32"/>
        <v>2.74</v>
      </c>
      <c r="AB25" s="196">
        <f t="shared" si="32"/>
        <v>2.44</v>
      </c>
      <c r="AC25" s="196">
        <f t="shared" si="32"/>
        <v>2.91</v>
      </c>
      <c r="AD25" s="196">
        <f t="shared" si="32"/>
        <v>3.4</v>
      </c>
      <c r="AE25" s="254">
        <f t="shared" si="32"/>
        <v>259380</v>
      </c>
      <c r="AF25" s="254">
        <f t="shared" si="32"/>
        <v>309160</v>
      </c>
      <c r="AG25" s="254">
        <f t="shared" si="32"/>
        <v>358940</v>
      </c>
      <c r="AH25" s="394">
        <f t="shared" si="32"/>
        <v>172.13161094224924</v>
      </c>
      <c r="AI25" s="256">
        <f t="shared" si="32"/>
        <v>205.16697061803447</v>
      </c>
      <c r="AJ25" s="395">
        <f t="shared" si="32"/>
        <v>238.20233029381967</v>
      </c>
      <c r="AK25" s="145"/>
      <c r="AL25" s="145"/>
      <c r="AM25" s="145"/>
    </row>
    <row r="26" spans="1:39" x14ac:dyDescent="0.25">
      <c r="A26" s="128"/>
      <c r="B26" s="9"/>
      <c r="C26" s="9"/>
      <c r="D26" s="9" t="s">
        <v>203</v>
      </c>
      <c r="E26" s="195">
        <f>E24</f>
        <v>6.2702702702702701E-2</v>
      </c>
      <c r="F26" s="195">
        <f>F24</f>
        <v>3.135135135135135E-2</v>
      </c>
      <c r="G26" s="195">
        <f>G24</f>
        <v>0</v>
      </c>
      <c r="H26" s="195"/>
      <c r="I26" s="195">
        <f t="shared" ref="I26:W26" si="33">I24</f>
        <v>6.0000000000000001E-3</v>
      </c>
      <c r="J26" s="195">
        <f t="shared" si="33"/>
        <v>8.0000000000000002E-3</v>
      </c>
      <c r="K26" s="195">
        <f t="shared" si="33"/>
        <v>8.9999999999999993E-3</v>
      </c>
      <c r="L26" s="195">
        <f t="shared" si="33"/>
        <v>4.0000000000000001E-3</v>
      </c>
      <c r="M26" s="195">
        <f t="shared" si="33"/>
        <v>4.0000000000000001E-3</v>
      </c>
      <c r="N26" s="195">
        <f t="shared" si="33"/>
        <v>5.0000000000000001E-3</v>
      </c>
      <c r="O26" s="254">
        <f t="shared" si="33"/>
        <v>982128</v>
      </c>
      <c r="P26" s="254">
        <f t="shared" si="33"/>
        <v>1309504</v>
      </c>
      <c r="Q26" s="254">
        <f t="shared" si="33"/>
        <v>1473192</v>
      </c>
      <c r="R26" s="394">
        <f t="shared" si="33"/>
        <v>53.185902464726887</v>
      </c>
      <c r="S26" s="256">
        <f t="shared" si="33"/>
        <v>70.914536619635854</v>
      </c>
      <c r="T26" s="395">
        <f t="shared" si="33"/>
        <v>79.778853697090327</v>
      </c>
      <c r="U26" s="195">
        <f t="shared" si="33"/>
        <v>2.1000000000000001E-2</v>
      </c>
      <c r="V26" s="195">
        <f t="shared" si="33"/>
        <v>1.0999999999999999E-2</v>
      </c>
      <c r="W26" s="195">
        <f t="shared" si="33"/>
        <v>0</v>
      </c>
      <c r="X26" s="195"/>
      <c r="Y26" s="195">
        <f t="shared" ref="Y26:AJ26" si="34">Y24</f>
        <v>4.0000000000000001E-3</v>
      </c>
      <c r="Z26" s="195">
        <f t="shared" si="34"/>
        <v>5.0000000000000001E-3</v>
      </c>
      <c r="AA26" s="195">
        <f t="shared" si="34"/>
        <v>5.0000000000000001E-3</v>
      </c>
      <c r="AB26" s="195">
        <f t="shared" si="34"/>
        <v>2E-3</v>
      </c>
      <c r="AC26" s="195">
        <f t="shared" si="34"/>
        <v>3.0000000000000001E-3</v>
      </c>
      <c r="AD26" s="195">
        <f t="shared" si="34"/>
        <v>3.0000000000000001E-3</v>
      </c>
      <c r="AE26" s="254">
        <f t="shared" si="34"/>
        <v>204800</v>
      </c>
      <c r="AF26" s="254">
        <f t="shared" si="34"/>
        <v>256000</v>
      </c>
      <c r="AG26" s="254">
        <f t="shared" si="34"/>
        <v>256000</v>
      </c>
      <c r="AH26" s="394">
        <f t="shared" si="34"/>
        <v>145.24822695035459</v>
      </c>
      <c r="AI26" s="256">
        <f t="shared" si="34"/>
        <v>181.56028368794324</v>
      </c>
      <c r="AJ26" s="395">
        <f t="shared" si="34"/>
        <v>181.56028368794324</v>
      </c>
      <c r="AK26" s="145"/>
      <c r="AL26" s="145"/>
      <c r="AM26" s="145"/>
    </row>
    <row r="27" spans="1:39" x14ac:dyDescent="0.25">
      <c r="A27" s="128"/>
      <c r="B27" s="9"/>
      <c r="C27" s="9"/>
      <c r="D27" s="9" t="s">
        <v>256</v>
      </c>
      <c r="E27" s="177"/>
      <c r="F27" s="177"/>
      <c r="G27" s="177"/>
      <c r="H27" s="177"/>
      <c r="I27" s="197"/>
      <c r="J27" s="182"/>
      <c r="K27" s="198"/>
      <c r="L27" s="199"/>
      <c r="M27" s="200"/>
      <c r="N27" s="200"/>
      <c r="O27" s="254">
        <f t="shared" ref="O27:T27" si="35">SUM(O25:O26)</f>
        <v>1572768</v>
      </c>
      <c r="P27" s="254">
        <f t="shared" si="35"/>
        <v>1988464</v>
      </c>
      <c r="Q27" s="254">
        <f t="shared" si="35"/>
        <v>2234952</v>
      </c>
      <c r="R27" s="396">
        <f t="shared" si="35"/>
        <v>202.79049109410329</v>
      </c>
      <c r="S27" s="397">
        <f t="shared" si="35"/>
        <v>242.88990485714328</v>
      </c>
      <c r="T27" s="398">
        <f t="shared" si="35"/>
        <v>272.72682781722062</v>
      </c>
      <c r="U27" s="177"/>
      <c r="V27" s="177"/>
      <c r="W27" s="177"/>
      <c r="X27" s="177"/>
      <c r="Y27" s="197"/>
      <c r="Z27" s="182"/>
      <c r="AA27" s="201"/>
      <c r="AB27" s="199"/>
      <c r="AC27" s="197"/>
      <c r="AD27" s="182"/>
      <c r="AE27" s="254">
        <f t="shared" ref="AE27:AJ27" si="36">SUM(AE25:AE26)</f>
        <v>464180</v>
      </c>
      <c r="AF27" s="254">
        <f t="shared" si="36"/>
        <v>565160</v>
      </c>
      <c r="AG27" s="254">
        <f t="shared" si="36"/>
        <v>614940</v>
      </c>
      <c r="AH27" s="396">
        <f t="shared" si="36"/>
        <v>317.37983789260386</v>
      </c>
      <c r="AI27" s="397">
        <f t="shared" si="36"/>
        <v>386.72725430597768</v>
      </c>
      <c r="AJ27" s="398">
        <f t="shared" si="36"/>
        <v>419.76261398176291</v>
      </c>
      <c r="AK27" s="145"/>
      <c r="AL27" s="145"/>
      <c r="AM27" s="145"/>
    </row>
    <row r="28" spans="1:39" x14ac:dyDescent="0.25">
      <c r="A28" s="9" t="s">
        <v>81</v>
      </c>
      <c r="B28" s="9" t="s">
        <v>92</v>
      </c>
      <c r="C28" s="9" t="s">
        <v>26</v>
      </c>
      <c r="D28" s="9" t="s">
        <v>200</v>
      </c>
      <c r="E28" s="134">
        <f>1/3</f>
        <v>0.33333333333333331</v>
      </c>
      <c r="F28" s="134"/>
      <c r="G28" s="134">
        <v>0</v>
      </c>
      <c r="H28" s="134" t="s">
        <v>261</v>
      </c>
      <c r="I28" s="136">
        <v>7.18</v>
      </c>
      <c r="J28" s="136">
        <v>8.73</v>
      </c>
      <c r="K28" s="136">
        <v>10.29</v>
      </c>
      <c r="L28" s="136">
        <v>5.1100000000000003</v>
      </c>
      <c r="M28" s="136">
        <v>4.57</v>
      </c>
      <c r="N28" s="136">
        <v>4.03</v>
      </c>
      <c r="O28" s="252">
        <f t="shared" ref="O28:Q29" si="37">HHProps_SSW*IF($H28="S1",I28,(I28+L28))</f>
        <v>6784079.9999999991</v>
      </c>
      <c r="P28" s="252">
        <f t="shared" si="37"/>
        <v>7341600</v>
      </c>
      <c r="Q28" s="252">
        <f t="shared" si="37"/>
        <v>7904640</v>
      </c>
      <c r="R28" s="392">
        <f t="shared" ref="R28:T31" si="38">O28/(IF($H28="S1",($E28-$F28),($E28-$G28))*AllProps_SSW)</f>
        <v>34.553887945670624</v>
      </c>
      <c r="S28" s="252">
        <f t="shared" si="38"/>
        <v>37.393548387096779</v>
      </c>
      <c r="T28" s="393">
        <f t="shared" si="38"/>
        <v>40.261324278438032</v>
      </c>
      <c r="U28" s="134">
        <f>1/3</f>
        <v>0.33333333333333331</v>
      </c>
      <c r="V28" s="134"/>
      <c r="W28" s="134">
        <v>0</v>
      </c>
      <c r="X28" s="134" t="str">
        <f>H28</f>
        <v>S2</v>
      </c>
      <c r="Y28" s="136">
        <v>8.5</v>
      </c>
      <c r="Z28" s="136">
        <v>9.9499999999999993</v>
      </c>
      <c r="AA28" s="136">
        <v>11.04</v>
      </c>
      <c r="AB28" s="136">
        <v>4.32</v>
      </c>
      <c r="AC28" s="136">
        <v>4.96</v>
      </c>
      <c r="AD28" s="136">
        <v>5.6</v>
      </c>
      <c r="AE28" s="252">
        <f t="shared" ref="AE28:AG29" si="39">HHProps_CAM*IF($H28="S1",Y28,(Y28+AB28))</f>
        <v>1679420</v>
      </c>
      <c r="AF28" s="252">
        <f t="shared" si="39"/>
        <v>1953210</v>
      </c>
      <c r="AG28" s="252">
        <f t="shared" si="39"/>
        <v>2179840</v>
      </c>
      <c r="AH28" s="392">
        <f t="shared" ref="AH28:AJ31" si="40">AE28/(IF($H28="S1",($U28-$V28),($U28-$W28))*AllProps_CAM)</f>
        <v>35.732340425531916</v>
      </c>
      <c r="AI28" s="252">
        <f t="shared" si="40"/>
        <v>41.557659574468083</v>
      </c>
      <c r="AJ28" s="393">
        <f t="shared" si="40"/>
        <v>46.379574468085103</v>
      </c>
      <c r="AK28" s="145"/>
      <c r="AL28" s="145"/>
      <c r="AM28" s="145"/>
    </row>
    <row r="29" spans="1:39" x14ac:dyDescent="0.25">
      <c r="A29" s="9"/>
      <c r="B29" s="9"/>
      <c r="C29" s="9" t="s">
        <v>407</v>
      </c>
      <c r="D29" s="9" t="s">
        <v>188</v>
      </c>
      <c r="E29" s="134">
        <f>1/3</f>
        <v>0.33333333333333331</v>
      </c>
      <c r="F29" s="134"/>
      <c r="G29" s="134">
        <v>0</v>
      </c>
      <c r="H29" s="134" t="s">
        <v>261</v>
      </c>
      <c r="I29" s="136">
        <v>5.0599999999999996</v>
      </c>
      <c r="J29" s="136">
        <v>5.78</v>
      </c>
      <c r="K29" s="136">
        <v>6.5</v>
      </c>
      <c r="L29" s="136">
        <v>2.84</v>
      </c>
      <c r="M29" s="136">
        <v>3.24</v>
      </c>
      <c r="N29" s="136">
        <v>3.64</v>
      </c>
      <c r="O29" s="252">
        <f t="shared" si="37"/>
        <v>4360800</v>
      </c>
      <c r="P29" s="252">
        <f t="shared" si="37"/>
        <v>4979040</v>
      </c>
      <c r="Q29" s="252">
        <f t="shared" si="37"/>
        <v>5597280</v>
      </c>
      <c r="R29" s="392">
        <f t="shared" si="38"/>
        <v>22.211205432937184</v>
      </c>
      <c r="S29" s="252">
        <f t="shared" si="38"/>
        <v>25.360135823429545</v>
      </c>
      <c r="T29" s="393">
        <f t="shared" si="38"/>
        <v>28.509066213921905</v>
      </c>
      <c r="U29" s="134">
        <f>1/3</f>
        <v>0.33333333333333331</v>
      </c>
      <c r="V29" s="134"/>
      <c r="W29" s="134">
        <v>0</v>
      </c>
      <c r="X29" s="134" t="str">
        <f>H29</f>
        <v>S2</v>
      </c>
      <c r="Y29" s="136">
        <v>5.29</v>
      </c>
      <c r="Z29" s="136">
        <v>6.3</v>
      </c>
      <c r="AA29" s="136">
        <v>7.31</v>
      </c>
      <c r="AB29" s="136">
        <v>2.2200000000000002</v>
      </c>
      <c r="AC29" s="136">
        <v>2.65</v>
      </c>
      <c r="AD29" s="136">
        <v>3.08</v>
      </c>
      <c r="AE29" s="252">
        <f t="shared" si="39"/>
        <v>983810</v>
      </c>
      <c r="AF29" s="252">
        <f t="shared" si="39"/>
        <v>1172450</v>
      </c>
      <c r="AG29" s="252">
        <f t="shared" si="39"/>
        <v>1361090</v>
      </c>
      <c r="AH29" s="392">
        <f t="shared" si="40"/>
        <v>20.932127659574469</v>
      </c>
      <c r="AI29" s="252">
        <f t="shared" si="40"/>
        <v>24.945744680851064</v>
      </c>
      <c r="AJ29" s="393">
        <f t="shared" si="40"/>
        <v>28.959361702127659</v>
      </c>
      <c r="AK29" s="145"/>
      <c r="AL29" s="145"/>
      <c r="AM29" s="145"/>
    </row>
    <row r="30" spans="1:39" x14ac:dyDescent="0.25">
      <c r="A30" s="9"/>
      <c r="B30" s="9"/>
      <c r="C30" s="9"/>
      <c r="D30" s="9" t="s">
        <v>201</v>
      </c>
      <c r="E30" s="134">
        <f>1/3</f>
        <v>0.33333333333333331</v>
      </c>
      <c r="F30" s="134"/>
      <c r="G30" s="134">
        <v>0</v>
      </c>
      <c r="H30" s="134" t="s">
        <v>261</v>
      </c>
      <c r="I30" s="137">
        <v>2.8000000000000001E-2</v>
      </c>
      <c r="J30" s="137">
        <v>3.1E-2</v>
      </c>
      <c r="K30" s="137">
        <v>3.4000000000000002E-2</v>
      </c>
      <c r="L30" s="137">
        <v>1.2E-2</v>
      </c>
      <c r="M30" s="137">
        <v>1.2E-2</v>
      </c>
      <c r="N30" s="137">
        <v>1.2999999999999999E-2</v>
      </c>
      <c r="O30" s="252">
        <f t="shared" ref="O30:Q31" si="41">NHHProps_SSW*AvgNHHBill_SSW*IF($H30="S1",I30,(I30+L30))</f>
        <v>6547520</v>
      </c>
      <c r="P30" s="252">
        <f t="shared" si="41"/>
        <v>7038583.9999999991</v>
      </c>
      <c r="Q30" s="252">
        <f t="shared" si="41"/>
        <v>7693336</v>
      </c>
      <c r="R30" s="392">
        <f t="shared" si="38"/>
        <v>33.348998302207136</v>
      </c>
      <c r="S30" s="252">
        <f t="shared" si="38"/>
        <v>35.850173174872666</v>
      </c>
      <c r="T30" s="393">
        <f t="shared" si="38"/>
        <v>39.185073005093379</v>
      </c>
      <c r="U30" s="134">
        <f>1/3</f>
        <v>0.33333333333333331</v>
      </c>
      <c r="V30" s="134"/>
      <c r="W30" s="134">
        <v>0</v>
      </c>
      <c r="X30" s="134" t="str">
        <f>H30</f>
        <v>S2</v>
      </c>
      <c r="Y30" s="137">
        <v>0.112</v>
      </c>
      <c r="Z30" s="142">
        <v>0.13900000000000001</v>
      </c>
      <c r="AA30" s="142">
        <v>0.16600000000000001</v>
      </c>
      <c r="AB30" s="137">
        <v>0.03</v>
      </c>
      <c r="AC30" s="142">
        <v>3.5000000000000003E-2</v>
      </c>
      <c r="AD30" s="142">
        <v>4.1000000000000002E-2</v>
      </c>
      <c r="AE30" s="252">
        <f t="shared" ref="AE30:AG31" si="42">NHHProps_CAM*AvgNHHBill_CAM*IF($H30="S1",Y30,(Y30+AB30))</f>
        <v>7270400.0000000009</v>
      </c>
      <c r="AF30" s="252">
        <f t="shared" si="42"/>
        <v>8908800</v>
      </c>
      <c r="AG30" s="252">
        <f t="shared" si="42"/>
        <v>10598400</v>
      </c>
      <c r="AH30" s="392">
        <f t="shared" si="40"/>
        <v>154.68936170212768</v>
      </c>
      <c r="AI30" s="252">
        <f t="shared" si="40"/>
        <v>189.54893617021276</v>
      </c>
      <c r="AJ30" s="393">
        <f t="shared" si="40"/>
        <v>225.49787234042554</v>
      </c>
      <c r="AK30" s="145"/>
      <c r="AL30" s="145"/>
      <c r="AM30" s="145"/>
    </row>
    <row r="31" spans="1:39" x14ac:dyDescent="0.25">
      <c r="A31" s="9"/>
      <c r="B31" s="9"/>
      <c r="C31" s="9"/>
      <c r="D31" s="9" t="s">
        <v>189</v>
      </c>
      <c r="E31" s="134">
        <f>1/3</f>
        <v>0.33333333333333331</v>
      </c>
      <c r="F31" s="134"/>
      <c r="G31" s="134">
        <v>0</v>
      </c>
      <c r="H31" s="134" t="s">
        <v>261</v>
      </c>
      <c r="I31" s="137">
        <v>2.5000000000000001E-2</v>
      </c>
      <c r="J31" s="137">
        <v>2.8000000000000001E-2</v>
      </c>
      <c r="K31" s="137">
        <v>3.1E-2</v>
      </c>
      <c r="L31" s="137">
        <v>8.0000000000000002E-3</v>
      </c>
      <c r="M31" s="137">
        <v>8.9999999999999993E-3</v>
      </c>
      <c r="N31" s="137">
        <v>0.01</v>
      </c>
      <c r="O31" s="252">
        <f t="shared" si="41"/>
        <v>5401704</v>
      </c>
      <c r="P31" s="252">
        <f t="shared" si="41"/>
        <v>6056456</v>
      </c>
      <c r="Q31" s="252">
        <f t="shared" si="41"/>
        <v>6711208</v>
      </c>
      <c r="R31" s="392">
        <f t="shared" si="38"/>
        <v>27.512923599320885</v>
      </c>
      <c r="S31" s="252">
        <f t="shared" si="38"/>
        <v>30.847823429541599</v>
      </c>
      <c r="T31" s="393">
        <f t="shared" si="38"/>
        <v>34.182723259762312</v>
      </c>
      <c r="U31" s="134">
        <f>1/3</f>
        <v>0.33333333333333331</v>
      </c>
      <c r="V31" s="134"/>
      <c r="W31" s="134">
        <v>0</v>
      </c>
      <c r="X31" s="134" t="str">
        <f>H31</f>
        <v>S2</v>
      </c>
      <c r="Y31" s="137">
        <v>1.4E-2</v>
      </c>
      <c r="Z31" s="137">
        <v>1.7000000000000001E-2</v>
      </c>
      <c r="AA31" s="137">
        <v>0.02</v>
      </c>
      <c r="AB31" s="137">
        <v>4.0000000000000001E-3</v>
      </c>
      <c r="AC31" s="137">
        <v>4.0000000000000001E-3</v>
      </c>
      <c r="AD31" s="137">
        <v>5.0000000000000001E-3</v>
      </c>
      <c r="AE31" s="252">
        <f t="shared" si="42"/>
        <v>921600.00000000012</v>
      </c>
      <c r="AF31" s="252">
        <f t="shared" si="42"/>
        <v>1075200</v>
      </c>
      <c r="AG31" s="252">
        <f t="shared" si="42"/>
        <v>1280000</v>
      </c>
      <c r="AH31" s="392">
        <f t="shared" si="40"/>
        <v>19.608510638297876</v>
      </c>
      <c r="AI31" s="252">
        <f t="shared" si="40"/>
        <v>22.876595744680852</v>
      </c>
      <c r="AJ31" s="393">
        <f t="shared" si="40"/>
        <v>27.23404255319149</v>
      </c>
      <c r="AK31" s="145"/>
      <c r="AL31" s="145"/>
      <c r="AM31" s="145"/>
    </row>
    <row r="32" spans="1:39" x14ac:dyDescent="0.25">
      <c r="A32" s="9"/>
      <c r="B32" s="9"/>
      <c r="C32" s="9"/>
      <c r="D32" s="9" t="s">
        <v>202</v>
      </c>
      <c r="E32" s="195">
        <f>E29</f>
        <v>0.33333333333333331</v>
      </c>
      <c r="F32" s="195"/>
      <c r="G32" s="195">
        <f>G29</f>
        <v>0</v>
      </c>
      <c r="H32" s="195"/>
      <c r="I32" s="196">
        <f t="shared" ref="I32:U32" si="43">I29</f>
        <v>5.0599999999999996</v>
      </c>
      <c r="J32" s="196">
        <f t="shared" si="43"/>
        <v>5.78</v>
      </c>
      <c r="K32" s="196">
        <f t="shared" si="43"/>
        <v>6.5</v>
      </c>
      <c r="L32" s="196">
        <f t="shared" si="43"/>
        <v>2.84</v>
      </c>
      <c r="M32" s="196">
        <f t="shared" si="43"/>
        <v>3.24</v>
      </c>
      <c r="N32" s="196">
        <f t="shared" si="43"/>
        <v>3.64</v>
      </c>
      <c r="O32" s="254">
        <f t="shared" si="43"/>
        <v>4360800</v>
      </c>
      <c r="P32" s="254">
        <f t="shared" si="43"/>
        <v>4979040</v>
      </c>
      <c r="Q32" s="254">
        <f t="shared" si="43"/>
        <v>5597280</v>
      </c>
      <c r="R32" s="394">
        <f t="shared" si="43"/>
        <v>22.211205432937184</v>
      </c>
      <c r="S32" s="256">
        <f t="shared" si="43"/>
        <v>25.360135823429545</v>
      </c>
      <c r="T32" s="395">
        <f t="shared" si="43"/>
        <v>28.509066213921905</v>
      </c>
      <c r="U32" s="195">
        <f t="shared" si="43"/>
        <v>0.33333333333333331</v>
      </c>
      <c r="V32" s="195"/>
      <c r="W32" s="195">
        <f>W29</f>
        <v>0</v>
      </c>
      <c r="X32" s="195"/>
      <c r="Y32" s="196">
        <f t="shared" ref="Y32:AJ32" si="44">Y29</f>
        <v>5.29</v>
      </c>
      <c r="Z32" s="196">
        <f t="shared" si="44"/>
        <v>6.3</v>
      </c>
      <c r="AA32" s="196">
        <f t="shared" si="44"/>
        <v>7.31</v>
      </c>
      <c r="AB32" s="196">
        <f t="shared" si="44"/>
        <v>2.2200000000000002</v>
      </c>
      <c r="AC32" s="196">
        <f t="shared" si="44"/>
        <v>2.65</v>
      </c>
      <c r="AD32" s="196">
        <f t="shared" si="44"/>
        <v>3.08</v>
      </c>
      <c r="AE32" s="254">
        <f t="shared" si="44"/>
        <v>983810</v>
      </c>
      <c r="AF32" s="254">
        <f t="shared" si="44"/>
        <v>1172450</v>
      </c>
      <c r="AG32" s="254">
        <f t="shared" si="44"/>
        <v>1361090</v>
      </c>
      <c r="AH32" s="394">
        <f t="shared" si="44"/>
        <v>20.932127659574469</v>
      </c>
      <c r="AI32" s="256">
        <f t="shared" si="44"/>
        <v>24.945744680851064</v>
      </c>
      <c r="AJ32" s="395">
        <f t="shared" si="44"/>
        <v>28.959361702127659</v>
      </c>
      <c r="AK32" s="145"/>
      <c r="AL32" s="145"/>
      <c r="AM32" s="145"/>
    </row>
    <row r="33" spans="1:39" x14ac:dyDescent="0.25">
      <c r="A33" s="9"/>
      <c r="B33" s="9"/>
      <c r="C33" s="9"/>
      <c r="D33" s="9" t="s">
        <v>203</v>
      </c>
      <c r="E33" s="195">
        <f>E31</f>
        <v>0.33333333333333331</v>
      </c>
      <c r="F33" s="195"/>
      <c r="G33" s="195">
        <f>G31</f>
        <v>0</v>
      </c>
      <c r="H33" s="195"/>
      <c r="I33" s="195">
        <f t="shared" ref="I33:U33" si="45">I31</f>
        <v>2.5000000000000001E-2</v>
      </c>
      <c r="J33" s="195">
        <f t="shared" si="45"/>
        <v>2.8000000000000001E-2</v>
      </c>
      <c r="K33" s="195">
        <f t="shared" si="45"/>
        <v>3.1E-2</v>
      </c>
      <c r="L33" s="195">
        <f t="shared" si="45"/>
        <v>8.0000000000000002E-3</v>
      </c>
      <c r="M33" s="195">
        <f t="shared" si="45"/>
        <v>8.9999999999999993E-3</v>
      </c>
      <c r="N33" s="195">
        <f t="shared" si="45"/>
        <v>0.01</v>
      </c>
      <c r="O33" s="254">
        <f t="shared" si="45"/>
        <v>5401704</v>
      </c>
      <c r="P33" s="254">
        <f t="shared" si="45"/>
        <v>6056456</v>
      </c>
      <c r="Q33" s="254">
        <f t="shared" si="45"/>
        <v>6711208</v>
      </c>
      <c r="R33" s="394">
        <f t="shared" si="45"/>
        <v>27.512923599320885</v>
      </c>
      <c r="S33" s="256">
        <f t="shared" si="45"/>
        <v>30.847823429541599</v>
      </c>
      <c r="T33" s="395">
        <f t="shared" si="45"/>
        <v>34.182723259762312</v>
      </c>
      <c r="U33" s="195">
        <f t="shared" si="45"/>
        <v>0.33333333333333331</v>
      </c>
      <c r="V33" s="195"/>
      <c r="W33" s="195">
        <f>W31</f>
        <v>0</v>
      </c>
      <c r="X33" s="195"/>
      <c r="Y33" s="195">
        <f t="shared" ref="Y33:AJ33" si="46">Y31</f>
        <v>1.4E-2</v>
      </c>
      <c r="Z33" s="195">
        <f t="shared" si="46"/>
        <v>1.7000000000000001E-2</v>
      </c>
      <c r="AA33" s="195">
        <f t="shared" si="46"/>
        <v>0.02</v>
      </c>
      <c r="AB33" s="195">
        <f t="shared" si="46"/>
        <v>4.0000000000000001E-3</v>
      </c>
      <c r="AC33" s="195">
        <f t="shared" si="46"/>
        <v>4.0000000000000001E-3</v>
      </c>
      <c r="AD33" s="195">
        <f t="shared" si="46"/>
        <v>5.0000000000000001E-3</v>
      </c>
      <c r="AE33" s="254">
        <f t="shared" si="46"/>
        <v>921600.00000000012</v>
      </c>
      <c r="AF33" s="254">
        <f t="shared" si="46"/>
        <v>1075200</v>
      </c>
      <c r="AG33" s="254">
        <f t="shared" si="46"/>
        <v>1280000</v>
      </c>
      <c r="AH33" s="394">
        <f t="shared" si="46"/>
        <v>19.608510638297876</v>
      </c>
      <c r="AI33" s="256">
        <f t="shared" si="46"/>
        <v>22.876595744680852</v>
      </c>
      <c r="AJ33" s="395">
        <f t="shared" si="46"/>
        <v>27.23404255319149</v>
      </c>
      <c r="AK33" s="145"/>
      <c r="AL33" s="145"/>
      <c r="AM33" s="145"/>
    </row>
    <row r="34" spans="1:39" x14ac:dyDescent="0.25">
      <c r="A34" s="9"/>
      <c r="B34" s="9"/>
      <c r="C34" s="9"/>
      <c r="D34" s="9" t="s">
        <v>256</v>
      </c>
      <c r="E34" s="177"/>
      <c r="F34" s="177"/>
      <c r="G34" s="177"/>
      <c r="H34" s="177"/>
      <c r="I34" s="197"/>
      <c r="J34" s="182"/>
      <c r="K34" s="198"/>
      <c r="L34" s="199"/>
      <c r="M34" s="200"/>
      <c r="N34" s="200"/>
      <c r="O34" s="254">
        <f t="shared" ref="O34:T34" si="47">SUM(O32:O33)</f>
        <v>9762504</v>
      </c>
      <c r="P34" s="254">
        <f t="shared" si="47"/>
        <v>11035496</v>
      </c>
      <c r="Q34" s="254">
        <f t="shared" si="47"/>
        <v>12308488</v>
      </c>
      <c r="R34" s="396">
        <f t="shared" si="47"/>
        <v>49.72412903225807</v>
      </c>
      <c r="S34" s="397">
        <f t="shared" si="47"/>
        <v>56.207959252971143</v>
      </c>
      <c r="T34" s="398">
        <f t="shared" si="47"/>
        <v>62.691789473684217</v>
      </c>
      <c r="U34" s="177"/>
      <c r="V34" s="177"/>
      <c r="W34" s="177"/>
      <c r="X34" s="177"/>
      <c r="Y34" s="197"/>
      <c r="Z34" s="182"/>
      <c r="AA34" s="201"/>
      <c r="AB34" s="199"/>
      <c r="AC34" s="197"/>
      <c r="AD34" s="182"/>
      <c r="AE34" s="254">
        <f t="shared" ref="AE34:AJ34" si="48">SUM(AE32:AE33)</f>
        <v>1905410</v>
      </c>
      <c r="AF34" s="254">
        <f t="shared" si="48"/>
        <v>2247650</v>
      </c>
      <c r="AG34" s="254">
        <f t="shared" si="48"/>
        <v>2641090</v>
      </c>
      <c r="AH34" s="396">
        <f t="shared" si="48"/>
        <v>40.540638297872349</v>
      </c>
      <c r="AI34" s="397">
        <f t="shared" si="48"/>
        <v>47.82234042553192</v>
      </c>
      <c r="AJ34" s="398">
        <f t="shared" si="48"/>
        <v>56.193404255319152</v>
      </c>
      <c r="AK34" s="145"/>
      <c r="AL34" s="145"/>
      <c r="AM34" s="145"/>
    </row>
    <row r="35" spans="1:39" x14ac:dyDescent="0.25">
      <c r="A35" s="9" t="s">
        <v>82</v>
      </c>
      <c r="B35" s="9" t="s">
        <v>93</v>
      </c>
      <c r="C35" s="9" t="s">
        <v>26</v>
      </c>
      <c r="D35" s="9" t="s">
        <v>200</v>
      </c>
      <c r="E35" s="134">
        <v>1</v>
      </c>
      <c r="F35" s="134"/>
      <c r="G35" s="134">
        <v>0</v>
      </c>
      <c r="H35" s="134" t="s">
        <v>261</v>
      </c>
      <c r="I35" s="136"/>
      <c r="J35" s="136"/>
      <c r="K35" s="136"/>
      <c r="L35" s="136">
        <v>12.11</v>
      </c>
      <c r="M35" s="136">
        <v>13.11</v>
      </c>
      <c r="N35" s="136">
        <v>14.12</v>
      </c>
      <c r="O35" s="252">
        <f t="shared" ref="O35:Q36" si="49">HHProps_SSW*IF($H35="S1",I35,(I35+L35))</f>
        <v>6684720</v>
      </c>
      <c r="P35" s="252">
        <f t="shared" si="49"/>
        <v>7236720</v>
      </c>
      <c r="Q35" s="252">
        <f t="shared" si="49"/>
        <v>7794240</v>
      </c>
      <c r="R35" s="392">
        <f t="shared" ref="R35:T38" si="50">O35/(IF($H35="S1",($E35-$F35),($E35-$G35))*AllProps_SSW)</f>
        <v>11.349269949066214</v>
      </c>
      <c r="S35" s="252">
        <f t="shared" si="50"/>
        <v>12.286451612903226</v>
      </c>
      <c r="T35" s="393">
        <f t="shared" si="50"/>
        <v>13.233005093378608</v>
      </c>
      <c r="U35" s="134">
        <v>1</v>
      </c>
      <c r="V35" s="134"/>
      <c r="W35" s="134">
        <v>0</v>
      </c>
      <c r="X35" s="134" t="str">
        <f>H35</f>
        <v>S2</v>
      </c>
      <c r="Y35" s="136"/>
      <c r="Z35" s="136"/>
      <c r="AA35" s="136"/>
      <c r="AB35" s="136">
        <v>7.92</v>
      </c>
      <c r="AC35" s="136">
        <v>9.2899999999999991</v>
      </c>
      <c r="AD35" s="136">
        <v>10.65</v>
      </c>
      <c r="AE35" s="252">
        <f t="shared" ref="AE35:AG36" si="51">HHProps_CAM*IF($H35="S1",Y35,(Y35+AB35))</f>
        <v>1037520</v>
      </c>
      <c r="AF35" s="252">
        <f t="shared" si="51"/>
        <v>1216990</v>
      </c>
      <c r="AG35" s="252">
        <f t="shared" si="51"/>
        <v>1395150</v>
      </c>
      <c r="AH35" s="392">
        <f t="shared" ref="AH35:AJ38" si="52">AE35/(IF($H35="S1",($U35-$V35),($U35-$W35))*AllProps_CAM)</f>
        <v>7.3582978723404251</v>
      </c>
      <c r="AI35" s="252">
        <f t="shared" si="52"/>
        <v>8.6311347517730503</v>
      </c>
      <c r="AJ35" s="393">
        <f t="shared" si="52"/>
        <v>9.8946808510638302</v>
      </c>
      <c r="AK35" s="145"/>
      <c r="AL35" s="145"/>
      <c r="AM35" s="145"/>
    </row>
    <row r="36" spans="1:39" x14ac:dyDescent="0.25">
      <c r="A36" s="9"/>
      <c r="B36" s="9"/>
      <c r="C36" s="9" t="s">
        <v>407</v>
      </c>
      <c r="D36" s="9" t="s">
        <v>188</v>
      </c>
      <c r="E36" s="134">
        <v>1</v>
      </c>
      <c r="F36" s="134"/>
      <c r="G36" s="134">
        <v>0</v>
      </c>
      <c r="H36" s="134" t="s">
        <v>261</v>
      </c>
      <c r="I36" s="136"/>
      <c r="J36" s="136"/>
      <c r="K36" s="136"/>
      <c r="L36" s="136">
        <v>5.71</v>
      </c>
      <c r="M36" s="136">
        <v>6.53</v>
      </c>
      <c r="N36" s="136">
        <v>7.34</v>
      </c>
      <c r="O36" s="252">
        <f t="shared" si="49"/>
        <v>3151920</v>
      </c>
      <c r="P36" s="252">
        <f t="shared" si="49"/>
        <v>3604560</v>
      </c>
      <c r="Q36" s="252">
        <f t="shared" si="49"/>
        <v>4051680</v>
      </c>
      <c r="R36" s="392">
        <f t="shared" si="50"/>
        <v>5.3513073005093377</v>
      </c>
      <c r="S36" s="255">
        <f t="shared" si="50"/>
        <v>6.1197962648556876</v>
      </c>
      <c r="T36" s="393">
        <f t="shared" si="50"/>
        <v>6.8789134125636675</v>
      </c>
      <c r="U36" s="134">
        <v>1</v>
      </c>
      <c r="V36" s="134"/>
      <c r="W36" s="134">
        <v>0</v>
      </c>
      <c r="X36" s="134" t="str">
        <f>H36</f>
        <v>S2</v>
      </c>
      <c r="Y36" s="136"/>
      <c r="Z36" s="136"/>
      <c r="AA36" s="136"/>
      <c r="AB36" s="136">
        <v>5.08</v>
      </c>
      <c r="AC36" s="136">
        <v>6.05</v>
      </c>
      <c r="AD36" s="136">
        <v>7.02</v>
      </c>
      <c r="AE36" s="252">
        <f t="shared" si="51"/>
        <v>665480</v>
      </c>
      <c r="AF36" s="252">
        <f t="shared" si="51"/>
        <v>792550</v>
      </c>
      <c r="AG36" s="252">
        <f t="shared" si="51"/>
        <v>919620</v>
      </c>
      <c r="AH36" s="392">
        <f t="shared" si="52"/>
        <v>4.7197163120567378</v>
      </c>
      <c r="AI36" s="252">
        <f t="shared" si="52"/>
        <v>5.6209219858156025</v>
      </c>
      <c r="AJ36" s="393">
        <f t="shared" si="52"/>
        <v>6.5221276595744682</v>
      </c>
      <c r="AK36" s="145"/>
      <c r="AL36" s="145"/>
      <c r="AM36" s="145"/>
    </row>
    <row r="37" spans="1:39" x14ac:dyDescent="0.25">
      <c r="A37" s="9"/>
      <c r="B37" s="9"/>
      <c r="C37" s="9"/>
      <c r="D37" s="9" t="s">
        <v>201</v>
      </c>
      <c r="E37" s="134">
        <v>1</v>
      </c>
      <c r="F37" s="134"/>
      <c r="G37" s="134">
        <v>0</v>
      </c>
      <c r="H37" s="134" t="s">
        <v>261</v>
      </c>
      <c r="I37" s="137"/>
      <c r="J37" s="137"/>
      <c r="K37" s="137"/>
      <c r="L37" s="137">
        <v>0.03</v>
      </c>
      <c r="M37" s="137">
        <v>3.2000000000000001E-2</v>
      </c>
      <c r="N37" s="137">
        <v>3.5000000000000003E-2</v>
      </c>
      <c r="O37" s="252">
        <f t="shared" ref="O37:Q38" si="53">NHHProps_SSW*AvgNHHBill_SSW*IF($H37="S1",I37,(I37+L37))</f>
        <v>4910640</v>
      </c>
      <c r="P37" s="252">
        <f t="shared" si="53"/>
        <v>5238016</v>
      </c>
      <c r="Q37" s="252">
        <f t="shared" si="53"/>
        <v>5729080.0000000009</v>
      </c>
      <c r="R37" s="392">
        <f t="shared" si="50"/>
        <v>8.3372495755517821</v>
      </c>
      <c r="S37" s="252">
        <f t="shared" si="50"/>
        <v>8.8930662139219017</v>
      </c>
      <c r="T37" s="393">
        <f t="shared" si="50"/>
        <v>9.7267911714770818</v>
      </c>
      <c r="U37" s="134">
        <v>1</v>
      </c>
      <c r="V37" s="134"/>
      <c r="W37" s="134">
        <v>0</v>
      </c>
      <c r="X37" s="134" t="str">
        <f>H37</f>
        <v>S2</v>
      </c>
      <c r="Y37" s="137"/>
      <c r="Z37" s="142"/>
      <c r="AA37" s="142"/>
      <c r="AB37" s="137">
        <v>0.107</v>
      </c>
      <c r="AC37" s="142">
        <v>0.14199999999999999</v>
      </c>
      <c r="AD37" s="142">
        <v>0.17699999999999999</v>
      </c>
      <c r="AE37" s="252">
        <f t="shared" ref="AE37:AG38" si="54">NHHProps_CAM*AvgNHHBill_CAM*IF($H37="S1",Y37,(Y37+AB37))</f>
        <v>5478400</v>
      </c>
      <c r="AF37" s="252">
        <f t="shared" si="54"/>
        <v>7270399.9999999991</v>
      </c>
      <c r="AG37" s="252">
        <f t="shared" si="54"/>
        <v>9062400</v>
      </c>
      <c r="AH37" s="392">
        <f t="shared" si="52"/>
        <v>38.853900709219857</v>
      </c>
      <c r="AI37" s="252">
        <f t="shared" si="52"/>
        <v>51.563120567375883</v>
      </c>
      <c r="AJ37" s="393">
        <f t="shared" si="52"/>
        <v>64.272340425531908</v>
      </c>
      <c r="AK37" s="145"/>
      <c r="AL37" s="145"/>
      <c r="AM37" s="145"/>
    </row>
    <row r="38" spans="1:39" x14ac:dyDescent="0.25">
      <c r="A38" s="9"/>
      <c r="B38" s="9"/>
      <c r="C38" s="9"/>
      <c r="D38" s="9" t="s">
        <v>189</v>
      </c>
      <c r="E38" s="134">
        <v>1</v>
      </c>
      <c r="F38" s="134"/>
      <c r="G38" s="134">
        <v>0</v>
      </c>
      <c r="H38" s="134" t="s">
        <v>261</v>
      </c>
      <c r="I38" s="137"/>
      <c r="J38" s="137"/>
      <c r="K38" s="137"/>
      <c r="L38" s="137">
        <v>3.1E-2</v>
      </c>
      <c r="M38" s="137">
        <v>3.5000000000000003E-2</v>
      </c>
      <c r="N38" s="137">
        <v>3.9E-2</v>
      </c>
      <c r="O38" s="252">
        <f t="shared" si="53"/>
        <v>5074328</v>
      </c>
      <c r="P38" s="252">
        <f t="shared" si="53"/>
        <v>5729080.0000000009</v>
      </c>
      <c r="Q38" s="252">
        <f t="shared" si="53"/>
        <v>6383832</v>
      </c>
      <c r="R38" s="392">
        <f t="shared" si="50"/>
        <v>8.6151578947368428</v>
      </c>
      <c r="S38" s="252">
        <f t="shared" si="50"/>
        <v>9.7267911714770818</v>
      </c>
      <c r="T38" s="393">
        <f t="shared" si="50"/>
        <v>10.838424448217317</v>
      </c>
      <c r="U38" s="134">
        <v>1</v>
      </c>
      <c r="V38" s="134"/>
      <c r="W38" s="134">
        <v>0</v>
      </c>
      <c r="X38" s="134" t="str">
        <f>H38</f>
        <v>S2</v>
      </c>
      <c r="Y38" s="137"/>
      <c r="Z38" s="137"/>
      <c r="AA38" s="137"/>
      <c r="AB38" s="137">
        <v>1.2999999999999999E-2</v>
      </c>
      <c r="AC38" s="137">
        <v>1.6E-2</v>
      </c>
      <c r="AD38" s="137">
        <v>1.9E-2</v>
      </c>
      <c r="AE38" s="252">
        <f t="shared" si="54"/>
        <v>665600</v>
      </c>
      <c r="AF38" s="252">
        <f t="shared" si="54"/>
        <v>819200</v>
      </c>
      <c r="AG38" s="252">
        <f t="shared" si="54"/>
        <v>972800</v>
      </c>
      <c r="AH38" s="392">
        <f t="shared" si="52"/>
        <v>4.7205673758865245</v>
      </c>
      <c r="AI38" s="252">
        <f t="shared" si="52"/>
        <v>5.8099290780141848</v>
      </c>
      <c r="AJ38" s="393">
        <f t="shared" si="52"/>
        <v>6.8992907801418442</v>
      </c>
      <c r="AK38" s="145"/>
      <c r="AL38" s="145"/>
      <c r="AM38" s="145"/>
    </row>
    <row r="39" spans="1:39" x14ac:dyDescent="0.25">
      <c r="A39" s="9"/>
      <c r="B39" s="9"/>
      <c r="C39" s="9"/>
      <c r="D39" s="9" t="s">
        <v>202</v>
      </c>
      <c r="E39" s="195">
        <f>E36</f>
        <v>1</v>
      </c>
      <c r="F39" s="195"/>
      <c r="G39" s="195">
        <f>G36</f>
        <v>0</v>
      </c>
      <c r="H39" s="195"/>
      <c r="I39" s="196">
        <f t="shared" ref="I39:U39" si="55">I36</f>
        <v>0</v>
      </c>
      <c r="J39" s="196">
        <f t="shared" si="55"/>
        <v>0</v>
      </c>
      <c r="K39" s="196">
        <f t="shared" si="55"/>
        <v>0</v>
      </c>
      <c r="L39" s="196">
        <f t="shared" si="55"/>
        <v>5.71</v>
      </c>
      <c r="M39" s="196">
        <f t="shared" si="55"/>
        <v>6.53</v>
      </c>
      <c r="N39" s="196">
        <f t="shared" si="55"/>
        <v>7.34</v>
      </c>
      <c r="O39" s="254">
        <f t="shared" si="55"/>
        <v>3151920</v>
      </c>
      <c r="P39" s="254">
        <f t="shared" si="55"/>
        <v>3604560</v>
      </c>
      <c r="Q39" s="254">
        <f t="shared" si="55"/>
        <v>4051680</v>
      </c>
      <c r="R39" s="394">
        <f t="shared" si="55"/>
        <v>5.3513073005093377</v>
      </c>
      <c r="S39" s="256">
        <f t="shared" si="55"/>
        <v>6.1197962648556876</v>
      </c>
      <c r="T39" s="395">
        <f t="shared" si="55"/>
        <v>6.8789134125636675</v>
      </c>
      <c r="U39" s="195">
        <f t="shared" si="55"/>
        <v>1</v>
      </c>
      <c r="V39" s="195"/>
      <c r="W39" s="195">
        <f>W36</f>
        <v>0</v>
      </c>
      <c r="X39" s="195"/>
      <c r="Y39" s="196">
        <f t="shared" ref="Y39:AJ39" si="56">Y36</f>
        <v>0</v>
      </c>
      <c r="Z39" s="196">
        <f t="shared" si="56"/>
        <v>0</v>
      </c>
      <c r="AA39" s="196">
        <f t="shared" si="56"/>
        <v>0</v>
      </c>
      <c r="AB39" s="196">
        <f t="shared" si="56"/>
        <v>5.08</v>
      </c>
      <c r="AC39" s="196">
        <f t="shared" si="56"/>
        <v>6.05</v>
      </c>
      <c r="AD39" s="196">
        <f t="shared" si="56"/>
        <v>7.02</v>
      </c>
      <c r="AE39" s="254">
        <f t="shared" si="56"/>
        <v>665480</v>
      </c>
      <c r="AF39" s="254">
        <f t="shared" si="56"/>
        <v>792550</v>
      </c>
      <c r="AG39" s="254">
        <f t="shared" si="56"/>
        <v>919620</v>
      </c>
      <c r="AH39" s="394">
        <f t="shared" si="56"/>
        <v>4.7197163120567378</v>
      </c>
      <c r="AI39" s="256">
        <f t="shared" si="56"/>
        <v>5.6209219858156025</v>
      </c>
      <c r="AJ39" s="395">
        <f t="shared" si="56"/>
        <v>6.5221276595744682</v>
      </c>
      <c r="AK39" s="145"/>
      <c r="AL39" s="145"/>
      <c r="AM39" s="145"/>
    </row>
    <row r="40" spans="1:39" x14ac:dyDescent="0.25">
      <c r="A40" s="9"/>
      <c r="B40" s="9"/>
      <c r="C40" s="9"/>
      <c r="D40" s="9" t="s">
        <v>203</v>
      </c>
      <c r="E40" s="195">
        <f>E38</f>
        <v>1</v>
      </c>
      <c r="F40" s="195"/>
      <c r="G40" s="195">
        <f>G38</f>
        <v>0</v>
      </c>
      <c r="H40" s="195"/>
      <c r="I40" s="195">
        <f t="shared" ref="I40:U40" si="57">I38</f>
        <v>0</v>
      </c>
      <c r="J40" s="195">
        <f t="shared" si="57"/>
        <v>0</v>
      </c>
      <c r="K40" s="195">
        <f t="shared" si="57"/>
        <v>0</v>
      </c>
      <c r="L40" s="195">
        <f t="shared" si="57"/>
        <v>3.1E-2</v>
      </c>
      <c r="M40" s="195">
        <f t="shared" si="57"/>
        <v>3.5000000000000003E-2</v>
      </c>
      <c r="N40" s="195">
        <f t="shared" si="57"/>
        <v>3.9E-2</v>
      </c>
      <c r="O40" s="254">
        <f t="shared" si="57"/>
        <v>5074328</v>
      </c>
      <c r="P40" s="254">
        <f t="shared" si="57"/>
        <v>5729080.0000000009</v>
      </c>
      <c r="Q40" s="254">
        <f t="shared" si="57"/>
        <v>6383832</v>
      </c>
      <c r="R40" s="394">
        <f t="shared" si="57"/>
        <v>8.6151578947368428</v>
      </c>
      <c r="S40" s="256">
        <f t="shared" si="57"/>
        <v>9.7267911714770818</v>
      </c>
      <c r="T40" s="395">
        <f t="shared" si="57"/>
        <v>10.838424448217317</v>
      </c>
      <c r="U40" s="195">
        <f t="shared" si="57"/>
        <v>1</v>
      </c>
      <c r="V40" s="195"/>
      <c r="W40" s="195">
        <f>W38</f>
        <v>0</v>
      </c>
      <c r="X40" s="195"/>
      <c r="Y40" s="195">
        <f t="shared" ref="Y40:AJ40" si="58">Y38</f>
        <v>0</v>
      </c>
      <c r="Z40" s="195">
        <f t="shared" si="58"/>
        <v>0</v>
      </c>
      <c r="AA40" s="195">
        <f t="shared" si="58"/>
        <v>0</v>
      </c>
      <c r="AB40" s="195">
        <f t="shared" si="58"/>
        <v>1.2999999999999999E-2</v>
      </c>
      <c r="AC40" s="195">
        <f t="shared" si="58"/>
        <v>1.6E-2</v>
      </c>
      <c r="AD40" s="195">
        <f t="shared" si="58"/>
        <v>1.9E-2</v>
      </c>
      <c r="AE40" s="254">
        <f t="shared" si="58"/>
        <v>665600</v>
      </c>
      <c r="AF40" s="254">
        <f t="shared" si="58"/>
        <v>819200</v>
      </c>
      <c r="AG40" s="254">
        <f t="shared" si="58"/>
        <v>972800</v>
      </c>
      <c r="AH40" s="394">
        <f t="shared" si="58"/>
        <v>4.7205673758865245</v>
      </c>
      <c r="AI40" s="256">
        <f t="shared" si="58"/>
        <v>5.8099290780141848</v>
      </c>
      <c r="AJ40" s="395">
        <f t="shared" si="58"/>
        <v>6.8992907801418442</v>
      </c>
      <c r="AK40" s="145"/>
      <c r="AL40" s="145"/>
      <c r="AM40" s="145"/>
    </row>
    <row r="41" spans="1:39" x14ac:dyDescent="0.25">
      <c r="A41" s="9"/>
      <c r="B41" s="9"/>
      <c r="C41" s="9"/>
      <c r="D41" s="9" t="s">
        <v>256</v>
      </c>
      <c r="E41" s="177"/>
      <c r="F41" s="177"/>
      <c r="G41" s="177"/>
      <c r="H41" s="177"/>
      <c r="I41" s="197"/>
      <c r="J41" s="182"/>
      <c r="K41" s="198"/>
      <c r="L41" s="199"/>
      <c r="M41" s="200"/>
      <c r="N41" s="200"/>
      <c r="O41" s="254">
        <f t="shared" ref="O41:T41" si="59">SUM(O39:O40)</f>
        <v>8226248</v>
      </c>
      <c r="P41" s="254">
        <f t="shared" si="59"/>
        <v>9333640</v>
      </c>
      <c r="Q41" s="254">
        <f t="shared" si="59"/>
        <v>10435512</v>
      </c>
      <c r="R41" s="396">
        <f t="shared" si="59"/>
        <v>13.96646519524618</v>
      </c>
      <c r="S41" s="397">
        <f t="shared" si="59"/>
        <v>15.846587436332769</v>
      </c>
      <c r="T41" s="398">
        <f t="shared" si="59"/>
        <v>17.717337860780987</v>
      </c>
      <c r="U41" s="177"/>
      <c r="V41" s="177"/>
      <c r="W41" s="177"/>
      <c r="X41" s="177"/>
      <c r="Y41" s="197"/>
      <c r="Z41" s="182"/>
      <c r="AA41" s="201"/>
      <c r="AB41" s="199"/>
      <c r="AC41" s="197"/>
      <c r="AD41" s="182"/>
      <c r="AE41" s="254">
        <f t="shared" ref="AE41:AJ41" si="60">SUM(AE39:AE40)</f>
        <v>1331080</v>
      </c>
      <c r="AF41" s="254">
        <f t="shared" si="60"/>
        <v>1611750</v>
      </c>
      <c r="AG41" s="254">
        <f t="shared" si="60"/>
        <v>1892420</v>
      </c>
      <c r="AH41" s="396">
        <f t="shared" si="60"/>
        <v>9.4402836879432623</v>
      </c>
      <c r="AI41" s="397">
        <f t="shared" si="60"/>
        <v>11.430851063829788</v>
      </c>
      <c r="AJ41" s="398">
        <f t="shared" si="60"/>
        <v>13.421418439716312</v>
      </c>
      <c r="AK41" s="145"/>
      <c r="AL41" s="145"/>
      <c r="AM41" s="145"/>
    </row>
    <row r="42" spans="1:39" x14ac:dyDescent="0.25">
      <c r="A42" s="9" t="s">
        <v>205</v>
      </c>
      <c r="B42" s="9" t="s">
        <v>94</v>
      </c>
      <c r="C42" s="9" t="s">
        <v>26</v>
      </c>
      <c r="D42" s="9" t="s">
        <v>200</v>
      </c>
      <c r="E42" s="134">
        <f>1/70</f>
        <v>1.4285714285714285E-2</v>
      </c>
      <c r="F42" s="134">
        <f>1/105</f>
        <v>9.5238095238095247E-3</v>
      </c>
      <c r="G42" s="134">
        <v>0</v>
      </c>
      <c r="H42" s="134" t="s">
        <v>260</v>
      </c>
      <c r="I42" s="136">
        <v>1.49</v>
      </c>
      <c r="J42" s="136">
        <v>1.67</v>
      </c>
      <c r="K42" s="136">
        <v>1.84</v>
      </c>
      <c r="L42" s="136">
        <v>1.92</v>
      </c>
      <c r="M42" s="136">
        <v>2.13</v>
      </c>
      <c r="N42" s="136">
        <v>2.35</v>
      </c>
      <c r="O42" s="252">
        <f t="shared" ref="O42:Q43" si="61">HHProps_SSW*IF($H42="S1",I42,(I42+L42))</f>
        <v>822480</v>
      </c>
      <c r="P42" s="252">
        <f t="shared" si="61"/>
        <v>921840</v>
      </c>
      <c r="Q42" s="252">
        <f t="shared" si="61"/>
        <v>1015680</v>
      </c>
      <c r="R42" s="392">
        <f t="shared" ref="R42:T45" si="62">O42/(IF($H42="S1",($E42-$F42),($E42-$G42))*AllProps_SSW)</f>
        <v>293.24414261460106</v>
      </c>
      <c r="S42" s="252">
        <f t="shared" si="62"/>
        <v>328.66960950764013</v>
      </c>
      <c r="T42" s="393">
        <f t="shared" si="62"/>
        <v>362.12699490662146</v>
      </c>
      <c r="U42" s="134">
        <f>1/40</f>
        <v>2.5000000000000001E-2</v>
      </c>
      <c r="V42" s="134">
        <f>1/60</f>
        <v>1.6666666666666666E-2</v>
      </c>
      <c r="W42" s="134">
        <v>0</v>
      </c>
      <c r="X42" s="134" t="str">
        <f>H42</f>
        <v>S1</v>
      </c>
      <c r="Y42" s="136">
        <v>0.22</v>
      </c>
      <c r="Z42" s="136">
        <v>0.25</v>
      </c>
      <c r="AA42" s="136">
        <v>0.28000000000000003</v>
      </c>
      <c r="AB42" s="136">
        <v>1.35</v>
      </c>
      <c r="AC42" s="136">
        <v>1.52</v>
      </c>
      <c r="AD42" s="136">
        <v>1.69</v>
      </c>
      <c r="AE42" s="252">
        <f t="shared" ref="AE42:AG43" si="63">HHProps_CAM*IF($H42="S1",Y42,(Y42+AB42))</f>
        <v>28820</v>
      </c>
      <c r="AF42" s="252">
        <f t="shared" si="63"/>
        <v>32750</v>
      </c>
      <c r="AG42" s="252">
        <f t="shared" si="63"/>
        <v>36680</v>
      </c>
      <c r="AH42" s="392">
        <f t="shared" ref="AH42:AJ45" si="64">AE42/(IF($H42="S1",($U42-$V42),($U42-$W42))*AllProps_CAM)</f>
        <v>24.527659574468082</v>
      </c>
      <c r="AI42" s="252">
        <f t="shared" si="64"/>
        <v>27.87234042553191</v>
      </c>
      <c r="AJ42" s="393">
        <f t="shared" si="64"/>
        <v>31.217021276595737</v>
      </c>
    </row>
    <row r="43" spans="1:39" x14ac:dyDescent="0.25">
      <c r="A43" s="9"/>
      <c r="B43" s="9"/>
      <c r="C43" s="9" t="s">
        <v>407</v>
      </c>
      <c r="D43" s="9" t="s">
        <v>188</v>
      </c>
      <c r="E43" s="134">
        <f>8000/552000</f>
        <v>1.4492753623188406E-2</v>
      </c>
      <c r="F43" s="134">
        <f>4000/552000</f>
        <v>7.246376811594203E-3</v>
      </c>
      <c r="G43" s="134">
        <v>0</v>
      </c>
      <c r="H43" s="134" t="s">
        <v>260</v>
      </c>
      <c r="I43" s="136">
        <v>1.1000000000000001</v>
      </c>
      <c r="J43" s="136">
        <v>1.24</v>
      </c>
      <c r="K43" s="136">
        <v>1.38</v>
      </c>
      <c r="L43" s="136">
        <v>3.07</v>
      </c>
      <c r="M43" s="136">
        <v>3.47</v>
      </c>
      <c r="N43" s="136">
        <v>3.86</v>
      </c>
      <c r="O43" s="252">
        <f t="shared" si="61"/>
        <v>607200</v>
      </c>
      <c r="P43" s="252">
        <f t="shared" si="61"/>
        <v>684480</v>
      </c>
      <c r="Q43" s="252">
        <f t="shared" si="61"/>
        <v>761759.99999999988</v>
      </c>
      <c r="R43" s="392">
        <f t="shared" si="62"/>
        <v>142.2641765704584</v>
      </c>
      <c r="S43" s="252">
        <f t="shared" si="62"/>
        <v>160.37052631578945</v>
      </c>
      <c r="T43" s="393">
        <f t="shared" si="62"/>
        <v>178.47687606112049</v>
      </c>
      <c r="U43" s="134">
        <f>3300/131000</f>
        <v>2.5190839694656488E-2</v>
      </c>
      <c r="V43" s="134">
        <f>1600/131000</f>
        <v>1.2213740458015267E-2</v>
      </c>
      <c r="W43" s="134">
        <v>0</v>
      </c>
      <c r="X43" s="134" t="str">
        <f>H43</f>
        <v>S1</v>
      </c>
      <c r="Y43" s="136">
        <v>0.34</v>
      </c>
      <c r="Z43" s="136">
        <v>0.39</v>
      </c>
      <c r="AA43" s="136">
        <v>0.44</v>
      </c>
      <c r="AB43" s="136">
        <v>2.11</v>
      </c>
      <c r="AC43" s="136">
        <v>2.38</v>
      </c>
      <c r="AD43" s="136">
        <v>2.64</v>
      </c>
      <c r="AE43" s="252">
        <f t="shared" si="63"/>
        <v>44540</v>
      </c>
      <c r="AF43" s="252">
        <f t="shared" si="63"/>
        <v>51090</v>
      </c>
      <c r="AG43" s="252">
        <f t="shared" si="63"/>
        <v>57640</v>
      </c>
      <c r="AH43" s="392">
        <f t="shared" si="64"/>
        <v>24.341843971631207</v>
      </c>
      <c r="AI43" s="252">
        <f t="shared" si="64"/>
        <v>27.921526908635794</v>
      </c>
      <c r="AJ43" s="393">
        <f t="shared" si="64"/>
        <v>31.501209845640386</v>
      </c>
    </row>
    <row r="44" spans="1:39" x14ac:dyDescent="0.25">
      <c r="A44" s="9"/>
      <c r="B44" s="9"/>
      <c r="C44" s="9"/>
      <c r="D44" s="9" t="s">
        <v>201</v>
      </c>
      <c r="E44" s="134">
        <f>1/70</f>
        <v>1.4285714285714285E-2</v>
      </c>
      <c r="F44" s="134">
        <f>1/105</f>
        <v>9.5238095238095247E-3</v>
      </c>
      <c r="G44" s="134">
        <v>0</v>
      </c>
      <c r="H44" s="134" t="s">
        <v>260</v>
      </c>
      <c r="I44" s="137">
        <v>0.01</v>
      </c>
      <c r="J44" s="137">
        <v>1.2E-2</v>
      </c>
      <c r="K44" s="137">
        <v>1.2999999999999999E-2</v>
      </c>
      <c r="L44" s="137">
        <v>4.3999999999999997E-2</v>
      </c>
      <c r="M44" s="137">
        <v>4.8000000000000001E-2</v>
      </c>
      <c r="N44" s="137">
        <v>5.2999999999999999E-2</v>
      </c>
      <c r="O44" s="252">
        <f t="shared" ref="O44:Q45" si="65">NHHProps_SSW*AvgNHHBill_SSW*IF($H44="S1",I44,(I44+L44))</f>
        <v>1636880</v>
      </c>
      <c r="P44" s="252">
        <f t="shared" si="65"/>
        <v>1964256</v>
      </c>
      <c r="Q44" s="252">
        <f t="shared" si="65"/>
        <v>2127944</v>
      </c>
      <c r="R44" s="392">
        <f t="shared" si="62"/>
        <v>583.60747028862488</v>
      </c>
      <c r="S44" s="252">
        <f t="shared" si="62"/>
        <v>700.32896434634995</v>
      </c>
      <c r="T44" s="393">
        <f t="shared" si="62"/>
        <v>758.68971137521237</v>
      </c>
      <c r="U44" s="134">
        <f>1/40</f>
        <v>2.5000000000000001E-2</v>
      </c>
      <c r="V44" s="134">
        <f>1/60</f>
        <v>1.6666666666666666E-2</v>
      </c>
      <c r="W44" s="134">
        <v>0</v>
      </c>
      <c r="X44" s="134" t="str">
        <f>H44</f>
        <v>S1</v>
      </c>
      <c r="Y44" s="137">
        <v>4.0000000000000001E-3</v>
      </c>
      <c r="Z44" s="142">
        <v>6.0000000000000001E-3</v>
      </c>
      <c r="AA44" s="142">
        <v>7.0000000000000001E-3</v>
      </c>
      <c r="AB44" s="137">
        <v>1.0999999999999999E-2</v>
      </c>
      <c r="AC44" s="142">
        <v>1.2E-2</v>
      </c>
      <c r="AD44" s="142">
        <v>1.2999999999999999E-2</v>
      </c>
      <c r="AE44" s="252">
        <f t="shared" ref="AE44:AG45" si="66">NHHProps_CAM*AvgNHHBill_CAM*IF($H44="S1",Y44,(Y44+AB44))</f>
        <v>204800</v>
      </c>
      <c r="AF44" s="252">
        <f t="shared" si="66"/>
        <v>307200</v>
      </c>
      <c r="AG44" s="252">
        <f t="shared" si="66"/>
        <v>358400</v>
      </c>
      <c r="AH44" s="392">
        <f t="shared" si="64"/>
        <v>174.2978723404255</v>
      </c>
      <c r="AI44" s="252">
        <f t="shared" si="64"/>
        <v>261.44680851063822</v>
      </c>
      <c r="AJ44" s="393">
        <f t="shared" si="64"/>
        <v>305.02127659574461</v>
      </c>
    </row>
    <row r="45" spans="1:39" x14ac:dyDescent="0.25">
      <c r="A45" s="9"/>
      <c r="B45" s="9"/>
      <c r="C45" s="9"/>
      <c r="D45" s="9" t="s">
        <v>189</v>
      </c>
      <c r="E45" s="134">
        <f>530/37000</f>
        <v>1.4324324324324324E-2</v>
      </c>
      <c r="F45" s="134">
        <f>265/37000</f>
        <v>7.1621621621621619E-3</v>
      </c>
      <c r="G45" s="134">
        <v>0</v>
      </c>
      <c r="H45" s="134" t="s">
        <v>260</v>
      </c>
      <c r="I45" s="137">
        <v>7.0000000000000001E-3</v>
      </c>
      <c r="J45" s="137">
        <v>8.0000000000000002E-3</v>
      </c>
      <c r="K45" s="137">
        <v>8.9999999999999993E-3</v>
      </c>
      <c r="L45" s="137">
        <v>1.4E-2</v>
      </c>
      <c r="M45" s="137">
        <v>1.6E-2</v>
      </c>
      <c r="N45" s="137">
        <v>1.7000000000000001E-2</v>
      </c>
      <c r="O45" s="252">
        <f t="shared" si="65"/>
        <v>1145816</v>
      </c>
      <c r="P45" s="252">
        <f t="shared" si="65"/>
        <v>1309504</v>
      </c>
      <c r="Q45" s="252">
        <f t="shared" si="65"/>
        <v>1473192</v>
      </c>
      <c r="R45" s="392">
        <f t="shared" si="62"/>
        <v>271.61605535445432</v>
      </c>
      <c r="S45" s="252">
        <f t="shared" si="62"/>
        <v>310.41834897651921</v>
      </c>
      <c r="T45" s="393">
        <f t="shared" si="62"/>
        <v>349.22064259858411</v>
      </c>
      <c r="U45" s="134">
        <f>250/10000</f>
        <v>2.5000000000000001E-2</v>
      </c>
      <c r="V45" s="134">
        <f>130/10000</f>
        <v>1.2999999999999999E-2</v>
      </c>
      <c r="W45" s="134">
        <v>0</v>
      </c>
      <c r="X45" s="134" t="str">
        <f>H45</f>
        <v>S1</v>
      </c>
      <c r="Y45" s="137">
        <v>2E-3</v>
      </c>
      <c r="Z45" s="137">
        <v>3.0000000000000001E-3</v>
      </c>
      <c r="AA45" s="137">
        <v>3.0000000000000001E-3</v>
      </c>
      <c r="AB45" s="137">
        <v>1.4E-2</v>
      </c>
      <c r="AC45" s="137">
        <v>1.4999999999999999E-2</v>
      </c>
      <c r="AD45" s="137">
        <v>1.7000000000000001E-2</v>
      </c>
      <c r="AE45" s="252">
        <f t="shared" si="66"/>
        <v>102400</v>
      </c>
      <c r="AF45" s="252">
        <f t="shared" si="66"/>
        <v>153600</v>
      </c>
      <c r="AG45" s="252">
        <f t="shared" si="66"/>
        <v>153600</v>
      </c>
      <c r="AH45" s="392">
        <f t="shared" si="64"/>
        <v>60.520094562647749</v>
      </c>
      <c r="AI45" s="252">
        <f t="shared" si="64"/>
        <v>90.78014184397162</v>
      </c>
      <c r="AJ45" s="393">
        <f t="shared" si="64"/>
        <v>90.78014184397162</v>
      </c>
    </row>
    <row r="46" spans="1:39" x14ac:dyDescent="0.25">
      <c r="A46" s="9"/>
      <c r="B46" s="9"/>
      <c r="C46" s="9"/>
      <c r="D46" s="9" t="s">
        <v>202</v>
      </c>
      <c r="E46" s="195">
        <f>E43</f>
        <v>1.4492753623188406E-2</v>
      </c>
      <c r="F46" s="195">
        <f>F43</f>
        <v>7.246376811594203E-3</v>
      </c>
      <c r="G46" s="195">
        <f>G43</f>
        <v>0</v>
      </c>
      <c r="H46" s="195"/>
      <c r="I46" s="196">
        <f t="shared" ref="I46:W46" si="67">I43</f>
        <v>1.1000000000000001</v>
      </c>
      <c r="J46" s="196">
        <f t="shared" si="67"/>
        <v>1.24</v>
      </c>
      <c r="K46" s="196">
        <f t="shared" si="67"/>
        <v>1.38</v>
      </c>
      <c r="L46" s="196">
        <f t="shared" si="67"/>
        <v>3.07</v>
      </c>
      <c r="M46" s="196">
        <f t="shared" si="67"/>
        <v>3.47</v>
      </c>
      <c r="N46" s="196">
        <f t="shared" si="67"/>
        <v>3.86</v>
      </c>
      <c r="O46" s="254">
        <f t="shared" si="67"/>
        <v>607200</v>
      </c>
      <c r="P46" s="254">
        <f t="shared" si="67"/>
        <v>684480</v>
      </c>
      <c r="Q46" s="254">
        <f t="shared" si="67"/>
        <v>761759.99999999988</v>
      </c>
      <c r="R46" s="394">
        <f t="shared" si="67"/>
        <v>142.2641765704584</v>
      </c>
      <c r="S46" s="256">
        <f t="shared" si="67"/>
        <v>160.37052631578945</v>
      </c>
      <c r="T46" s="395">
        <f t="shared" si="67"/>
        <v>178.47687606112049</v>
      </c>
      <c r="U46" s="195">
        <f t="shared" si="67"/>
        <v>2.5190839694656488E-2</v>
      </c>
      <c r="V46" s="195">
        <f t="shared" si="67"/>
        <v>1.2213740458015267E-2</v>
      </c>
      <c r="W46" s="195">
        <f t="shared" si="67"/>
        <v>0</v>
      </c>
      <c r="X46" s="195"/>
      <c r="Y46" s="196">
        <f t="shared" ref="Y46:AJ46" si="68">Y43</f>
        <v>0.34</v>
      </c>
      <c r="Z46" s="196">
        <f t="shared" si="68"/>
        <v>0.39</v>
      </c>
      <c r="AA46" s="196">
        <f t="shared" si="68"/>
        <v>0.44</v>
      </c>
      <c r="AB46" s="196">
        <f t="shared" si="68"/>
        <v>2.11</v>
      </c>
      <c r="AC46" s="196">
        <f t="shared" si="68"/>
        <v>2.38</v>
      </c>
      <c r="AD46" s="196">
        <f t="shared" si="68"/>
        <v>2.64</v>
      </c>
      <c r="AE46" s="254">
        <f t="shared" si="68"/>
        <v>44540</v>
      </c>
      <c r="AF46" s="254">
        <f t="shared" si="68"/>
        <v>51090</v>
      </c>
      <c r="AG46" s="254">
        <f t="shared" si="68"/>
        <v>57640</v>
      </c>
      <c r="AH46" s="394">
        <f t="shared" si="68"/>
        <v>24.341843971631207</v>
      </c>
      <c r="AI46" s="256">
        <f t="shared" si="68"/>
        <v>27.921526908635794</v>
      </c>
      <c r="AJ46" s="395">
        <f t="shared" si="68"/>
        <v>31.501209845640386</v>
      </c>
    </row>
    <row r="47" spans="1:39" x14ac:dyDescent="0.25">
      <c r="A47" s="9"/>
      <c r="B47" s="9"/>
      <c r="C47" s="9"/>
      <c r="D47" s="9" t="s">
        <v>203</v>
      </c>
      <c r="E47" s="195">
        <f>E45</f>
        <v>1.4324324324324324E-2</v>
      </c>
      <c r="F47" s="195">
        <f>F45</f>
        <v>7.1621621621621619E-3</v>
      </c>
      <c r="G47" s="195">
        <f>G45</f>
        <v>0</v>
      </c>
      <c r="H47" s="195"/>
      <c r="I47" s="195">
        <f t="shared" ref="I47:W47" si="69">I45</f>
        <v>7.0000000000000001E-3</v>
      </c>
      <c r="J47" s="195">
        <f t="shared" si="69"/>
        <v>8.0000000000000002E-3</v>
      </c>
      <c r="K47" s="195">
        <f t="shared" si="69"/>
        <v>8.9999999999999993E-3</v>
      </c>
      <c r="L47" s="195">
        <f t="shared" si="69"/>
        <v>1.4E-2</v>
      </c>
      <c r="M47" s="195">
        <f t="shared" si="69"/>
        <v>1.6E-2</v>
      </c>
      <c r="N47" s="195">
        <f t="shared" si="69"/>
        <v>1.7000000000000001E-2</v>
      </c>
      <c r="O47" s="254">
        <f t="shared" si="69"/>
        <v>1145816</v>
      </c>
      <c r="P47" s="254">
        <f t="shared" si="69"/>
        <v>1309504</v>
      </c>
      <c r="Q47" s="254">
        <f t="shared" si="69"/>
        <v>1473192</v>
      </c>
      <c r="R47" s="394">
        <f t="shared" si="69"/>
        <v>271.61605535445432</v>
      </c>
      <c r="S47" s="256">
        <f t="shared" si="69"/>
        <v>310.41834897651921</v>
      </c>
      <c r="T47" s="395">
        <f t="shared" si="69"/>
        <v>349.22064259858411</v>
      </c>
      <c r="U47" s="195">
        <f t="shared" si="69"/>
        <v>2.5000000000000001E-2</v>
      </c>
      <c r="V47" s="195">
        <f t="shared" si="69"/>
        <v>1.2999999999999999E-2</v>
      </c>
      <c r="W47" s="195">
        <f t="shared" si="69"/>
        <v>0</v>
      </c>
      <c r="X47" s="195"/>
      <c r="Y47" s="195">
        <f t="shared" ref="Y47:AJ47" si="70">Y45</f>
        <v>2E-3</v>
      </c>
      <c r="Z47" s="195">
        <f t="shared" si="70"/>
        <v>3.0000000000000001E-3</v>
      </c>
      <c r="AA47" s="195">
        <f t="shared" si="70"/>
        <v>3.0000000000000001E-3</v>
      </c>
      <c r="AB47" s="195">
        <f t="shared" si="70"/>
        <v>1.4E-2</v>
      </c>
      <c r="AC47" s="195">
        <f t="shared" si="70"/>
        <v>1.4999999999999999E-2</v>
      </c>
      <c r="AD47" s="195">
        <f t="shared" si="70"/>
        <v>1.7000000000000001E-2</v>
      </c>
      <c r="AE47" s="254">
        <f t="shared" si="70"/>
        <v>102400</v>
      </c>
      <c r="AF47" s="254">
        <f t="shared" si="70"/>
        <v>153600</v>
      </c>
      <c r="AG47" s="254">
        <f t="shared" si="70"/>
        <v>153600</v>
      </c>
      <c r="AH47" s="394">
        <f t="shared" si="70"/>
        <v>60.520094562647749</v>
      </c>
      <c r="AI47" s="256">
        <f t="shared" si="70"/>
        <v>90.78014184397162</v>
      </c>
      <c r="AJ47" s="395">
        <f t="shared" si="70"/>
        <v>90.78014184397162</v>
      </c>
    </row>
    <row r="48" spans="1:39" x14ac:dyDescent="0.25">
      <c r="A48" s="9"/>
      <c r="B48" s="9"/>
      <c r="C48" s="9"/>
      <c r="D48" s="9" t="s">
        <v>256</v>
      </c>
      <c r="E48" s="177"/>
      <c r="F48" s="177"/>
      <c r="G48" s="177"/>
      <c r="H48" s="177"/>
      <c r="I48" s="197"/>
      <c r="J48" s="182"/>
      <c r="K48" s="198"/>
      <c r="L48" s="199"/>
      <c r="M48" s="200"/>
      <c r="N48" s="200"/>
      <c r="O48" s="254">
        <f t="shared" ref="O48:T48" si="71">SUM(O46:O47)</f>
        <v>1753016</v>
      </c>
      <c r="P48" s="254">
        <f t="shared" si="71"/>
        <v>1993984</v>
      </c>
      <c r="Q48" s="254">
        <f t="shared" si="71"/>
        <v>2234952</v>
      </c>
      <c r="R48" s="396">
        <f t="shared" si="71"/>
        <v>413.88023192491272</v>
      </c>
      <c r="S48" s="397">
        <f t="shared" si="71"/>
        <v>470.78887529230866</v>
      </c>
      <c r="T48" s="398">
        <f t="shared" si="71"/>
        <v>527.69751865970466</v>
      </c>
      <c r="U48" s="177"/>
      <c r="V48" s="177"/>
      <c r="W48" s="177"/>
      <c r="X48" s="177"/>
      <c r="Y48" s="197"/>
      <c r="Z48" s="182"/>
      <c r="AA48" s="201"/>
      <c r="AB48" s="199"/>
      <c r="AC48" s="197"/>
      <c r="AD48" s="182"/>
      <c r="AE48" s="254">
        <f t="shared" ref="AE48:AJ48" si="72">SUM(AE46:AE47)</f>
        <v>146940</v>
      </c>
      <c r="AF48" s="254">
        <f t="shared" si="72"/>
        <v>204690</v>
      </c>
      <c r="AG48" s="254">
        <f t="shared" si="72"/>
        <v>211240</v>
      </c>
      <c r="AH48" s="396">
        <f t="shared" si="72"/>
        <v>84.861938534278949</v>
      </c>
      <c r="AI48" s="397">
        <f t="shared" si="72"/>
        <v>118.70166875260742</v>
      </c>
      <c r="AJ48" s="398">
        <f t="shared" si="72"/>
        <v>122.28135168961201</v>
      </c>
    </row>
    <row r="49" spans="1:39" x14ac:dyDescent="0.25">
      <c r="A49" s="9" t="s">
        <v>28</v>
      </c>
      <c r="B49" s="9" t="s">
        <v>98</v>
      </c>
      <c r="C49" s="9" t="s">
        <v>26</v>
      </c>
      <c r="D49" s="9" t="s">
        <v>200</v>
      </c>
      <c r="E49" s="134">
        <f>1/40</f>
        <v>2.5000000000000001E-2</v>
      </c>
      <c r="F49" s="134">
        <f>1/60</f>
        <v>1.6666666666666666E-2</v>
      </c>
      <c r="G49" s="134">
        <v>0</v>
      </c>
      <c r="H49" s="134" t="s">
        <v>260</v>
      </c>
      <c r="I49" s="136">
        <v>0.45</v>
      </c>
      <c r="J49" s="136">
        <v>0.5</v>
      </c>
      <c r="K49" s="136">
        <v>0.56000000000000005</v>
      </c>
      <c r="L49" s="136">
        <v>2.27</v>
      </c>
      <c r="M49" s="136">
        <v>2.5299999999999998</v>
      </c>
      <c r="N49" s="136">
        <v>2.79</v>
      </c>
      <c r="O49" s="252">
        <f t="shared" ref="O49:Q50" si="73">HHProps_SSW*IF($H49="S1",I49,(I49+L49))</f>
        <v>248400</v>
      </c>
      <c r="P49" s="252">
        <f t="shared" si="73"/>
        <v>276000</v>
      </c>
      <c r="Q49" s="252">
        <f t="shared" si="73"/>
        <v>309120.00000000006</v>
      </c>
      <c r="R49" s="392">
        <f t="shared" ref="R49:T52" si="74">O49/(IF($H49="S1",($E49-$F49),($E49-$G49))*100)</f>
        <v>298079.99999999994</v>
      </c>
      <c r="S49" s="252">
        <f t="shared" si="74"/>
        <v>331199.99999999994</v>
      </c>
      <c r="T49" s="393">
        <f t="shared" si="74"/>
        <v>370944</v>
      </c>
      <c r="U49" s="134">
        <f>1/80</f>
        <v>1.2500000000000001E-2</v>
      </c>
      <c r="V49" s="134">
        <f>1/120</f>
        <v>8.3333333333333332E-3</v>
      </c>
      <c r="W49" s="134">
        <v>0</v>
      </c>
      <c r="X49" s="134" t="str">
        <f>H49</f>
        <v>S1</v>
      </c>
      <c r="Y49" s="136">
        <v>1.31</v>
      </c>
      <c r="Z49" s="136">
        <v>1.47</v>
      </c>
      <c r="AA49" s="136">
        <v>1.64</v>
      </c>
      <c r="AB49" s="136">
        <v>0.37</v>
      </c>
      <c r="AC49" s="136">
        <v>0.42</v>
      </c>
      <c r="AD49" s="136">
        <v>0.46</v>
      </c>
      <c r="AE49" s="252">
        <f t="shared" ref="AE49:AG50" si="75">HHProps_CAM*IF($H49="S1",Y49,(Y49+AB49))</f>
        <v>171610</v>
      </c>
      <c r="AF49" s="252">
        <f t="shared" si="75"/>
        <v>192570</v>
      </c>
      <c r="AG49" s="252">
        <f t="shared" si="75"/>
        <v>214840</v>
      </c>
      <c r="AH49" s="392">
        <f t="shared" ref="AH49:AJ52" si="76">AE49/(IF($H49="S1",($U49-$V49),($U49-$W49))*100)</f>
        <v>411863.99999999994</v>
      </c>
      <c r="AI49" s="252">
        <f t="shared" si="76"/>
        <v>462167.99999999994</v>
      </c>
      <c r="AJ49" s="393">
        <f t="shared" si="76"/>
        <v>515615.99999999988</v>
      </c>
    </row>
    <row r="50" spans="1:39" x14ac:dyDescent="0.25">
      <c r="A50" s="9"/>
      <c r="B50" s="9"/>
      <c r="C50" s="162" t="s">
        <v>406</v>
      </c>
      <c r="D50" s="9" t="s">
        <v>188</v>
      </c>
      <c r="E50" s="134">
        <f>1/40</f>
        <v>2.5000000000000001E-2</v>
      </c>
      <c r="F50" s="134">
        <f>1/60</f>
        <v>1.6666666666666666E-2</v>
      </c>
      <c r="G50" s="134">
        <v>0</v>
      </c>
      <c r="H50" s="134" t="s">
        <v>260</v>
      </c>
      <c r="I50" s="136">
        <v>0.34</v>
      </c>
      <c r="J50" s="136">
        <v>0.38</v>
      </c>
      <c r="K50" s="136">
        <v>0.43</v>
      </c>
      <c r="L50" s="136">
        <v>1.78</v>
      </c>
      <c r="M50" s="136">
        <v>2.0099999999999998</v>
      </c>
      <c r="N50" s="136">
        <v>2.23</v>
      </c>
      <c r="O50" s="252">
        <f t="shared" si="73"/>
        <v>187680</v>
      </c>
      <c r="P50" s="252">
        <f t="shared" si="73"/>
        <v>209760</v>
      </c>
      <c r="Q50" s="252">
        <f t="shared" si="73"/>
        <v>237360</v>
      </c>
      <c r="R50" s="392">
        <f t="shared" si="74"/>
        <v>225215.99999999997</v>
      </c>
      <c r="S50" s="252">
        <f t="shared" si="74"/>
        <v>251711.99999999994</v>
      </c>
      <c r="T50" s="393">
        <f t="shared" si="74"/>
        <v>284831.99999999994</v>
      </c>
      <c r="U50" s="134">
        <f>1/80</f>
        <v>1.2500000000000001E-2</v>
      </c>
      <c r="V50" s="134">
        <f>1/120</f>
        <v>8.3333333333333332E-3</v>
      </c>
      <c r="W50" s="134">
        <v>0</v>
      </c>
      <c r="X50" s="134" t="str">
        <f>H50</f>
        <v>S1</v>
      </c>
      <c r="Y50" s="136">
        <v>1.28</v>
      </c>
      <c r="Z50" s="136">
        <v>1.44</v>
      </c>
      <c r="AA50" s="136">
        <v>1.61</v>
      </c>
      <c r="AB50" s="136">
        <v>0.49</v>
      </c>
      <c r="AC50" s="136">
        <v>0.55000000000000004</v>
      </c>
      <c r="AD50" s="136">
        <v>0.61</v>
      </c>
      <c r="AE50" s="252">
        <f t="shared" si="75"/>
        <v>167680</v>
      </c>
      <c r="AF50" s="252">
        <f t="shared" si="75"/>
        <v>188640</v>
      </c>
      <c r="AG50" s="252">
        <f t="shared" si="75"/>
        <v>210910</v>
      </c>
      <c r="AH50" s="392">
        <f t="shared" si="76"/>
        <v>402431.99999999994</v>
      </c>
      <c r="AI50" s="252">
        <f t="shared" si="76"/>
        <v>452735.99999999994</v>
      </c>
      <c r="AJ50" s="393">
        <f t="shared" si="76"/>
        <v>506183.99999999988</v>
      </c>
    </row>
    <row r="51" spans="1:39" x14ac:dyDescent="0.25">
      <c r="A51" s="9"/>
      <c r="B51" s="9"/>
      <c r="C51" s="9"/>
      <c r="D51" s="9" t="s">
        <v>201</v>
      </c>
      <c r="E51" s="134">
        <f>1/40</f>
        <v>2.5000000000000001E-2</v>
      </c>
      <c r="F51" s="134">
        <f>1/60</f>
        <v>1.6666666666666666E-2</v>
      </c>
      <c r="G51" s="134">
        <v>0</v>
      </c>
      <c r="H51" s="134" t="s">
        <v>260</v>
      </c>
      <c r="I51" s="137">
        <v>8.0000000000000002E-3</v>
      </c>
      <c r="J51" s="137">
        <v>8.9999999999999993E-3</v>
      </c>
      <c r="K51" s="137">
        <v>0.01</v>
      </c>
      <c r="L51" s="137">
        <v>1.4999999999999999E-2</v>
      </c>
      <c r="M51" s="137">
        <v>1.7999999999999999E-2</v>
      </c>
      <c r="N51" s="137">
        <v>0.02</v>
      </c>
      <c r="O51" s="252">
        <f t="shared" ref="O51:Q52" si="77">NHHProps_SSW*AvgNHHBill_SSW*IF($H51="S1",I51,(I51+L51))</f>
        <v>1309504</v>
      </c>
      <c r="P51" s="252">
        <f t="shared" si="77"/>
        <v>1473192</v>
      </c>
      <c r="Q51" s="252">
        <f t="shared" si="77"/>
        <v>1636880</v>
      </c>
      <c r="R51" s="392">
        <f t="shared" si="74"/>
        <v>1571404.7999999998</v>
      </c>
      <c r="S51" s="252">
        <f t="shared" si="74"/>
        <v>1767830.3999999997</v>
      </c>
      <c r="T51" s="393">
        <f t="shared" si="74"/>
        <v>1964255.9999999998</v>
      </c>
      <c r="U51" s="134">
        <f>1/80</f>
        <v>1.2500000000000001E-2</v>
      </c>
      <c r="V51" s="134">
        <f>1/120</f>
        <v>8.3333333333333332E-3</v>
      </c>
      <c r="W51" s="134">
        <v>0</v>
      </c>
      <c r="X51" s="134" t="str">
        <f>H51</f>
        <v>S1</v>
      </c>
      <c r="Y51" s="137">
        <v>8.0000000000000002E-3</v>
      </c>
      <c r="Z51" s="142">
        <v>8.0000000000000002E-3</v>
      </c>
      <c r="AA51" s="142">
        <v>8.9999999999999993E-3</v>
      </c>
      <c r="AB51" s="137">
        <v>2E-3</v>
      </c>
      <c r="AC51" s="142">
        <v>3.0000000000000001E-3</v>
      </c>
      <c r="AD51" s="142">
        <v>3.0000000000000001E-3</v>
      </c>
      <c r="AE51" s="252">
        <f t="shared" ref="AE51:AG52" si="78">NHHProps_CAM*AvgNHHBill_CAM*IF($H51="S1",Y51,(Y51+AB51))</f>
        <v>409600</v>
      </c>
      <c r="AF51" s="252">
        <f t="shared" si="78"/>
        <v>409600</v>
      </c>
      <c r="AG51" s="252">
        <f t="shared" si="78"/>
        <v>460799.99999999994</v>
      </c>
      <c r="AH51" s="392">
        <f t="shared" si="76"/>
        <v>983039.99999999988</v>
      </c>
      <c r="AI51" s="252">
        <f t="shared" si="76"/>
        <v>983039.99999999988</v>
      </c>
      <c r="AJ51" s="393">
        <f t="shared" si="76"/>
        <v>1105919.9999999998</v>
      </c>
    </row>
    <row r="52" spans="1:39" x14ac:dyDescent="0.25">
      <c r="A52" s="9"/>
      <c r="B52" s="9"/>
      <c r="C52" s="9"/>
      <c r="D52" s="9" t="s">
        <v>189</v>
      </c>
      <c r="E52" s="134">
        <f>1/40</f>
        <v>2.5000000000000001E-2</v>
      </c>
      <c r="F52" s="134">
        <f>1/60</f>
        <v>1.6666666666666666E-2</v>
      </c>
      <c r="G52" s="134">
        <v>0</v>
      </c>
      <c r="H52" s="134" t="s">
        <v>260</v>
      </c>
      <c r="I52" s="137">
        <v>1E-3</v>
      </c>
      <c r="J52" s="939">
        <v>1E-3</v>
      </c>
      <c r="K52" s="137">
        <v>1E-3</v>
      </c>
      <c r="L52" s="137">
        <v>6.0000000000000001E-3</v>
      </c>
      <c r="M52" s="137">
        <v>7.0000000000000001E-3</v>
      </c>
      <c r="N52" s="137">
        <v>8.0000000000000002E-3</v>
      </c>
      <c r="O52" s="252">
        <f t="shared" si="77"/>
        <v>163688</v>
      </c>
      <c r="P52" s="252">
        <f t="shared" si="77"/>
        <v>163688</v>
      </c>
      <c r="Q52" s="252">
        <f t="shared" si="77"/>
        <v>163688</v>
      </c>
      <c r="R52" s="392">
        <f t="shared" si="74"/>
        <v>196425.59999999998</v>
      </c>
      <c r="S52" s="252">
        <f t="shared" si="74"/>
        <v>196425.59999999998</v>
      </c>
      <c r="T52" s="393">
        <f t="shared" si="74"/>
        <v>196425.59999999998</v>
      </c>
      <c r="U52" s="134">
        <f>1/80</f>
        <v>1.2500000000000001E-2</v>
      </c>
      <c r="V52" s="134">
        <f>1/120</f>
        <v>8.3333333333333332E-3</v>
      </c>
      <c r="W52" s="134">
        <v>0</v>
      </c>
      <c r="X52" s="134" t="str">
        <f>H52</f>
        <v>S1</v>
      </c>
      <c r="Y52" s="137">
        <v>7.0000000000000001E-3</v>
      </c>
      <c r="Z52" s="137">
        <v>8.9999999999999993E-3</v>
      </c>
      <c r="AA52" s="137">
        <v>0.01</v>
      </c>
      <c r="AB52" s="137">
        <v>3.0000000000000001E-3</v>
      </c>
      <c r="AC52" s="137">
        <v>2E-3</v>
      </c>
      <c r="AD52" s="137">
        <v>2E-3</v>
      </c>
      <c r="AE52" s="252">
        <f t="shared" si="78"/>
        <v>358400</v>
      </c>
      <c r="AF52" s="252">
        <f t="shared" si="78"/>
        <v>460799.99999999994</v>
      </c>
      <c r="AG52" s="252">
        <f t="shared" si="78"/>
        <v>512000</v>
      </c>
      <c r="AH52" s="392">
        <f t="shared" si="76"/>
        <v>860159.99999999988</v>
      </c>
      <c r="AI52" s="252">
        <f t="shared" si="76"/>
        <v>1105919.9999999998</v>
      </c>
      <c r="AJ52" s="393">
        <f t="shared" si="76"/>
        <v>1228799.9999999998</v>
      </c>
    </row>
    <row r="53" spans="1:39" x14ac:dyDescent="0.25">
      <c r="A53" s="9"/>
      <c r="B53" s="9"/>
      <c r="C53" s="9"/>
      <c r="D53" s="9" t="s">
        <v>202</v>
      </c>
      <c r="E53" s="195">
        <f>E50</f>
        <v>2.5000000000000001E-2</v>
      </c>
      <c r="F53" s="195">
        <f>F50</f>
        <v>1.6666666666666666E-2</v>
      </c>
      <c r="G53" s="195">
        <f>G50</f>
        <v>0</v>
      </c>
      <c r="H53" s="195"/>
      <c r="I53" s="196">
        <f t="shared" ref="I53:W53" si="79">I50</f>
        <v>0.34</v>
      </c>
      <c r="J53" s="196">
        <f t="shared" si="79"/>
        <v>0.38</v>
      </c>
      <c r="K53" s="196">
        <f t="shared" si="79"/>
        <v>0.43</v>
      </c>
      <c r="L53" s="196">
        <f t="shared" si="79"/>
        <v>1.78</v>
      </c>
      <c r="M53" s="196">
        <f t="shared" si="79"/>
        <v>2.0099999999999998</v>
      </c>
      <c r="N53" s="196">
        <f t="shared" si="79"/>
        <v>2.23</v>
      </c>
      <c r="O53" s="254">
        <f t="shared" si="79"/>
        <v>187680</v>
      </c>
      <c r="P53" s="254">
        <f t="shared" si="79"/>
        <v>209760</v>
      </c>
      <c r="Q53" s="254">
        <f t="shared" si="79"/>
        <v>237360</v>
      </c>
      <c r="R53" s="394">
        <f t="shared" si="79"/>
        <v>225215.99999999997</v>
      </c>
      <c r="S53" s="256">
        <f t="shared" si="79"/>
        <v>251711.99999999994</v>
      </c>
      <c r="T53" s="395">
        <f t="shared" si="79"/>
        <v>284831.99999999994</v>
      </c>
      <c r="U53" s="195">
        <f t="shared" si="79"/>
        <v>1.2500000000000001E-2</v>
      </c>
      <c r="V53" s="195">
        <f t="shared" si="79"/>
        <v>8.3333333333333332E-3</v>
      </c>
      <c r="W53" s="195">
        <f t="shared" si="79"/>
        <v>0</v>
      </c>
      <c r="X53" s="195"/>
      <c r="Y53" s="196">
        <f t="shared" ref="Y53:AJ53" si="80">Y50</f>
        <v>1.28</v>
      </c>
      <c r="Z53" s="196">
        <f t="shared" si="80"/>
        <v>1.44</v>
      </c>
      <c r="AA53" s="196">
        <f t="shared" si="80"/>
        <v>1.61</v>
      </c>
      <c r="AB53" s="196">
        <f t="shared" si="80"/>
        <v>0.49</v>
      </c>
      <c r="AC53" s="196">
        <f t="shared" si="80"/>
        <v>0.55000000000000004</v>
      </c>
      <c r="AD53" s="196">
        <f t="shared" si="80"/>
        <v>0.61</v>
      </c>
      <c r="AE53" s="254">
        <f t="shared" si="80"/>
        <v>167680</v>
      </c>
      <c r="AF53" s="254">
        <f t="shared" si="80"/>
        <v>188640</v>
      </c>
      <c r="AG53" s="254">
        <f t="shared" si="80"/>
        <v>210910</v>
      </c>
      <c r="AH53" s="394">
        <f t="shared" si="80"/>
        <v>402431.99999999994</v>
      </c>
      <c r="AI53" s="256">
        <f t="shared" si="80"/>
        <v>452735.99999999994</v>
      </c>
      <c r="AJ53" s="395">
        <f t="shared" si="80"/>
        <v>506183.99999999988</v>
      </c>
    </row>
    <row r="54" spans="1:39" x14ac:dyDescent="0.25">
      <c r="A54" s="9"/>
      <c r="B54" s="9"/>
      <c r="C54" s="9"/>
      <c r="D54" s="9" t="s">
        <v>203</v>
      </c>
      <c r="E54" s="195">
        <f>E52</f>
        <v>2.5000000000000001E-2</v>
      </c>
      <c r="F54" s="195">
        <f>F52</f>
        <v>1.6666666666666666E-2</v>
      </c>
      <c r="G54" s="195">
        <f>G52</f>
        <v>0</v>
      </c>
      <c r="H54" s="195"/>
      <c r="I54" s="195">
        <f t="shared" ref="I54:W54" si="81">I52</f>
        <v>1E-3</v>
      </c>
      <c r="J54" s="195">
        <f t="shared" si="81"/>
        <v>1E-3</v>
      </c>
      <c r="K54" s="195">
        <f t="shared" si="81"/>
        <v>1E-3</v>
      </c>
      <c r="L54" s="195">
        <f t="shared" si="81"/>
        <v>6.0000000000000001E-3</v>
      </c>
      <c r="M54" s="195">
        <f t="shared" si="81"/>
        <v>7.0000000000000001E-3</v>
      </c>
      <c r="N54" s="195">
        <f t="shared" si="81"/>
        <v>8.0000000000000002E-3</v>
      </c>
      <c r="O54" s="254">
        <f t="shared" si="81"/>
        <v>163688</v>
      </c>
      <c r="P54" s="254">
        <f t="shared" si="81"/>
        <v>163688</v>
      </c>
      <c r="Q54" s="254">
        <f t="shared" si="81"/>
        <v>163688</v>
      </c>
      <c r="R54" s="394">
        <f t="shared" si="81"/>
        <v>196425.59999999998</v>
      </c>
      <c r="S54" s="256">
        <f t="shared" si="81"/>
        <v>196425.59999999998</v>
      </c>
      <c r="T54" s="395">
        <f t="shared" si="81"/>
        <v>196425.59999999998</v>
      </c>
      <c r="U54" s="195">
        <f t="shared" si="81"/>
        <v>1.2500000000000001E-2</v>
      </c>
      <c r="V54" s="195">
        <f t="shared" si="81"/>
        <v>8.3333333333333332E-3</v>
      </c>
      <c r="W54" s="195">
        <f t="shared" si="81"/>
        <v>0</v>
      </c>
      <c r="X54" s="195"/>
      <c r="Y54" s="195">
        <f t="shared" ref="Y54:AJ54" si="82">Y52</f>
        <v>7.0000000000000001E-3</v>
      </c>
      <c r="Z54" s="195">
        <f t="shared" si="82"/>
        <v>8.9999999999999993E-3</v>
      </c>
      <c r="AA54" s="195">
        <f t="shared" si="82"/>
        <v>0.01</v>
      </c>
      <c r="AB54" s="195">
        <f t="shared" si="82"/>
        <v>3.0000000000000001E-3</v>
      </c>
      <c r="AC54" s="195">
        <f t="shared" si="82"/>
        <v>2E-3</v>
      </c>
      <c r="AD54" s="195">
        <f t="shared" si="82"/>
        <v>2E-3</v>
      </c>
      <c r="AE54" s="254">
        <f t="shared" si="82"/>
        <v>358400</v>
      </c>
      <c r="AF54" s="254">
        <f t="shared" si="82"/>
        <v>460799.99999999994</v>
      </c>
      <c r="AG54" s="254">
        <f t="shared" si="82"/>
        <v>512000</v>
      </c>
      <c r="AH54" s="394">
        <f t="shared" si="82"/>
        <v>860159.99999999988</v>
      </c>
      <c r="AI54" s="256">
        <f t="shared" si="82"/>
        <v>1105919.9999999998</v>
      </c>
      <c r="AJ54" s="395">
        <f t="shared" si="82"/>
        <v>1228799.9999999998</v>
      </c>
    </row>
    <row r="55" spans="1:39" x14ac:dyDescent="0.25">
      <c r="A55" s="9"/>
      <c r="B55" s="9"/>
      <c r="C55" s="9"/>
      <c r="D55" s="9" t="s">
        <v>256</v>
      </c>
      <c r="E55" s="177"/>
      <c r="F55" s="177"/>
      <c r="G55" s="177"/>
      <c r="H55" s="177"/>
      <c r="I55" s="197"/>
      <c r="J55" s="182"/>
      <c r="K55" s="198"/>
      <c r="L55" s="199"/>
      <c r="M55" s="200"/>
      <c r="N55" s="200"/>
      <c r="O55" s="254">
        <f t="shared" ref="O55:T55" si="83">SUM(O53:O54)</f>
        <v>351368</v>
      </c>
      <c r="P55" s="254">
        <f t="shared" si="83"/>
        <v>373448</v>
      </c>
      <c r="Q55" s="254">
        <f t="shared" si="83"/>
        <v>401048</v>
      </c>
      <c r="R55" s="396">
        <f t="shared" si="83"/>
        <v>421641.6</v>
      </c>
      <c r="S55" s="397">
        <f t="shared" si="83"/>
        <v>448137.59999999992</v>
      </c>
      <c r="T55" s="398">
        <f t="shared" si="83"/>
        <v>481257.59999999992</v>
      </c>
      <c r="U55" s="177"/>
      <c r="V55" s="177"/>
      <c r="W55" s="177"/>
      <c r="X55" s="177"/>
      <c r="Y55" s="197"/>
      <c r="Z55" s="182"/>
      <c r="AA55" s="201"/>
      <c r="AB55" s="199"/>
      <c r="AC55" s="197"/>
      <c r="AD55" s="182"/>
      <c r="AE55" s="254">
        <f t="shared" ref="AE55:AJ55" si="84">SUM(AE53:AE54)</f>
        <v>526080</v>
      </c>
      <c r="AF55" s="254">
        <f t="shared" si="84"/>
        <v>649440</v>
      </c>
      <c r="AG55" s="254">
        <f t="shared" si="84"/>
        <v>722910</v>
      </c>
      <c r="AH55" s="396">
        <f t="shared" si="84"/>
        <v>1262591.9999999998</v>
      </c>
      <c r="AI55" s="397">
        <f t="shared" si="84"/>
        <v>1558655.9999999998</v>
      </c>
      <c r="AJ55" s="398">
        <f t="shared" si="84"/>
        <v>1734983.9999999995</v>
      </c>
    </row>
    <row r="56" spans="1:39" x14ac:dyDescent="0.25">
      <c r="A56" s="162" t="s">
        <v>321</v>
      </c>
      <c r="B56" s="9" t="s">
        <v>322</v>
      </c>
      <c r="C56" s="9" t="s">
        <v>26</v>
      </c>
      <c r="D56" s="9" t="s">
        <v>200</v>
      </c>
      <c r="E56" s="149">
        <f>1/80</f>
        <v>1.2500000000000001E-2</v>
      </c>
      <c r="F56" s="149">
        <f>1/120</f>
        <v>8.3333333333333332E-3</v>
      </c>
      <c r="G56" s="150">
        <v>0</v>
      </c>
      <c r="H56" s="134" t="s">
        <v>260</v>
      </c>
      <c r="I56" s="151">
        <v>0.09</v>
      </c>
      <c r="J56" s="151">
        <v>0.11</v>
      </c>
      <c r="K56" s="152">
        <v>0.12</v>
      </c>
      <c r="L56" s="151">
        <v>0.31000000000000005</v>
      </c>
      <c r="M56" s="152">
        <v>0.33</v>
      </c>
      <c r="N56" s="152">
        <v>0.37</v>
      </c>
      <c r="O56" s="252">
        <f t="shared" ref="O56:Q57" si="85">HHProps_SSW*IF($H56="S1",I56,(I56+L56))</f>
        <v>49680</v>
      </c>
      <c r="P56" s="252">
        <f t="shared" si="85"/>
        <v>60720</v>
      </c>
      <c r="Q56" s="252">
        <f t="shared" si="85"/>
        <v>66240</v>
      </c>
      <c r="R56" s="392">
        <f t="shared" ref="R56:T59" si="86">O56/(IF($H56="S1",($E56-$F56),($E56-$G56))*100)</f>
        <v>119231.99999999999</v>
      </c>
      <c r="S56" s="252">
        <f t="shared" si="86"/>
        <v>145727.99999999997</v>
      </c>
      <c r="T56" s="393">
        <f t="shared" si="86"/>
        <v>158975.99999999997</v>
      </c>
      <c r="U56" s="149">
        <f>1/80</f>
        <v>1.2500000000000001E-2</v>
      </c>
      <c r="V56" s="149">
        <f>1/120</f>
        <v>8.3333333333333332E-3</v>
      </c>
      <c r="W56" s="150">
        <f>0</f>
        <v>0</v>
      </c>
      <c r="X56" s="134" t="str">
        <f>H56</f>
        <v>S1</v>
      </c>
      <c r="Y56" s="151">
        <v>1.54</v>
      </c>
      <c r="Z56" s="151">
        <v>1.7366473974170527</v>
      </c>
      <c r="AA56" s="152">
        <v>1.93</v>
      </c>
      <c r="AB56" s="152">
        <v>0.28000000000000003</v>
      </c>
      <c r="AC56" s="151">
        <v>0.30758536486851185</v>
      </c>
      <c r="AD56" s="151">
        <v>0.34000000000000008</v>
      </c>
      <c r="AE56" s="252">
        <f t="shared" ref="AE56:AG57" si="87">HHProps_CAM*IF($H56="S1",Y56,(Y56+AB56))</f>
        <v>201740</v>
      </c>
      <c r="AF56" s="252">
        <f t="shared" si="87"/>
        <v>227500.80906163389</v>
      </c>
      <c r="AG56" s="252">
        <f t="shared" si="87"/>
        <v>252830</v>
      </c>
      <c r="AH56" s="392">
        <f t="shared" ref="AH56:AJ59" si="88">AE56/(IF($H56="S1",($U56-$V56),($U56-$W56))*100)</f>
        <v>484175.99999999994</v>
      </c>
      <c r="AI56" s="252">
        <f t="shared" si="88"/>
        <v>546001.94174792129</v>
      </c>
      <c r="AJ56" s="393">
        <f t="shared" si="88"/>
        <v>606791.99999999988</v>
      </c>
    </row>
    <row r="57" spans="1:39" x14ac:dyDescent="0.25">
      <c r="A57" s="162" t="s">
        <v>376</v>
      </c>
      <c r="B57" s="9"/>
      <c r="C57" s="162" t="s">
        <v>406</v>
      </c>
      <c r="D57" s="9" t="s">
        <v>188</v>
      </c>
      <c r="E57" s="149">
        <f>1/80</f>
        <v>1.2500000000000001E-2</v>
      </c>
      <c r="F57" s="149">
        <f>1/120</f>
        <v>8.3333333333333332E-3</v>
      </c>
      <c r="G57" s="150">
        <v>0</v>
      </c>
      <c r="H57" s="134" t="s">
        <v>260</v>
      </c>
      <c r="I57" s="151">
        <v>0.06</v>
      </c>
      <c r="J57" s="151">
        <v>7.0000000000000007E-2</v>
      </c>
      <c r="K57" s="152">
        <v>0.08</v>
      </c>
      <c r="L57" s="151">
        <v>0.5</v>
      </c>
      <c r="M57" s="152">
        <v>0.56999999999999995</v>
      </c>
      <c r="N57" s="152">
        <v>0.63</v>
      </c>
      <c r="O57" s="252">
        <f t="shared" si="85"/>
        <v>33120</v>
      </c>
      <c r="P57" s="252">
        <f t="shared" si="85"/>
        <v>38640.000000000007</v>
      </c>
      <c r="Q57" s="252">
        <f t="shared" si="85"/>
        <v>44160</v>
      </c>
      <c r="R57" s="392">
        <f t="shared" si="86"/>
        <v>79487.999999999985</v>
      </c>
      <c r="S57" s="252">
        <f t="shared" si="86"/>
        <v>92736</v>
      </c>
      <c r="T57" s="393">
        <f t="shared" si="86"/>
        <v>105983.99999999999</v>
      </c>
      <c r="U57" s="149">
        <f>1/80</f>
        <v>1.2500000000000001E-2</v>
      </c>
      <c r="V57" s="149">
        <f>1/120</f>
        <v>8.3333333333333332E-3</v>
      </c>
      <c r="W57" s="150">
        <f>0</f>
        <v>0</v>
      </c>
      <c r="X57" s="134" t="str">
        <f>H57</f>
        <v>S1</v>
      </c>
      <c r="Y57" s="151">
        <v>1.33</v>
      </c>
      <c r="Z57" s="151">
        <v>1.5029903774694477</v>
      </c>
      <c r="AA57" s="152">
        <v>1.67</v>
      </c>
      <c r="AB57" s="152">
        <v>0.28000000000000003</v>
      </c>
      <c r="AC57" s="151">
        <v>0.31632762130063785</v>
      </c>
      <c r="AD57" s="151">
        <v>0.35000000000000009</v>
      </c>
      <c r="AE57" s="252">
        <f t="shared" si="87"/>
        <v>174230</v>
      </c>
      <c r="AF57" s="252">
        <f t="shared" si="87"/>
        <v>196891.73944849765</v>
      </c>
      <c r="AG57" s="252">
        <f t="shared" si="87"/>
        <v>218770</v>
      </c>
      <c r="AH57" s="392">
        <f t="shared" si="88"/>
        <v>418151.99999999994</v>
      </c>
      <c r="AI57" s="252">
        <f t="shared" si="88"/>
        <v>472540.17467639426</v>
      </c>
      <c r="AJ57" s="393">
        <f t="shared" si="88"/>
        <v>525047.99999999988</v>
      </c>
    </row>
    <row r="58" spans="1:39" x14ac:dyDescent="0.25">
      <c r="A58" s="9"/>
      <c r="B58" s="9"/>
      <c r="C58" s="9"/>
      <c r="D58" s="9" t="s">
        <v>201</v>
      </c>
      <c r="E58" s="149">
        <f>1/80</f>
        <v>1.2500000000000001E-2</v>
      </c>
      <c r="F58" s="149">
        <f>1/120</f>
        <v>8.3333333333333332E-3</v>
      </c>
      <c r="G58" s="150">
        <v>0</v>
      </c>
      <c r="H58" s="134" t="s">
        <v>260</v>
      </c>
      <c r="I58" s="153">
        <v>1E-3</v>
      </c>
      <c r="J58" s="153">
        <v>1E-3</v>
      </c>
      <c r="K58" s="154">
        <v>1E-3</v>
      </c>
      <c r="L58" s="153">
        <v>7.0000000000000001E-3</v>
      </c>
      <c r="M58" s="150">
        <v>0</v>
      </c>
      <c r="N58" s="152">
        <v>9.0000000000000011E-3</v>
      </c>
      <c r="O58" s="252">
        <f t="shared" ref="O58:Q59" si="89">NHHProps_SSW*AvgNHHBill_SSW*IF($H58="S1",I58,(I58+L58))</f>
        <v>163688</v>
      </c>
      <c r="P58" s="252">
        <f t="shared" si="89"/>
        <v>163688</v>
      </c>
      <c r="Q58" s="252">
        <f t="shared" si="89"/>
        <v>163688</v>
      </c>
      <c r="R58" s="392">
        <f t="shared" si="86"/>
        <v>392851.19999999995</v>
      </c>
      <c r="S58" s="252">
        <f t="shared" si="86"/>
        <v>392851.19999999995</v>
      </c>
      <c r="T58" s="393">
        <f t="shared" si="86"/>
        <v>392851.19999999995</v>
      </c>
      <c r="U58" s="149">
        <f>1/80</f>
        <v>1.2500000000000001E-2</v>
      </c>
      <c r="V58" s="149">
        <f>1/120</f>
        <v>8.3333333333333332E-3</v>
      </c>
      <c r="W58" s="150">
        <f>0</f>
        <v>0</v>
      </c>
      <c r="X58" s="134" t="str">
        <f>H58</f>
        <v>S1</v>
      </c>
      <c r="Y58" s="153">
        <v>6.0000000000000001E-3</v>
      </c>
      <c r="Z58" s="153">
        <v>7.1137546893272081E-3</v>
      </c>
      <c r="AA58" s="153">
        <v>8.0000000000000002E-3</v>
      </c>
      <c r="AB58" s="150">
        <v>1E-3</v>
      </c>
      <c r="AC58" s="153">
        <v>1.2848693146036688E-3</v>
      </c>
      <c r="AD58" s="153">
        <v>9.9999999999999915E-4</v>
      </c>
      <c r="AE58" s="252">
        <f t="shared" ref="AE58:AG59" si="90">NHHProps_CAM*AvgNHHBill_CAM*IF($H58="S1",Y58,(Y58+AB58))</f>
        <v>307200</v>
      </c>
      <c r="AF58" s="252">
        <f t="shared" si="90"/>
        <v>364224.24009355303</v>
      </c>
      <c r="AG58" s="252">
        <f t="shared" si="90"/>
        <v>409600</v>
      </c>
      <c r="AH58" s="392">
        <f t="shared" si="88"/>
        <v>737279.99999999988</v>
      </c>
      <c r="AI58" s="252">
        <f t="shared" si="88"/>
        <v>874138.17622452707</v>
      </c>
      <c r="AJ58" s="393">
        <f t="shared" si="88"/>
        <v>983039.99999999988</v>
      </c>
    </row>
    <row r="59" spans="1:39" x14ac:dyDescent="0.25">
      <c r="A59" s="9"/>
      <c r="B59" s="9"/>
      <c r="C59" s="9"/>
      <c r="D59" s="9" t="s">
        <v>189</v>
      </c>
      <c r="E59" s="149">
        <f>1/80</f>
        <v>1.2500000000000001E-2</v>
      </c>
      <c r="F59" s="149">
        <f>1/120</f>
        <v>8.3333333333333332E-3</v>
      </c>
      <c r="G59" s="150">
        <v>0</v>
      </c>
      <c r="H59" s="134" t="s">
        <v>260</v>
      </c>
      <c r="I59" s="150">
        <v>0</v>
      </c>
      <c r="J59" s="153">
        <v>1E-3</v>
      </c>
      <c r="K59" s="154">
        <v>1E-3</v>
      </c>
      <c r="L59" s="153">
        <v>1E-3</v>
      </c>
      <c r="M59" s="153">
        <v>8.0000000000000002E-3</v>
      </c>
      <c r="N59" s="152">
        <v>1E-3</v>
      </c>
      <c r="O59" s="252">
        <f t="shared" si="89"/>
        <v>0</v>
      </c>
      <c r="P59" s="252">
        <f t="shared" si="89"/>
        <v>163688</v>
      </c>
      <c r="Q59" s="252">
        <f t="shared" si="89"/>
        <v>163688</v>
      </c>
      <c r="R59" s="392">
        <f t="shared" si="86"/>
        <v>0</v>
      </c>
      <c r="S59" s="252">
        <f t="shared" si="86"/>
        <v>392851.19999999995</v>
      </c>
      <c r="T59" s="393">
        <f t="shared" si="86"/>
        <v>392851.19999999995</v>
      </c>
      <c r="U59" s="149">
        <f>1/80</f>
        <v>1.2500000000000001E-2</v>
      </c>
      <c r="V59" s="149">
        <f>1/120</f>
        <v>8.3333333333333332E-3</v>
      </c>
      <c r="W59" s="150">
        <f>0</f>
        <v>0</v>
      </c>
      <c r="X59" s="134" t="str">
        <f>H59</f>
        <v>S1</v>
      </c>
      <c r="Y59" s="153">
        <v>8.0000000000000002E-3</v>
      </c>
      <c r="Z59" s="153">
        <v>9.1158062540521636E-3</v>
      </c>
      <c r="AA59" s="153">
        <v>0.01</v>
      </c>
      <c r="AB59" s="150">
        <v>2E-3</v>
      </c>
      <c r="AC59" s="153">
        <v>2.0400790621022298E-3</v>
      </c>
      <c r="AD59" s="153">
        <v>2.9999999999999992E-3</v>
      </c>
      <c r="AE59" s="252">
        <f t="shared" si="90"/>
        <v>409600</v>
      </c>
      <c r="AF59" s="252">
        <f t="shared" si="90"/>
        <v>466729.28020747076</v>
      </c>
      <c r="AG59" s="252">
        <f t="shared" si="90"/>
        <v>512000</v>
      </c>
      <c r="AH59" s="392">
        <f t="shared" si="88"/>
        <v>983039.99999999988</v>
      </c>
      <c r="AI59" s="252">
        <f t="shared" si="88"/>
        <v>1120150.2724979296</v>
      </c>
      <c r="AJ59" s="393">
        <f t="shared" si="88"/>
        <v>1228799.9999999998</v>
      </c>
    </row>
    <row r="60" spans="1:39" x14ac:dyDescent="0.25">
      <c r="A60" s="9"/>
      <c r="B60" s="9"/>
      <c r="C60" s="9"/>
      <c r="D60" s="9" t="s">
        <v>202</v>
      </c>
      <c r="E60" s="195">
        <f>E57</f>
        <v>1.2500000000000001E-2</v>
      </c>
      <c r="F60" s="195">
        <f>F57</f>
        <v>8.3333333333333332E-3</v>
      </c>
      <c r="G60" s="195">
        <f>G57</f>
        <v>0</v>
      </c>
      <c r="H60" s="195"/>
      <c r="I60" s="196">
        <f t="shared" ref="I60:W60" si="91">I57</f>
        <v>0.06</v>
      </c>
      <c r="J60" s="196">
        <f t="shared" si="91"/>
        <v>7.0000000000000007E-2</v>
      </c>
      <c r="K60" s="196">
        <f t="shared" si="91"/>
        <v>0.08</v>
      </c>
      <c r="L60" s="196">
        <f t="shared" si="91"/>
        <v>0.5</v>
      </c>
      <c r="M60" s="196">
        <f t="shared" si="91"/>
        <v>0.56999999999999995</v>
      </c>
      <c r="N60" s="196">
        <f t="shared" si="91"/>
        <v>0.63</v>
      </c>
      <c r="O60" s="254">
        <f t="shared" si="91"/>
        <v>33120</v>
      </c>
      <c r="P60" s="254">
        <f t="shared" si="91"/>
        <v>38640.000000000007</v>
      </c>
      <c r="Q60" s="254">
        <f t="shared" si="91"/>
        <v>44160</v>
      </c>
      <c r="R60" s="394">
        <f t="shared" si="91"/>
        <v>79487.999999999985</v>
      </c>
      <c r="S60" s="256">
        <f t="shared" si="91"/>
        <v>92736</v>
      </c>
      <c r="T60" s="395">
        <f t="shared" si="91"/>
        <v>105983.99999999999</v>
      </c>
      <c r="U60" s="195">
        <f t="shared" si="91"/>
        <v>1.2500000000000001E-2</v>
      </c>
      <c r="V60" s="195">
        <f t="shared" si="91"/>
        <v>8.3333333333333332E-3</v>
      </c>
      <c r="W60" s="195">
        <f t="shared" si="91"/>
        <v>0</v>
      </c>
      <c r="X60" s="195"/>
      <c r="Y60" s="196">
        <f t="shared" ref="Y60:AJ60" si="92">Y57</f>
        <v>1.33</v>
      </c>
      <c r="Z60" s="196">
        <f t="shared" si="92"/>
        <v>1.5029903774694477</v>
      </c>
      <c r="AA60" s="196">
        <f t="shared" si="92"/>
        <v>1.67</v>
      </c>
      <c r="AB60" s="196">
        <f t="shared" si="92"/>
        <v>0.28000000000000003</v>
      </c>
      <c r="AC60" s="196">
        <f t="shared" si="92"/>
        <v>0.31632762130063785</v>
      </c>
      <c r="AD60" s="196">
        <f t="shared" si="92"/>
        <v>0.35000000000000009</v>
      </c>
      <c r="AE60" s="254">
        <f t="shared" si="92"/>
        <v>174230</v>
      </c>
      <c r="AF60" s="254">
        <f t="shared" si="92"/>
        <v>196891.73944849765</v>
      </c>
      <c r="AG60" s="254">
        <f t="shared" si="92"/>
        <v>218770</v>
      </c>
      <c r="AH60" s="394">
        <f t="shared" si="92"/>
        <v>418151.99999999994</v>
      </c>
      <c r="AI60" s="256">
        <f t="shared" si="92"/>
        <v>472540.17467639426</v>
      </c>
      <c r="AJ60" s="395">
        <f t="shared" si="92"/>
        <v>525047.99999999988</v>
      </c>
    </row>
    <row r="61" spans="1:39" x14ac:dyDescent="0.25">
      <c r="A61" s="9"/>
      <c r="B61" s="9"/>
      <c r="C61" s="9"/>
      <c r="D61" s="9" t="s">
        <v>203</v>
      </c>
      <c r="E61" s="195">
        <f>E59</f>
        <v>1.2500000000000001E-2</v>
      </c>
      <c r="F61" s="195">
        <f>F59</f>
        <v>8.3333333333333332E-3</v>
      </c>
      <c r="G61" s="195">
        <f>G59</f>
        <v>0</v>
      </c>
      <c r="H61" s="195"/>
      <c r="I61" s="195">
        <f t="shared" ref="I61:W61" si="93">I59</f>
        <v>0</v>
      </c>
      <c r="J61" s="195">
        <f t="shared" si="93"/>
        <v>1E-3</v>
      </c>
      <c r="K61" s="195">
        <f t="shared" si="93"/>
        <v>1E-3</v>
      </c>
      <c r="L61" s="195">
        <f t="shared" si="93"/>
        <v>1E-3</v>
      </c>
      <c r="M61" s="195">
        <f t="shared" si="93"/>
        <v>8.0000000000000002E-3</v>
      </c>
      <c r="N61" s="195">
        <f t="shared" si="93"/>
        <v>1E-3</v>
      </c>
      <c r="O61" s="254">
        <f t="shared" si="93"/>
        <v>0</v>
      </c>
      <c r="P61" s="254">
        <f t="shared" si="93"/>
        <v>163688</v>
      </c>
      <c r="Q61" s="254">
        <f t="shared" si="93"/>
        <v>163688</v>
      </c>
      <c r="R61" s="394">
        <f t="shared" si="93"/>
        <v>0</v>
      </c>
      <c r="S61" s="256">
        <f t="shared" si="93"/>
        <v>392851.19999999995</v>
      </c>
      <c r="T61" s="395">
        <f t="shared" si="93"/>
        <v>392851.19999999995</v>
      </c>
      <c r="U61" s="195">
        <f t="shared" si="93"/>
        <v>1.2500000000000001E-2</v>
      </c>
      <c r="V61" s="195">
        <f t="shared" si="93"/>
        <v>8.3333333333333332E-3</v>
      </c>
      <c r="W61" s="195">
        <f t="shared" si="93"/>
        <v>0</v>
      </c>
      <c r="X61" s="195"/>
      <c r="Y61" s="195">
        <f t="shared" ref="Y61:AJ61" si="94">Y59</f>
        <v>8.0000000000000002E-3</v>
      </c>
      <c r="Z61" s="195">
        <f t="shared" si="94"/>
        <v>9.1158062540521636E-3</v>
      </c>
      <c r="AA61" s="195">
        <f t="shared" si="94"/>
        <v>0.01</v>
      </c>
      <c r="AB61" s="195">
        <f t="shared" si="94"/>
        <v>2E-3</v>
      </c>
      <c r="AC61" s="195">
        <f t="shared" si="94"/>
        <v>2.0400790621022298E-3</v>
      </c>
      <c r="AD61" s="195">
        <f t="shared" si="94"/>
        <v>2.9999999999999992E-3</v>
      </c>
      <c r="AE61" s="254">
        <f t="shared" si="94"/>
        <v>409600</v>
      </c>
      <c r="AF61" s="254">
        <f t="shared" si="94"/>
        <v>466729.28020747076</v>
      </c>
      <c r="AG61" s="254">
        <f t="shared" si="94"/>
        <v>512000</v>
      </c>
      <c r="AH61" s="394">
        <f t="shared" si="94"/>
        <v>983039.99999999988</v>
      </c>
      <c r="AI61" s="256">
        <f t="shared" si="94"/>
        <v>1120150.2724979296</v>
      </c>
      <c r="AJ61" s="395">
        <f t="shared" si="94"/>
        <v>1228799.9999999998</v>
      </c>
    </row>
    <row r="62" spans="1:39" x14ac:dyDescent="0.25">
      <c r="A62" s="9"/>
      <c r="B62" s="9"/>
      <c r="C62" s="9"/>
      <c r="D62" s="9" t="s">
        <v>256</v>
      </c>
      <c r="E62" s="177"/>
      <c r="F62" s="177"/>
      <c r="G62" s="177"/>
      <c r="H62" s="177"/>
      <c r="I62" s="197"/>
      <c r="J62" s="182"/>
      <c r="K62" s="198"/>
      <c r="L62" s="199"/>
      <c r="M62" s="200"/>
      <c r="N62" s="200"/>
      <c r="O62" s="254">
        <f t="shared" ref="O62:T62" si="95">SUM(O60:O61)</f>
        <v>33120</v>
      </c>
      <c r="P62" s="254">
        <f t="shared" si="95"/>
        <v>202328</v>
      </c>
      <c r="Q62" s="254">
        <f t="shared" si="95"/>
        <v>207848</v>
      </c>
      <c r="R62" s="396">
        <f t="shared" si="95"/>
        <v>79487.999999999985</v>
      </c>
      <c r="S62" s="397">
        <f t="shared" si="95"/>
        <v>485587.19999999995</v>
      </c>
      <c r="T62" s="398">
        <f t="shared" si="95"/>
        <v>498835.19999999995</v>
      </c>
      <c r="U62" s="177"/>
      <c r="V62" s="177"/>
      <c r="W62" s="177"/>
      <c r="X62" s="177"/>
      <c r="Y62" s="197"/>
      <c r="Z62" s="182"/>
      <c r="AA62" s="201"/>
      <c r="AB62" s="199"/>
      <c r="AC62" s="197"/>
      <c r="AD62" s="182"/>
      <c r="AE62" s="254">
        <f t="shared" ref="AE62:AJ62" si="96">SUM(AE60:AE61)</f>
        <v>583830</v>
      </c>
      <c r="AF62" s="254">
        <f t="shared" si="96"/>
        <v>663621.01965596841</v>
      </c>
      <c r="AG62" s="254">
        <f t="shared" si="96"/>
        <v>730770</v>
      </c>
      <c r="AH62" s="396">
        <f t="shared" si="96"/>
        <v>1401191.9999999998</v>
      </c>
      <c r="AI62" s="397">
        <f t="shared" si="96"/>
        <v>1592690.447174324</v>
      </c>
      <c r="AJ62" s="398">
        <f t="shared" si="96"/>
        <v>1753847.9999999995</v>
      </c>
    </row>
    <row r="63" spans="1:39" x14ac:dyDescent="0.25">
      <c r="A63" s="9" t="s">
        <v>85</v>
      </c>
      <c r="B63" s="64" t="s">
        <v>96</v>
      </c>
      <c r="C63" s="9" t="s">
        <v>26</v>
      </c>
      <c r="D63" s="9" t="s">
        <v>200</v>
      </c>
      <c r="E63" s="134">
        <f>1/10</f>
        <v>0.1</v>
      </c>
      <c r="F63" s="134">
        <f>1/15</f>
        <v>6.6666666666666666E-2</v>
      </c>
      <c r="G63" s="134">
        <f>1/20</f>
        <v>0.05</v>
      </c>
      <c r="H63" s="134" t="s">
        <v>260</v>
      </c>
      <c r="I63" s="136">
        <v>1.71</v>
      </c>
      <c r="J63" s="136">
        <v>1.91</v>
      </c>
      <c r="K63" s="136">
        <v>2.11</v>
      </c>
      <c r="L63" s="136">
        <v>1.94</v>
      </c>
      <c r="M63" s="136">
        <v>2.16</v>
      </c>
      <c r="N63" s="136">
        <v>2.38</v>
      </c>
      <c r="O63" s="252">
        <f t="shared" ref="O63:Q64" si="97">HHProps_SSW*IF($H63="S1",I63,(I63+L63))</f>
        <v>943920</v>
      </c>
      <c r="P63" s="252">
        <f t="shared" si="97"/>
        <v>1054320</v>
      </c>
      <c r="Q63" s="252">
        <f t="shared" si="97"/>
        <v>1164720</v>
      </c>
      <c r="R63" s="392">
        <f t="shared" ref="R63:T66" si="98">O63/(IF($H63="S1",($E63-$F63),($E63-$G63))*AllProps_SSW)</f>
        <v>48.077419354838703</v>
      </c>
      <c r="S63" s="252">
        <f t="shared" si="98"/>
        <v>53.700509337860773</v>
      </c>
      <c r="T63" s="393">
        <f t="shared" si="98"/>
        <v>59.323599320882842</v>
      </c>
      <c r="U63" s="134">
        <f>1/11</f>
        <v>9.0909090909090912E-2</v>
      </c>
      <c r="V63" s="134">
        <f>1/15</f>
        <v>6.6666666666666666E-2</v>
      </c>
      <c r="W63" s="134">
        <f>1/20</f>
        <v>0.05</v>
      </c>
      <c r="X63" s="134" t="str">
        <f>H63</f>
        <v>S1</v>
      </c>
      <c r="Y63" s="136">
        <v>0.55000000000000004</v>
      </c>
      <c r="Z63" s="136">
        <v>0.62</v>
      </c>
      <c r="AA63" s="136">
        <v>0.69</v>
      </c>
      <c r="AB63" s="136">
        <v>0.32</v>
      </c>
      <c r="AC63" s="136">
        <v>0.36</v>
      </c>
      <c r="AD63" s="136">
        <v>0.4</v>
      </c>
      <c r="AE63" s="252">
        <f t="shared" ref="AE63:AG64" si="99">HHProps_CAM*IF($H63="S1",Y63,(Y63+AB63))</f>
        <v>72050</v>
      </c>
      <c r="AF63" s="252">
        <f t="shared" si="99"/>
        <v>81220</v>
      </c>
      <c r="AG63" s="252">
        <f t="shared" si="99"/>
        <v>90390</v>
      </c>
      <c r="AH63" s="392">
        <f t="shared" ref="AH63:AJ66" si="100">AE63/(IF($H63="S1",($U63-$V63),($U63-$W63))*AllProps_CAM)</f>
        <v>21.07845744680851</v>
      </c>
      <c r="AI63" s="252">
        <f t="shared" si="100"/>
        <v>23.761170212765954</v>
      </c>
      <c r="AJ63" s="393">
        <f t="shared" si="100"/>
        <v>26.443882978723401</v>
      </c>
      <c r="AK63" s="146"/>
      <c r="AL63" s="146"/>
      <c r="AM63" s="146"/>
    </row>
    <row r="64" spans="1:39" x14ac:dyDescent="0.25">
      <c r="A64" s="9"/>
      <c r="B64" s="64"/>
      <c r="C64" s="9" t="s">
        <v>407</v>
      </c>
      <c r="D64" s="9" t="s">
        <v>188</v>
      </c>
      <c r="E64" s="134">
        <f>56100/552000</f>
        <v>0.10163043478260869</v>
      </c>
      <c r="F64" s="134">
        <f>28100/552000</f>
        <v>5.0905797101449275E-2</v>
      </c>
      <c r="G64" s="134">
        <f>14000/552000</f>
        <v>2.5362318840579712E-2</v>
      </c>
      <c r="H64" s="134" t="s">
        <v>260</v>
      </c>
      <c r="I64" s="136">
        <v>1.95</v>
      </c>
      <c r="J64" s="136">
        <v>2.2000000000000002</v>
      </c>
      <c r="K64" s="136">
        <v>2.4500000000000002</v>
      </c>
      <c r="L64" s="136">
        <v>2.0499999999999998</v>
      </c>
      <c r="M64" s="136">
        <v>2.31</v>
      </c>
      <c r="N64" s="136">
        <v>2.58</v>
      </c>
      <c r="O64" s="252">
        <f t="shared" si="97"/>
        <v>1076400</v>
      </c>
      <c r="P64" s="252">
        <f t="shared" si="97"/>
        <v>1214400</v>
      </c>
      <c r="Q64" s="252">
        <f t="shared" si="97"/>
        <v>1352400</v>
      </c>
      <c r="R64" s="392">
        <f t="shared" si="98"/>
        <v>36.027940819791418</v>
      </c>
      <c r="S64" s="252">
        <f t="shared" si="98"/>
        <v>40.646907591559547</v>
      </c>
      <c r="T64" s="393">
        <f t="shared" si="98"/>
        <v>45.265874363327676</v>
      </c>
      <c r="U64" s="134">
        <f>12200/131000</f>
        <v>9.3129770992366412E-2</v>
      </c>
      <c r="V64" s="134">
        <f>6100/131000</f>
        <v>4.6564885496183206E-2</v>
      </c>
      <c r="W64" s="134">
        <f>3000/131000</f>
        <v>2.2900763358778626E-2</v>
      </c>
      <c r="X64" s="134" t="str">
        <f>H64</f>
        <v>S1</v>
      </c>
      <c r="Y64" s="136">
        <v>0.81</v>
      </c>
      <c r="Z64" s="136">
        <v>0.92</v>
      </c>
      <c r="AA64" s="136">
        <v>1.03</v>
      </c>
      <c r="AB64" s="136">
        <v>0.35</v>
      </c>
      <c r="AC64" s="136">
        <v>0.39</v>
      </c>
      <c r="AD64" s="136">
        <v>0.44</v>
      </c>
      <c r="AE64" s="252">
        <f t="shared" si="99"/>
        <v>106110</v>
      </c>
      <c r="AF64" s="252">
        <f t="shared" si="99"/>
        <v>120520</v>
      </c>
      <c r="AG64" s="252">
        <f t="shared" si="99"/>
        <v>134930</v>
      </c>
      <c r="AH64" s="392">
        <f t="shared" si="100"/>
        <v>16.161388210673177</v>
      </c>
      <c r="AI64" s="252">
        <f t="shared" si="100"/>
        <v>18.356144634344844</v>
      </c>
      <c r="AJ64" s="393">
        <f t="shared" si="100"/>
        <v>20.55090105801651</v>
      </c>
      <c r="AK64" s="146"/>
      <c r="AL64" s="146"/>
      <c r="AM64" s="146"/>
    </row>
    <row r="65" spans="1:39" x14ac:dyDescent="0.25">
      <c r="A65" s="9"/>
      <c r="B65" s="64"/>
      <c r="C65" s="9"/>
      <c r="D65" s="9" t="s">
        <v>201</v>
      </c>
      <c r="E65" s="134">
        <f>1/10</f>
        <v>0.1</v>
      </c>
      <c r="F65" s="134">
        <f>1/15</f>
        <v>6.6666666666666666E-2</v>
      </c>
      <c r="G65" s="134">
        <f>1/20</f>
        <v>0.05</v>
      </c>
      <c r="H65" s="134" t="s">
        <v>260</v>
      </c>
      <c r="I65" s="137">
        <v>1.4999999999999999E-2</v>
      </c>
      <c r="J65" s="137">
        <v>1.6E-2</v>
      </c>
      <c r="K65" s="137">
        <v>1.7999999999999999E-2</v>
      </c>
      <c r="L65" s="137">
        <v>1.2E-2</v>
      </c>
      <c r="M65" s="137">
        <v>1.4E-2</v>
      </c>
      <c r="N65" s="137">
        <v>1.4999999999999999E-2</v>
      </c>
      <c r="O65" s="252">
        <f t="shared" ref="O65:Q66" si="101">NHHProps_SSW*AvgNHHBill_SSW*IF($H65="S1",I65,(I65+L65))</f>
        <v>2455320</v>
      </c>
      <c r="P65" s="252">
        <f t="shared" si="101"/>
        <v>2619008</v>
      </c>
      <c r="Q65" s="252">
        <f t="shared" si="101"/>
        <v>2946384</v>
      </c>
      <c r="R65" s="392">
        <f t="shared" si="98"/>
        <v>125.05874363327672</v>
      </c>
      <c r="S65" s="252">
        <f t="shared" si="98"/>
        <v>133.39599320882851</v>
      </c>
      <c r="T65" s="393">
        <f t="shared" si="98"/>
        <v>150.07049235993208</v>
      </c>
      <c r="U65" s="134">
        <f>1/11</f>
        <v>9.0909090909090912E-2</v>
      </c>
      <c r="V65" s="134">
        <f>1/15</f>
        <v>6.6666666666666666E-2</v>
      </c>
      <c r="W65" s="134">
        <f>1/20</f>
        <v>0.05</v>
      </c>
      <c r="X65" s="134" t="str">
        <f>H65</f>
        <v>S1</v>
      </c>
      <c r="Y65" s="137">
        <v>4.0000000000000001E-3</v>
      </c>
      <c r="Z65" s="142">
        <v>4.0000000000000001E-3</v>
      </c>
      <c r="AA65" s="142">
        <v>5.0000000000000001E-3</v>
      </c>
      <c r="AB65" s="137">
        <v>3.0000000000000001E-3</v>
      </c>
      <c r="AC65" s="142">
        <v>4.0000000000000001E-3</v>
      </c>
      <c r="AD65" s="142">
        <v>4.0000000000000001E-3</v>
      </c>
      <c r="AE65" s="252">
        <f t="shared" ref="AE65:AG66" si="102">NHHProps_CAM*AvgNHHBill_CAM*IF($H65="S1",Y65,(Y65+AB65))</f>
        <v>204800</v>
      </c>
      <c r="AF65" s="252">
        <f t="shared" si="102"/>
        <v>204800</v>
      </c>
      <c r="AG65" s="252">
        <f t="shared" si="102"/>
        <v>256000</v>
      </c>
      <c r="AH65" s="392">
        <f t="shared" si="100"/>
        <v>59.914893617021271</v>
      </c>
      <c r="AI65" s="252">
        <f t="shared" si="100"/>
        <v>59.914893617021271</v>
      </c>
      <c r="AJ65" s="393">
        <f t="shared" si="100"/>
        <v>74.893617021276583</v>
      </c>
      <c r="AK65" s="146"/>
      <c r="AL65" s="146"/>
      <c r="AM65" s="146"/>
    </row>
    <row r="66" spans="1:39" x14ac:dyDescent="0.25">
      <c r="A66" s="9"/>
      <c r="B66" s="64"/>
      <c r="C66" s="9"/>
      <c r="D66" s="9" t="s">
        <v>189</v>
      </c>
      <c r="E66" s="134">
        <f>3760/37000</f>
        <v>0.10162162162162162</v>
      </c>
      <c r="F66" s="134">
        <f>1880/37000</f>
        <v>5.0810810810810812E-2</v>
      </c>
      <c r="G66" s="134">
        <f>940/37000</f>
        <v>2.5405405405405406E-2</v>
      </c>
      <c r="H66" s="134" t="s">
        <v>260</v>
      </c>
      <c r="I66" s="137">
        <v>6.0000000000000001E-3</v>
      </c>
      <c r="J66" s="137">
        <v>7.0000000000000001E-3</v>
      </c>
      <c r="K66" s="137">
        <v>8.0000000000000002E-3</v>
      </c>
      <c r="L66" s="137">
        <v>8.9999999999999993E-3</v>
      </c>
      <c r="M66" s="137">
        <v>8.9999999999999993E-3</v>
      </c>
      <c r="N66" s="137">
        <v>1.0999999999999999E-2</v>
      </c>
      <c r="O66" s="252">
        <f t="shared" si="101"/>
        <v>982128</v>
      </c>
      <c r="P66" s="252">
        <f t="shared" si="101"/>
        <v>1145816</v>
      </c>
      <c r="Q66" s="252">
        <f t="shared" si="101"/>
        <v>1309504</v>
      </c>
      <c r="R66" s="392">
        <f t="shared" si="98"/>
        <v>32.816833435682547</v>
      </c>
      <c r="S66" s="252">
        <f t="shared" si="98"/>
        <v>38.286305674962968</v>
      </c>
      <c r="T66" s="393">
        <f t="shared" si="98"/>
        <v>43.755777914243396</v>
      </c>
      <c r="U66" s="134">
        <f>930/10000</f>
        <v>9.2999999999999999E-2</v>
      </c>
      <c r="V66" s="134">
        <f>460/10000</f>
        <v>4.5999999999999999E-2</v>
      </c>
      <c r="W66" s="134">
        <f>230/10000</f>
        <v>2.3E-2</v>
      </c>
      <c r="X66" s="134" t="str">
        <f>H66</f>
        <v>S1</v>
      </c>
      <c r="Y66" s="137">
        <v>3.0000000000000001E-3</v>
      </c>
      <c r="Z66" s="137">
        <v>3.0000000000000001E-3</v>
      </c>
      <c r="AA66" s="137">
        <v>3.0000000000000001E-3</v>
      </c>
      <c r="AB66" s="137">
        <v>2E-3</v>
      </c>
      <c r="AC66" s="137">
        <v>2E-3</v>
      </c>
      <c r="AD66" s="137">
        <v>3.0000000000000001E-3</v>
      </c>
      <c r="AE66" s="252">
        <f t="shared" si="102"/>
        <v>153600</v>
      </c>
      <c r="AF66" s="252">
        <f t="shared" si="102"/>
        <v>153600</v>
      </c>
      <c r="AG66" s="252">
        <f t="shared" si="102"/>
        <v>153600</v>
      </c>
      <c r="AH66" s="392">
        <f t="shared" si="100"/>
        <v>23.177908555907649</v>
      </c>
      <c r="AI66" s="252">
        <f t="shared" si="100"/>
        <v>23.177908555907649</v>
      </c>
      <c r="AJ66" s="393">
        <f t="shared" si="100"/>
        <v>23.177908555907649</v>
      </c>
      <c r="AK66" s="146"/>
      <c r="AL66" s="146"/>
      <c r="AM66" s="146"/>
    </row>
    <row r="67" spans="1:39" x14ac:dyDescent="0.25">
      <c r="A67" s="9"/>
      <c r="B67" s="64"/>
      <c r="C67" s="9"/>
      <c r="D67" s="9" t="s">
        <v>202</v>
      </c>
      <c r="E67" s="195">
        <f>E64</f>
        <v>0.10163043478260869</v>
      </c>
      <c r="F67" s="195">
        <f>F64</f>
        <v>5.0905797101449275E-2</v>
      </c>
      <c r="G67" s="195">
        <f>G64</f>
        <v>2.5362318840579712E-2</v>
      </c>
      <c r="H67" s="195"/>
      <c r="I67" s="196">
        <f t="shared" ref="I67:W67" si="103">I64</f>
        <v>1.95</v>
      </c>
      <c r="J67" s="196">
        <f t="shared" si="103"/>
        <v>2.2000000000000002</v>
      </c>
      <c r="K67" s="196">
        <f t="shared" si="103"/>
        <v>2.4500000000000002</v>
      </c>
      <c r="L67" s="196">
        <f t="shared" si="103"/>
        <v>2.0499999999999998</v>
      </c>
      <c r="M67" s="196">
        <f t="shared" si="103"/>
        <v>2.31</v>
      </c>
      <c r="N67" s="196">
        <f t="shared" si="103"/>
        <v>2.58</v>
      </c>
      <c r="O67" s="254">
        <f t="shared" si="103"/>
        <v>1076400</v>
      </c>
      <c r="P67" s="254">
        <f t="shared" si="103"/>
        <v>1214400</v>
      </c>
      <c r="Q67" s="254">
        <f t="shared" si="103"/>
        <v>1352400</v>
      </c>
      <c r="R67" s="394">
        <f t="shared" si="103"/>
        <v>36.027940819791418</v>
      </c>
      <c r="S67" s="256">
        <f t="shared" si="103"/>
        <v>40.646907591559547</v>
      </c>
      <c r="T67" s="395">
        <f t="shared" si="103"/>
        <v>45.265874363327676</v>
      </c>
      <c r="U67" s="195">
        <f t="shared" si="103"/>
        <v>9.3129770992366412E-2</v>
      </c>
      <c r="V67" s="195">
        <f t="shared" si="103"/>
        <v>4.6564885496183206E-2</v>
      </c>
      <c r="W67" s="195">
        <f t="shared" si="103"/>
        <v>2.2900763358778626E-2</v>
      </c>
      <c r="X67" s="195"/>
      <c r="Y67" s="196">
        <f t="shared" ref="Y67:AJ67" si="104">Y64</f>
        <v>0.81</v>
      </c>
      <c r="Z67" s="196">
        <f t="shared" si="104"/>
        <v>0.92</v>
      </c>
      <c r="AA67" s="196">
        <f t="shared" si="104"/>
        <v>1.03</v>
      </c>
      <c r="AB67" s="196">
        <f t="shared" si="104"/>
        <v>0.35</v>
      </c>
      <c r="AC67" s="196">
        <f t="shared" si="104"/>
        <v>0.39</v>
      </c>
      <c r="AD67" s="196">
        <f t="shared" si="104"/>
        <v>0.44</v>
      </c>
      <c r="AE67" s="254">
        <f t="shared" si="104"/>
        <v>106110</v>
      </c>
      <c r="AF67" s="254">
        <f t="shared" si="104"/>
        <v>120520</v>
      </c>
      <c r="AG67" s="254">
        <f t="shared" si="104"/>
        <v>134930</v>
      </c>
      <c r="AH67" s="394">
        <f t="shared" si="104"/>
        <v>16.161388210673177</v>
      </c>
      <c r="AI67" s="256">
        <f t="shared" si="104"/>
        <v>18.356144634344844</v>
      </c>
      <c r="AJ67" s="395">
        <f t="shared" si="104"/>
        <v>20.55090105801651</v>
      </c>
      <c r="AK67" s="146"/>
      <c r="AL67" s="146"/>
      <c r="AM67" s="146"/>
    </row>
    <row r="68" spans="1:39" x14ac:dyDescent="0.25">
      <c r="A68" s="9"/>
      <c r="B68" s="64"/>
      <c r="C68" s="9"/>
      <c r="D68" s="9" t="s">
        <v>203</v>
      </c>
      <c r="E68" s="195">
        <f>E66</f>
        <v>0.10162162162162162</v>
      </c>
      <c r="F68" s="195">
        <f>F66</f>
        <v>5.0810810810810812E-2</v>
      </c>
      <c r="G68" s="195">
        <f>G66</f>
        <v>2.5405405405405406E-2</v>
      </c>
      <c r="H68" s="195"/>
      <c r="I68" s="195">
        <f t="shared" ref="I68:W68" si="105">I66</f>
        <v>6.0000000000000001E-3</v>
      </c>
      <c r="J68" s="195">
        <f t="shared" si="105"/>
        <v>7.0000000000000001E-3</v>
      </c>
      <c r="K68" s="195">
        <f t="shared" si="105"/>
        <v>8.0000000000000002E-3</v>
      </c>
      <c r="L68" s="195">
        <f t="shared" si="105"/>
        <v>8.9999999999999993E-3</v>
      </c>
      <c r="M68" s="195">
        <f t="shared" si="105"/>
        <v>8.9999999999999993E-3</v>
      </c>
      <c r="N68" s="195">
        <f t="shared" si="105"/>
        <v>1.0999999999999999E-2</v>
      </c>
      <c r="O68" s="254">
        <f t="shared" si="105"/>
        <v>982128</v>
      </c>
      <c r="P68" s="254">
        <f t="shared" si="105"/>
        <v>1145816</v>
      </c>
      <c r="Q68" s="254">
        <f t="shared" si="105"/>
        <v>1309504</v>
      </c>
      <c r="R68" s="394">
        <f t="shared" si="105"/>
        <v>32.816833435682547</v>
      </c>
      <c r="S68" s="256">
        <f t="shared" si="105"/>
        <v>38.286305674962968</v>
      </c>
      <c r="T68" s="395">
        <f t="shared" si="105"/>
        <v>43.755777914243396</v>
      </c>
      <c r="U68" s="195">
        <f t="shared" si="105"/>
        <v>9.2999999999999999E-2</v>
      </c>
      <c r="V68" s="195">
        <f t="shared" si="105"/>
        <v>4.5999999999999999E-2</v>
      </c>
      <c r="W68" s="195">
        <f t="shared" si="105"/>
        <v>2.3E-2</v>
      </c>
      <c r="X68" s="195"/>
      <c r="Y68" s="195">
        <f t="shared" ref="Y68:AJ68" si="106">Y66</f>
        <v>3.0000000000000001E-3</v>
      </c>
      <c r="Z68" s="195">
        <f t="shared" si="106"/>
        <v>3.0000000000000001E-3</v>
      </c>
      <c r="AA68" s="195">
        <f t="shared" si="106"/>
        <v>3.0000000000000001E-3</v>
      </c>
      <c r="AB68" s="195">
        <f t="shared" si="106"/>
        <v>2E-3</v>
      </c>
      <c r="AC68" s="195">
        <f t="shared" si="106"/>
        <v>2E-3</v>
      </c>
      <c r="AD68" s="195">
        <f t="shared" si="106"/>
        <v>3.0000000000000001E-3</v>
      </c>
      <c r="AE68" s="254">
        <f t="shared" si="106"/>
        <v>153600</v>
      </c>
      <c r="AF68" s="254">
        <f t="shared" si="106"/>
        <v>153600</v>
      </c>
      <c r="AG68" s="254">
        <f t="shared" si="106"/>
        <v>153600</v>
      </c>
      <c r="AH68" s="394">
        <f t="shared" si="106"/>
        <v>23.177908555907649</v>
      </c>
      <c r="AI68" s="256">
        <f t="shared" si="106"/>
        <v>23.177908555907649</v>
      </c>
      <c r="AJ68" s="395">
        <f t="shared" si="106"/>
        <v>23.177908555907649</v>
      </c>
      <c r="AK68" s="146"/>
      <c r="AL68" s="146"/>
      <c r="AM68" s="146"/>
    </row>
    <row r="69" spans="1:39" x14ac:dyDescent="0.25">
      <c r="A69" s="9"/>
      <c r="B69" s="64"/>
      <c r="C69" s="9"/>
      <c r="D69" s="9" t="s">
        <v>256</v>
      </c>
      <c r="E69" s="177"/>
      <c r="F69" s="177"/>
      <c r="G69" s="177"/>
      <c r="H69" s="177"/>
      <c r="I69" s="197"/>
      <c r="J69" s="182"/>
      <c r="K69" s="198"/>
      <c r="L69" s="199"/>
      <c r="M69" s="200"/>
      <c r="N69" s="200"/>
      <c r="O69" s="254">
        <f t="shared" ref="O69:T69" si="107">SUM(O67:O68)</f>
        <v>2058528</v>
      </c>
      <c r="P69" s="254">
        <f t="shared" si="107"/>
        <v>2360216</v>
      </c>
      <c r="Q69" s="254">
        <f t="shared" si="107"/>
        <v>2661904</v>
      </c>
      <c r="R69" s="396">
        <f t="shared" si="107"/>
        <v>68.844774255473965</v>
      </c>
      <c r="S69" s="397">
        <f t="shared" si="107"/>
        <v>78.933213266522515</v>
      </c>
      <c r="T69" s="398">
        <f t="shared" si="107"/>
        <v>89.021652277571064</v>
      </c>
      <c r="U69" s="177"/>
      <c r="V69" s="177"/>
      <c r="W69" s="177"/>
      <c r="X69" s="177"/>
      <c r="Y69" s="197"/>
      <c r="Z69" s="182"/>
      <c r="AA69" s="201"/>
      <c r="AB69" s="199"/>
      <c r="AC69" s="197"/>
      <c r="AD69" s="182"/>
      <c r="AE69" s="254">
        <f t="shared" ref="AE69:AJ69" si="108">SUM(AE67:AE68)</f>
        <v>259710</v>
      </c>
      <c r="AF69" s="254">
        <f t="shared" si="108"/>
        <v>274120</v>
      </c>
      <c r="AG69" s="254">
        <f t="shared" si="108"/>
        <v>288530</v>
      </c>
      <c r="AH69" s="396">
        <f t="shared" si="108"/>
        <v>39.33929676658083</v>
      </c>
      <c r="AI69" s="397">
        <f t="shared" si="108"/>
        <v>41.534053190252493</v>
      </c>
      <c r="AJ69" s="398">
        <f t="shared" si="108"/>
        <v>43.728809613924156</v>
      </c>
      <c r="AK69" s="146"/>
      <c r="AL69" s="146"/>
      <c r="AM69" s="146"/>
    </row>
    <row r="70" spans="1:39" x14ac:dyDescent="0.25">
      <c r="A70" s="9" t="s">
        <v>84</v>
      </c>
      <c r="B70" s="9" t="s">
        <v>95</v>
      </c>
      <c r="C70" s="9" t="s">
        <v>26</v>
      </c>
      <c r="D70" s="9" t="s">
        <v>200</v>
      </c>
      <c r="E70" s="134">
        <f>1/80</f>
        <v>1.2500000000000001E-2</v>
      </c>
      <c r="F70" s="134">
        <f>1/120</f>
        <v>8.3333333333333332E-3</v>
      </c>
      <c r="G70" s="134">
        <v>0</v>
      </c>
      <c r="H70" s="134" t="s">
        <v>260</v>
      </c>
      <c r="I70" s="136">
        <v>2.6</v>
      </c>
      <c r="J70" s="136">
        <v>2.9</v>
      </c>
      <c r="K70" s="136">
        <v>3.21</v>
      </c>
      <c r="L70" s="136">
        <v>0.8</v>
      </c>
      <c r="M70" s="136">
        <v>0.9</v>
      </c>
      <c r="N70" s="136">
        <v>0.98</v>
      </c>
      <c r="O70" s="252">
        <f t="shared" ref="O70:Q71" si="109">HHProps_SSW*IF($H70="S1",I70,(I70+L70))</f>
        <v>1435200</v>
      </c>
      <c r="P70" s="252">
        <f t="shared" si="109"/>
        <v>1600800</v>
      </c>
      <c r="Q70" s="252">
        <f t="shared" si="109"/>
        <v>1771920</v>
      </c>
      <c r="R70" s="392">
        <f t="shared" ref="R70:T73" si="110">O70/(IF($H70="S1",($E70-$F70),($E70-$G70))*AllProps_SSW)</f>
        <v>584.80135823429532</v>
      </c>
      <c r="S70" s="252">
        <f t="shared" si="110"/>
        <v>652.27843803056021</v>
      </c>
      <c r="T70" s="393">
        <f t="shared" si="110"/>
        <v>722.0047538200339</v>
      </c>
      <c r="U70" s="134">
        <f>1/80</f>
        <v>1.2500000000000001E-2</v>
      </c>
      <c r="V70" s="134">
        <f>1/120</f>
        <v>8.3333333333333332E-3</v>
      </c>
      <c r="W70" s="134">
        <v>0</v>
      </c>
      <c r="X70" s="134" t="str">
        <f>H70</f>
        <v>S1</v>
      </c>
      <c r="Y70" s="136">
        <v>3.29</v>
      </c>
      <c r="Z70" s="136">
        <v>3.71</v>
      </c>
      <c r="AA70" s="136">
        <v>4.1399999999999997</v>
      </c>
      <c r="AB70" s="136">
        <v>0.41</v>
      </c>
      <c r="AC70" s="136">
        <v>0.46</v>
      </c>
      <c r="AD70" s="136">
        <v>0.51</v>
      </c>
      <c r="AE70" s="252">
        <f t="shared" ref="AE70:AG71" si="111">HHProps_CAM*IF($H70="S1",Y70,(Y70+AB70))</f>
        <v>430990</v>
      </c>
      <c r="AF70" s="252">
        <f t="shared" si="111"/>
        <v>486010</v>
      </c>
      <c r="AG70" s="252">
        <f t="shared" si="111"/>
        <v>542340</v>
      </c>
      <c r="AH70" s="392">
        <f t="shared" ref="AH70:AJ73" si="112">AE70/(IF($H70="S1",($U70-$V70),($U70-$W70))*AllProps_CAM)</f>
        <v>733.59999999999991</v>
      </c>
      <c r="AI70" s="252">
        <f t="shared" si="112"/>
        <v>827.25106382978709</v>
      </c>
      <c r="AJ70" s="393">
        <f t="shared" si="112"/>
        <v>923.13191489361679</v>
      </c>
      <c r="AK70" s="145"/>
      <c r="AL70" s="145"/>
      <c r="AM70" s="145"/>
    </row>
    <row r="71" spans="1:39" x14ac:dyDescent="0.25">
      <c r="A71" s="9"/>
      <c r="B71" s="9"/>
      <c r="C71" s="9"/>
      <c r="D71" s="9" t="s">
        <v>188</v>
      </c>
      <c r="E71" s="134">
        <f>1/80</f>
        <v>1.2500000000000001E-2</v>
      </c>
      <c r="F71" s="134">
        <f>1/120</f>
        <v>8.3333333333333332E-3</v>
      </c>
      <c r="G71" s="134">
        <v>0</v>
      </c>
      <c r="H71" s="134" t="s">
        <v>260</v>
      </c>
      <c r="I71" s="136">
        <v>1.87</v>
      </c>
      <c r="J71" s="136">
        <v>2.11</v>
      </c>
      <c r="K71" s="136">
        <v>2.35</v>
      </c>
      <c r="L71" s="136">
        <v>0.72</v>
      </c>
      <c r="M71" s="136">
        <v>0.81</v>
      </c>
      <c r="N71" s="136">
        <v>0.9</v>
      </c>
      <c r="O71" s="252">
        <f t="shared" si="109"/>
        <v>1032240.0000000001</v>
      </c>
      <c r="P71" s="252">
        <f t="shared" si="109"/>
        <v>1164720</v>
      </c>
      <c r="Q71" s="252">
        <f t="shared" si="109"/>
        <v>1297200</v>
      </c>
      <c r="R71" s="392">
        <f t="shared" si="110"/>
        <v>420.60713073005093</v>
      </c>
      <c r="S71" s="252">
        <f t="shared" si="110"/>
        <v>474.58879456706273</v>
      </c>
      <c r="T71" s="393">
        <f t="shared" si="110"/>
        <v>528.57045840407466</v>
      </c>
      <c r="U71" s="134">
        <f>1/80</f>
        <v>1.2500000000000001E-2</v>
      </c>
      <c r="V71" s="134">
        <f>1/120</f>
        <v>8.3333333333333332E-3</v>
      </c>
      <c r="W71" s="134">
        <v>0</v>
      </c>
      <c r="X71" s="134" t="str">
        <f>H71</f>
        <v>S1</v>
      </c>
      <c r="Y71" s="136">
        <v>2.4300000000000002</v>
      </c>
      <c r="Z71" s="136">
        <v>2.75</v>
      </c>
      <c r="AA71" s="136">
        <v>3.06</v>
      </c>
      <c r="AB71" s="136">
        <v>0.34</v>
      </c>
      <c r="AC71" s="136">
        <v>0.38</v>
      </c>
      <c r="AD71" s="136">
        <v>0.42</v>
      </c>
      <c r="AE71" s="252">
        <f t="shared" si="111"/>
        <v>318330</v>
      </c>
      <c r="AF71" s="252">
        <f t="shared" si="111"/>
        <v>360250</v>
      </c>
      <c r="AG71" s="252">
        <f t="shared" si="111"/>
        <v>400860</v>
      </c>
      <c r="AH71" s="392">
        <f t="shared" si="112"/>
        <v>541.83829787234038</v>
      </c>
      <c r="AI71" s="252">
        <f t="shared" si="112"/>
        <v>613.191489361702</v>
      </c>
      <c r="AJ71" s="393">
        <f t="shared" si="112"/>
        <v>682.3148936170212</v>
      </c>
      <c r="AK71" s="145"/>
      <c r="AL71" s="145"/>
      <c r="AM71" s="145"/>
    </row>
    <row r="72" spans="1:39" x14ac:dyDescent="0.25">
      <c r="A72" s="9"/>
      <c r="B72" s="9"/>
      <c r="C72" s="9"/>
      <c r="D72" s="9" t="s">
        <v>201</v>
      </c>
      <c r="E72" s="134">
        <f>1/80</f>
        <v>1.2500000000000001E-2</v>
      </c>
      <c r="F72" s="134">
        <f>1/120</f>
        <v>8.3333333333333332E-3</v>
      </c>
      <c r="G72" s="134">
        <v>0</v>
      </c>
      <c r="H72" s="134" t="s">
        <v>260</v>
      </c>
      <c r="I72" s="137">
        <v>5.1999999999999998E-2</v>
      </c>
      <c r="J72" s="137">
        <v>5.8999999999999997E-2</v>
      </c>
      <c r="K72" s="137">
        <v>6.5000000000000002E-2</v>
      </c>
      <c r="L72" s="137">
        <v>3.0000000000000001E-3</v>
      </c>
      <c r="M72" s="137">
        <v>3.0000000000000001E-3</v>
      </c>
      <c r="N72" s="137">
        <v>4.0000000000000001E-3</v>
      </c>
      <c r="O72" s="252">
        <f t="shared" ref="O72:Q73" si="113">NHHProps_SSW*AvgNHHBill_SSW*IF($H72="S1",I72,(I72+L72))</f>
        <v>8511776</v>
      </c>
      <c r="P72" s="252">
        <f t="shared" si="113"/>
        <v>9657592</v>
      </c>
      <c r="Q72" s="252">
        <f t="shared" si="113"/>
        <v>10639720</v>
      </c>
      <c r="R72" s="392">
        <f t="shared" si="110"/>
        <v>3468.2958234295411</v>
      </c>
      <c r="S72" s="252">
        <f t="shared" si="110"/>
        <v>3935.1817996604409</v>
      </c>
      <c r="T72" s="393">
        <f t="shared" si="110"/>
        <v>4335.3697792869261</v>
      </c>
      <c r="U72" s="134">
        <f>1/80</f>
        <v>1.2500000000000001E-2</v>
      </c>
      <c r="V72" s="134">
        <f>1/120</f>
        <v>8.3333333333333332E-3</v>
      </c>
      <c r="W72" s="134">
        <v>0</v>
      </c>
      <c r="X72" s="134" t="str">
        <f>H72</f>
        <v>S1</v>
      </c>
      <c r="Y72" s="137">
        <v>1.4E-2</v>
      </c>
      <c r="Z72" s="142">
        <v>1.6E-2</v>
      </c>
      <c r="AA72" s="142">
        <v>1.7999999999999999E-2</v>
      </c>
      <c r="AB72" s="137">
        <v>2E-3</v>
      </c>
      <c r="AC72" s="142">
        <v>2E-3</v>
      </c>
      <c r="AD72" s="142">
        <v>2E-3</v>
      </c>
      <c r="AE72" s="252">
        <f t="shared" ref="AE72:AG73" si="114">NHHProps_CAM*AvgNHHBill_CAM*IF($H72="S1",Y72,(Y72+AB72))</f>
        <v>716800</v>
      </c>
      <c r="AF72" s="252">
        <f t="shared" si="114"/>
        <v>819200</v>
      </c>
      <c r="AG72" s="252">
        <f t="shared" si="114"/>
        <v>921599.99999999988</v>
      </c>
      <c r="AH72" s="392">
        <f t="shared" si="112"/>
        <v>1220.0851063829784</v>
      </c>
      <c r="AI72" s="252">
        <f t="shared" si="112"/>
        <v>1394.382978723404</v>
      </c>
      <c r="AJ72" s="393">
        <f t="shared" si="112"/>
        <v>1568.6808510638293</v>
      </c>
      <c r="AK72" s="145"/>
      <c r="AL72" s="145"/>
      <c r="AM72" s="145"/>
    </row>
    <row r="73" spans="1:39" x14ac:dyDescent="0.25">
      <c r="A73" s="9"/>
      <c r="B73" s="9"/>
      <c r="C73" s="9"/>
      <c r="D73" s="9" t="s">
        <v>189</v>
      </c>
      <c r="E73" s="134">
        <f>1/80</f>
        <v>1.2500000000000001E-2</v>
      </c>
      <c r="F73" s="134">
        <f>1/120</f>
        <v>8.3333333333333332E-3</v>
      </c>
      <c r="G73" s="134">
        <v>0</v>
      </c>
      <c r="H73" s="134" t="s">
        <v>260</v>
      </c>
      <c r="I73" s="137">
        <v>7.0000000000000001E-3</v>
      </c>
      <c r="J73" s="137">
        <v>8.0000000000000002E-3</v>
      </c>
      <c r="K73" s="137">
        <v>8.9999999999999993E-3</v>
      </c>
      <c r="L73" s="137">
        <v>6.0000000000000001E-3</v>
      </c>
      <c r="M73" s="137">
        <v>6.0000000000000001E-3</v>
      </c>
      <c r="N73" s="137">
        <v>7.0000000000000001E-3</v>
      </c>
      <c r="O73" s="252">
        <f t="shared" si="113"/>
        <v>1145816</v>
      </c>
      <c r="P73" s="252">
        <f t="shared" si="113"/>
        <v>1309504</v>
      </c>
      <c r="Q73" s="252">
        <f t="shared" si="113"/>
        <v>1473192</v>
      </c>
      <c r="R73" s="392">
        <f t="shared" si="110"/>
        <v>466.88597623089976</v>
      </c>
      <c r="S73" s="252">
        <f t="shared" si="110"/>
        <v>533.58397283531406</v>
      </c>
      <c r="T73" s="393">
        <f t="shared" si="110"/>
        <v>600.2819694397283</v>
      </c>
      <c r="U73" s="134">
        <f>1/80</f>
        <v>1.2500000000000001E-2</v>
      </c>
      <c r="V73" s="134">
        <f>1/120</f>
        <v>8.3333333333333332E-3</v>
      </c>
      <c r="W73" s="134">
        <v>0</v>
      </c>
      <c r="X73" s="134" t="str">
        <f>H73</f>
        <v>S1</v>
      </c>
      <c r="Y73" s="137">
        <v>2.5000000000000001E-2</v>
      </c>
      <c r="Z73" s="137">
        <v>0.03</v>
      </c>
      <c r="AA73" s="137">
        <v>3.5000000000000003E-2</v>
      </c>
      <c r="AB73" s="137">
        <v>3.0000000000000001E-3</v>
      </c>
      <c r="AC73" s="137">
        <v>3.0000000000000001E-3</v>
      </c>
      <c r="AD73" s="137">
        <v>3.0000000000000001E-3</v>
      </c>
      <c r="AE73" s="252">
        <f t="shared" si="114"/>
        <v>1280000</v>
      </c>
      <c r="AF73" s="252">
        <f t="shared" si="114"/>
        <v>1536000</v>
      </c>
      <c r="AG73" s="252">
        <f t="shared" si="114"/>
        <v>1792000.0000000002</v>
      </c>
      <c r="AH73" s="392">
        <f t="shared" si="112"/>
        <v>2178.7234042553187</v>
      </c>
      <c r="AI73" s="252">
        <f t="shared" si="112"/>
        <v>2614.4680851063827</v>
      </c>
      <c r="AJ73" s="393">
        <f t="shared" si="112"/>
        <v>3050.2127659574467</v>
      </c>
      <c r="AK73" s="145"/>
      <c r="AL73" s="145"/>
      <c r="AM73" s="145"/>
    </row>
    <row r="74" spans="1:39" x14ac:dyDescent="0.25">
      <c r="A74" s="9"/>
      <c r="B74" s="9"/>
      <c r="C74" s="9"/>
      <c r="D74" s="9" t="s">
        <v>202</v>
      </c>
      <c r="E74" s="195">
        <f>E71</f>
        <v>1.2500000000000001E-2</v>
      </c>
      <c r="F74" s="195">
        <f>F71</f>
        <v>8.3333333333333332E-3</v>
      </c>
      <c r="G74" s="195">
        <f>G71</f>
        <v>0</v>
      </c>
      <c r="H74" s="195"/>
      <c r="I74" s="196">
        <f t="shared" ref="I74:W74" si="115">I71</f>
        <v>1.87</v>
      </c>
      <c r="J74" s="196">
        <f t="shared" si="115"/>
        <v>2.11</v>
      </c>
      <c r="K74" s="196">
        <f t="shared" si="115"/>
        <v>2.35</v>
      </c>
      <c r="L74" s="196">
        <f t="shared" si="115"/>
        <v>0.72</v>
      </c>
      <c r="M74" s="196">
        <f t="shared" si="115"/>
        <v>0.81</v>
      </c>
      <c r="N74" s="196">
        <f t="shared" si="115"/>
        <v>0.9</v>
      </c>
      <c r="O74" s="254">
        <f t="shared" si="115"/>
        <v>1032240.0000000001</v>
      </c>
      <c r="P74" s="254">
        <f t="shared" si="115"/>
        <v>1164720</v>
      </c>
      <c r="Q74" s="254">
        <f t="shared" si="115"/>
        <v>1297200</v>
      </c>
      <c r="R74" s="394">
        <f t="shared" si="115"/>
        <v>420.60713073005093</v>
      </c>
      <c r="S74" s="256">
        <f t="shared" si="115"/>
        <v>474.58879456706273</v>
      </c>
      <c r="T74" s="395">
        <f t="shared" si="115"/>
        <v>528.57045840407466</v>
      </c>
      <c r="U74" s="195">
        <f t="shared" si="115"/>
        <v>1.2500000000000001E-2</v>
      </c>
      <c r="V74" s="195">
        <f t="shared" si="115"/>
        <v>8.3333333333333332E-3</v>
      </c>
      <c r="W74" s="195">
        <f t="shared" si="115"/>
        <v>0</v>
      </c>
      <c r="X74" s="195"/>
      <c r="Y74" s="196">
        <f t="shared" ref="Y74:AJ74" si="116">Y71</f>
        <v>2.4300000000000002</v>
      </c>
      <c r="Z74" s="196">
        <f t="shared" si="116"/>
        <v>2.75</v>
      </c>
      <c r="AA74" s="196">
        <f t="shared" si="116"/>
        <v>3.06</v>
      </c>
      <c r="AB74" s="196">
        <f t="shared" si="116"/>
        <v>0.34</v>
      </c>
      <c r="AC74" s="196">
        <f t="shared" si="116"/>
        <v>0.38</v>
      </c>
      <c r="AD74" s="196">
        <f t="shared" si="116"/>
        <v>0.42</v>
      </c>
      <c r="AE74" s="254">
        <f t="shared" si="116"/>
        <v>318330</v>
      </c>
      <c r="AF74" s="254">
        <f t="shared" si="116"/>
        <v>360250</v>
      </c>
      <c r="AG74" s="254">
        <f t="shared" si="116"/>
        <v>400860</v>
      </c>
      <c r="AH74" s="394">
        <f t="shared" si="116"/>
        <v>541.83829787234038</v>
      </c>
      <c r="AI74" s="256">
        <f t="shared" si="116"/>
        <v>613.191489361702</v>
      </c>
      <c r="AJ74" s="395">
        <f t="shared" si="116"/>
        <v>682.3148936170212</v>
      </c>
      <c r="AK74" s="145"/>
      <c r="AL74" s="145"/>
      <c r="AM74" s="145"/>
    </row>
    <row r="75" spans="1:39" x14ac:dyDescent="0.25">
      <c r="A75" s="9"/>
      <c r="B75" s="9"/>
      <c r="C75" s="9"/>
      <c r="D75" s="9" t="s">
        <v>203</v>
      </c>
      <c r="E75" s="195">
        <f>E73</f>
        <v>1.2500000000000001E-2</v>
      </c>
      <c r="F75" s="195">
        <f>F73</f>
        <v>8.3333333333333332E-3</v>
      </c>
      <c r="G75" s="195">
        <f>G73</f>
        <v>0</v>
      </c>
      <c r="H75" s="195"/>
      <c r="I75" s="195">
        <f t="shared" ref="I75:W75" si="117">I73</f>
        <v>7.0000000000000001E-3</v>
      </c>
      <c r="J75" s="195">
        <f t="shared" si="117"/>
        <v>8.0000000000000002E-3</v>
      </c>
      <c r="K75" s="195">
        <f t="shared" si="117"/>
        <v>8.9999999999999993E-3</v>
      </c>
      <c r="L75" s="195">
        <f t="shared" si="117"/>
        <v>6.0000000000000001E-3</v>
      </c>
      <c r="M75" s="195">
        <f t="shared" si="117"/>
        <v>6.0000000000000001E-3</v>
      </c>
      <c r="N75" s="195">
        <f t="shared" si="117"/>
        <v>7.0000000000000001E-3</v>
      </c>
      <c r="O75" s="254">
        <f t="shared" si="117"/>
        <v>1145816</v>
      </c>
      <c r="P75" s="254">
        <f t="shared" si="117"/>
        <v>1309504</v>
      </c>
      <c r="Q75" s="254">
        <f t="shared" si="117"/>
        <v>1473192</v>
      </c>
      <c r="R75" s="394">
        <f t="shared" si="117"/>
        <v>466.88597623089976</v>
      </c>
      <c r="S75" s="256">
        <f t="shared" si="117"/>
        <v>533.58397283531406</v>
      </c>
      <c r="T75" s="395">
        <f t="shared" si="117"/>
        <v>600.2819694397283</v>
      </c>
      <c r="U75" s="195">
        <f t="shared" si="117"/>
        <v>1.2500000000000001E-2</v>
      </c>
      <c r="V75" s="195">
        <f t="shared" si="117"/>
        <v>8.3333333333333332E-3</v>
      </c>
      <c r="W75" s="195">
        <f t="shared" si="117"/>
        <v>0</v>
      </c>
      <c r="X75" s="195"/>
      <c r="Y75" s="195">
        <f t="shared" ref="Y75:AJ75" si="118">Y73</f>
        <v>2.5000000000000001E-2</v>
      </c>
      <c r="Z75" s="195">
        <f t="shared" si="118"/>
        <v>0.03</v>
      </c>
      <c r="AA75" s="195">
        <f t="shared" si="118"/>
        <v>3.5000000000000003E-2</v>
      </c>
      <c r="AB75" s="195">
        <f t="shared" si="118"/>
        <v>3.0000000000000001E-3</v>
      </c>
      <c r="AC75" s="195">
        <f t="shared" si="118"/>
        <v>3.0000000000000001E-3</v>
      </c>
      <c r="AD75" s="195">
        <f t="shared" si="118"/>
        <v>3.0000000000000001E-3</v>
      </c>
      <c r="AE75" s="254">
        <f t="shared" si="118"/>
        <v>1280000</v>
      </c>
      <c r="AF75" s="254">
        <f t="shared" si="118"/>
        <v>1536000</v>
      </c>
      <c r="AG75" s="254">
        <f t="shared" si="118"/>
        <v>1792000.0000000002</v>
      </c>
      <c r="AH75" s="394">
        <f t="shared" si="118"/>
        <v>2178.7234042553187</v>
      </c>
      <c r="AI75" s="256">
        <f t="shared" si="118"/>
        <v>2614.4680851063827</v>
      </c>
      <c r="AJ75" s="395">
        <f t="shared" si="118"/>
        <v>3050.2127659574467</v>
      </c>
      <c r="AK75" s="145"/>
      <c r="AL75" s="145"/>
      <c r="AM75" s="145"/>
    </row>
    <row r="76" spans="1:39" x14ac:dyDescent="0.25">
      <c r="A76" s="9"/>
      <c r="B76" s="9"/>
      <c r="C76" s="9"/>
      <c r="D76" s="9" t="s">
        <v>256</v>
      </c>
      <c r="E76" s="177"/>
      <c r="F76" s="177"/>
      <c r="G76" s="177"/>
      <c r="H76" s="177"/>
      <c r="I76" s="197"/>
      <c r="J76" s="182"/>
      <c r="K76" s="198"/>
      <c r="L76" s="199"/>
      <c r="M76" s="200"/>
      <c r="N76" s="200"/>
      <c r="O76" s="254">
        <f t="shared" ref="O76:T76" si="119">SUM(O74:O75)</f>
        <v>2178056</v>
      </c>
      <c r="P76" s="254">
        <f t="shared" si="119"/>
        <v>2474224</v>
      </c>
      <c r="Q76" s="254">
        <f t="shared" si="119"/>
        <v>2770392</v>
      </c>
      <c r="R76" s="396">
        <f t="shared" si="119"/>
        <v>887.49310696095063</v>
      </c>
      <c r="S76" s="397">
        <f t="shared" si="119"/>
        <v>1008.1727674023768</v>
      </c>
      <c r="T76" s="398">
        <f t="shared" si="119"/>
        <v>1128.8524278438031</v>
      </c>
      <c r="U76" s="177"/>
      <c r="V76" s="177"/>
      <c r="W76" s="177"/>
      <c r="X76" s="177"/>
      <c r="Y76" s="197"/>
      <c r="Z76" s="182"/>
      <c r="AA76" s="201"/>
      <c r="AB76" s="199"/>
      <c r="AC76" s="197"/>
      <c r="AD76" s="182"/>
      <c r="AE76" s="254">
        <f t="shared" ref="AE76:AJ76" si="120">SUM(AE74:AE75)</f>
        <v>1598330</v>
      </c>
      <c r="AF76" s="254">
        <f t="shared" si="120"/>
        <v>1896250</v>
      </c>
      <c r="AG76" s="254">
        <f t="shared" si="120"/>
        <v>2192860</v>
      </c>
      <c r="AH76" s="396">
        <f t="shared" si="120"/>
        <v>2720.5617021276589</v>
      </c>
      <c r="AI76" s="397">
        <f t="shared" si="120"/>
        <v>3227.6595744680844</v>
      </c>
      <c r="AJ76" s="398">
        <f t="shared" si="120"/>
        <v>3732.5276595744681</v>
      </c>
      <c r="AK76" s="145"/>
      <c r="AL76" s="145"/>
      <c r="AM76" s="145"/>
    </row>
    <row r="77" spans="1:39" x14ac:dyDescent="0.25">
      <c r="A77" s="128" t="s">
        <v>3</v>
      </c>
      <c r="B77" s="9" t="s">
        <v>254</v>
      </c>
      <c r="C77" s="162" t="s">
        <v>396</v>
      </c>
      <c r="D77" s="9" t="s">
        <v>200</v>
      </c>
      <c r="E77" s="141">
        <v>70.5</v>
      </c>
      <c r="F77" s="139">
        <f t="shared" ref="F77:G80" si="121">E77/2</f>
        <v>35.25</v>
      </c>
      <c r="G77" s="141">
        <f t="shared" si="121"/>
        <v>17.625</v>
      </c>
      <c r="H77" s="134" t="s">
        <v>260</v>
      </c>
      <c r="I77" s="136">
        <v>2.2000000000000002</v>
      </c>
      <c r="J77" s="136">
        <v>2.44</v>
      </c>
      <c r="K77" s="136">
        <v>2.69</v>
      </c>
      <c r="L77" s="136">
        <v>1.58</v>
      </c>
      <c r="M77" s="136">
        <v>1.75</v>
      </c>
      <c r="N77" s="136">
        <v>1.92</v>
      </c>
      <c r="O77" s="252">
        <f t="shared" ref="O77:Q78" si="122">HHProps_SSW*IF($H77="S1",I77,(I77+L77))</f>
        <v>1214400</v>
      </c>
      <c r="P77" s="252">
        <f t="shared" si="122"/>
        <v>1346880</v>
      </c>
      <c r="Q77" s="252">
        <f t="shared" si="122"/>
        <v>1484880</v>
      </c>
      <c r="R77" s="392">
        <f t="shared" ref="R77:T80" si="123">O77/(IF($H77="S1",($E77-$F77),($E77-$G77)))</f>
        <v>34451.063829787236</v>
      </c>
      <c r="S77" s="252">
        <f t="shared" si="123"/>
        <v>38209.361702127659</v>
      </c>
      <c r="T77" s="393">
        <f t="shared" si="123"/>
        <v>42124.255319148935</v>
      </c>
      <c r="U77" s="141">
        <v>13.5</v>
      </c>
      <c r="V77" s="141">
        <f t="shared" ref="V77:W80" si="124">U77/2</f>
        <v>6.75</v>
      </c>
      <c r="W77" s="141">
        <f t="shared" si="124"/>
        <v>3.375</v>
      </c>
      <c r="X77" s="134" t="str">
        <f>H77</f>
        <v>S1</v>
      </c>
      <c r="Y77" s="136">
        <v>2.84</v>
      </c>
      <c r="Z77" s="136">
        <v>3.27</v>
      </c>
      <c r="AA77" s="136">
        <v>3.7</v>
      </c>
      <c r="AB77" s="136">
        <v>1.18</v>
      </c>
      <c r="AC77" s="136">
        <v>1.37</v>
      </c>
      <c r="AD77" s="136">
        <v>1.54</v>
      </c>
      <c r="AE77" s="252">
        <f t="shared" ref="AE77:AG78" si="125">HHProps_CAM*IF($H77="S1",Y77,(Y77+AB77))</f>
        <v>372040</v>
      </c>
      <c r="AF77" s="252">
        <f t="shared" si="125"/>
        <v>428370</v>
      </c>
      <c r="AG77" s="252">
        <f t="shared" si="125"/>
        <v>484700</v>
      </c>
      <c r="AH77" s="392">
        <f t="shared" ref="AH77:AJ80" si="126">AE77/(IF($H77="S1",($U77-$V77),($U77-$W77)))</f>
        <v>55117.037037037036</v>
      </c>
      <c r="AI77" s="252">
        <f t="shared" si="126"/>
        <v>63462.222222222219</v>
      </c>
      <c r="AJ77" s="393">
        <f t="shared" si="126"/>
        <v>71807.407407407401</v>
      </c>
      <c r="AK77" s="145"/>
      <c r="AL77" s="145"/>
      <c r="AM77" s="145"/>
    </row>
    <row r="78" spans="1:39" x14ac:dyDescent="0.25">
      <c r="A78" s="128"/>
      <c r="B78" s="9"/>
      <c r="C78" s="9"/>
      <c r="D78" s="9" t="s">
        <v>188</v>
      </c>
      <c r="E78" s="141">
        <v>70.5</v>
      </c>
      <c r="F78" s="139">
        <f t="shared" si="121"/>
        <v>35.25</v>
      </c>
      <c r="G78" s="141">
        <f t="shared" si="121"/>
        <v>17.625</v>
      </c>
      <c r="H78" s="134" t="s">
        <v>260</v>
      </c>
      <c r="I78" s="136">
        <v>1.77</v>
      </c>
      <c r="J78" s="136">
        <v>2</v>
      </c>
      <c r="K78" s="136">
        <v>2.23</v>
      </c>
      <c r="L78" s="136">
        <v>1.6</v>
      </c>
      <c r="M78" s="136">
        <v>1.79</v>
      </c>
      <c r="N78" s="136">
        <v>1.99</v>
      </c>
      <c r="O78" s="252">
        <f t="shared" si="122"/>
        <v>977040</v>
      </c>
      <c r="P78" s="252">
        <f t="shared" si="122"/>
        <v>1104000</v>
      </c>
      <c r="Q78" s="252">
        <f t="shared" si="122"/>
        <v>1230960</v>
      </c>
      <c r="R78" s="392">
        <f t="shared" si="123"/>
        <v>27717.446808510638</v>
      </c>
      <c r="S78" s="252">
        <f t="shared" si="123"/>
        <v>31319.148936170212</v>
      </c>
      <c r="T78" s="393">
        <f t="shared" si="123"/>
        <v>34920.851063829788</v>
      </c>
      <c r="U78" s="141">
        <v>13.5</v>
      </c>
      <c r="V78" s="141">
        <f t="shared" si="124"/>
        <v>6.75</v>
      </c>
      <c r="W78" s="141">
        <f t="shared" si="124"/>
        <v>3.375</v>
      </c>
      <c r="X78" s="134" t="str">
        <f>H78</f>
        <v>S1</v>
      </c>
      <c r="Y78" s="136">
        <v>5.96</v>
      </c>
      <c r="Z78" s="136">
        <v>7.22</v>
      </c>
      <c r="AA78" s="136">
        <v>8.49</v>
      </c>
      <c r="AB78" s="136">
        <v>3.72</v>
      </c>
      <c r="AC78" s="136">
        <v>3.09</v>
      </c>
      <c r="AD78" s="136">
        <v>2.4500000000000002</v>
      </c>
      <c r="AE78" s="252">
        <f t="shared" si="125"/>
        <v>780760</v>
      </c>
      <c r="AF78" s="252">
        <f t="shared" si="125"/>
        <v>945820</v>
      </c>
      <c r="AG78" s="252">
        <f t="shared" si="125"/>
        <v>1112190</v>
      </c>
      <c r="AH78" s="392">
        <f t="shared" si="126"/>
        <v>115668.14814814815</v>
      </c>
      <c r="AI78" s="252">
        <f t="shared" si="126"/>
        <v>140121.48148148149</v>
      </c>
      <c r="AJ78" s="393">
        <f t="shared" si="126"/>
        <v>164768.88888888888</v>
      </c>
      <c r="AK78" s="145"/>
      <c r="AL78" s="145"/>
      <c r="AM78" s="145"/>
    </row>
    <row r="79" spans="1:39" x14ac:dyDescent="0.25">
      <c r="A79" s="128"/>
      <c r="B79" s="9"/>
      <c r="C79" s="9"/>
      <c r="D79" s="9" t="s">
        <v>201</v>
      </c>
      <c r="E79" s="141">
        <v>70.5</v>
      </c>
      <c r="F79" s="139">
        <f t="shared" si="121"/>
        <v>35.25</v>
      </c>
      <c r="G79" s="141">
        <f t="shared" si="121"/>
        <v>17.625</v>
      </c>
      <c r="H79" s="134" t="s">
        <v>260</v>
      </c>
      <c r="I79" s="137">
        <v>3.2000000000000001E-2</v>
      </c>
      <c r="J79" s="137">
        <v>0.04</v>
      </c>
      <c r="K79" s="137">
        <v>4.9000000000000002E-2</v>
      </c>
      <c r="L79" s="137">
        <v>4.0000000000000001E-3</v>
      </c>
      <c r="M79" s="137">
        <v>5.0000000000000001E-3</v>
      </c>
      <c r="N79" s="137">
        <v>6.0000000000000001E-3</v>
      </c>
      <c r="O79" s="252">
        <f t="shared" ref="O79:Q80" si="127">NHHProps_SSW*AvgNHHBill_SSW*IF($H79="S1",I79,(I79+L79))</f>
        <v>5238016</v>
      </c>
      <c r="P79" s="252">
        <f t="shared" si="127"/>
        <v>6547520</v>
      </c>
      <c r="Q79" s="252">
        <f t="shared" si="127"/>
        <v>8020712</v>
      </c>
      <c r="R79" s="392">
        <f t="shared" si="123"/>
        <v>148596.19858156028</v>
      </c>
      <c r="S79" s="252">
        <f t="shared" si="123"/>
        <v>185745.24822695035</v>
      </c>
      <c r="T79" s="393">
        <f t="shared" si="123"/>
        <v>227537.92907801419</v>
      </c>
      <c r="U79" s="141">
        <v>13.5</v>
      </c>
      <c r="V79" s="141">
        <f t="shared" si="124"/>
        <v>6.75</v>
      </c>
      <c r="W79" s="141">
        <f t="shared" si="124"/>
        <v>3.375</v>
      </c>
      <c r="X79" s="134" t="str">
        <f>H79</f>
        <v>S1</v>
      </c>
      <c r="Y79" s="137">
        <v>0</v>
      </c>
      <c r="Z79" s="142">
        <v>1.7000000000000001E-2</v>
      </c>
      <c r="AA79" s="142">
        <v>4.7E-2</v>
      </c>
      <c r="AB79" s="137">
        <v>0</v>
      </c>
      <c r="AC79" s="142">
        <v>2.5000000000000001E-2</v>
      </c>
      <c r="AD79" s="142">
        <v>4.5999999999999999E-2</v>
      </c>
      <c r="AE79" s="252">
        <f t="shared" ref="AE79:AG80" si="128">NHHProps_CAM*AvgNHHBill_CAM*IF($H79="S1",Y79,(Y79+AB79))</f>
        <v>0</v>
      </c>
      <c r="AF79" s="252">
        <f t="shared" si="128"/>
        <v>870400.00000000012</v>
      </c>
      <c r="AG79" s="252">
        <f t="shared" si="128"/>
        <v>2406400</v>
      </c>
      <c r="AH79" s="392">
        <f t="shared" si="126"/>
        <v>0</v>
      </c>
      <c r="AI79" s="252">
        <f t="shared" si="126"/>
        <v>128948.14814814816</v>
      </c>
      <c r="AJ79" s="393">
        <f t="shared" si="126"/>
        <v>356503.70370370371</v>
      </c>
      <c r="AK79" s="145"/>
      <c r="AL79" s="145"/>
      <c r="AM79" s="145"/>
    </row>
    <row r="80" spans="1:39" x14ac:dyDescent="0.25">
      <c r="A80" s="128"/>
      <c r="B80" s="9"/>
      <c r="C80" s="9"/>
      <c r="D80" s="9" t="s">
        <v>189</v>
      </c>
      <c r="E80" s="141">
        <v>70.5</v>
      </c>
      <c r="F80" s="139">
        <f t="shared" si="121"/>
        <v>35.25</v>
      </c>
      <c r="G80" s="141">
        <f t="shared" si="121"/>
        <v>17.625</v>
      </c>
      <c r="H80" s="134" t="s">
        <v>260</v>
      </c>
      <c r="I80" s="137">
        <v>0</v>
      </c>
      <c r="J80" s="137">
        <v>5.0000000000000001E-3</v>
      </c>
      <c r="K80" s="137">
        <v>0.01</v>
      </c>
      <c r="L80" s="137">
        <v>2E-3</v>
      </c>
      <c r="M80" s="137">
        <v>6.0000000000000001E-3</v>
      </c>
      <c r="N80" s="137">
        <v>0.01</v>
      </c>
      <c r="O80" s="252">
        <f t="shared" si="127"/>
        <v>0</v>
      </c>
      <c r="P80" s="252">
        <f t="shared" si="127"/>
        <v>818440</v>
      </c>
      <c r="Q80" s="252">
        <f t="shared" si="127"/>
        <v>1636880</v>
      </c>
      <c r="R80" s="392">
        <f t="shared" si="123"/>
        <v>0</v>
      </c>
      <c r="S80" s="252">
        <f t="shared" si="123"/>
        <v>23218.156028368794</v>
      </c>
      <c r="T80" s="393">
        <f t="shared" si="123"/>
        <v>46436.312056737588</v>
      </c>
      <c r="U80" s="141">
        <v>13.5</v>
      </c>
      <c r="V80" s="141">
        <f t="shared" si="124"/>
        <v>6.75</v>
      </c>
      <c r="W80" s="141">
        <f t="shared" si="124"/>
        <v>3.375</v>
      </c>
      <c r="X80" s="134" t="str">
        <f>H80</f>
        <v>S1</v>
      </c>
      <c r="Y80" s="137">
        <v>0</v>
      </c>
      <c r="Z80" s="137">
        <v>2E-3</v>
      </c>
      <c r="AA80" s="137">
        <v>5.0000000000000001E-3</v>
      </c>
      <c r="AB80" s="137">
        <v>2E-3</v>
      </c>
      <c r="AC80" s="137">
        <v>1.2E-2</v>
      </c>
      <c r="AD80" s="137">
        <v>2.1000000000000001E-2</v>
      </c>
      <c r="AE80" s="252">
        <f t="shared" si="128"/>
        <v>0</v>
      </c>
      <c r="AF80" s="252">
        <f t="shared" si="128"/>
        <v>102400</v>
      </c>
      <c r="AG80" s="252">
        <f t="shared" si="128"/>
        <v>256000</v>
      </c>
      <c r="AH80" s="392">
        <f t="shared" si="126"/>
        <v>0</v>
      </c>
      <c r="AI80" s="252">
        <f t="shared" si="126"/>
        <v>15170.37037037037</v>
      </c>
      <c r="AJ80" s="393">
        <f t="shared" si="126"/>
        <v>37925.925925925927</v>
      </c>
      <c r="AK80" s="145"/>
      <c r="AL80" s="145"/>
      <c r="AM80" s="145"/>
    </row>
    <row r="81" spans="1:39" x14ac:dyDescent="0.25">
      <c r="A81" s="128"/>
      <c r="B81" s="9"/>
      <c r="C81" s="9"/>
      <c r="D81" s="9" t="s">
        <v>202</v>
      </c>
      <c r="E81" s="210">
        <f>E78</f>
        <v>70.5</v>
      </c>
      <c r="F81" s="210">
        <f>F78</f>
        <v>35.25</v>
      </c>
      <c r="G81" s="210">
        <f>G78</f>
        <v>17.625</v>
      </c>
      <c r="H81" s="210"/>
      <c r="I81" s="196">
        <f t="shared" ref="I81:W81" si="129">I78</f>
        <v>1.77</v>
      </c>
      <c r="J81" s="196">
        <f t="shared" si="129"/>
        <v>2</v>
      </c>
      <c r="K81" s="196">
        <f t="shared" si="129"/>
        <v>2.23</v>
      </c>
      <c r="L81" s="196">
        <f t="shared" si="129"/>
        <v>1.6</v>
      </c>
      <c r="M81" s="196">
        <f t="shared" si="129"/>
        <v>1.79</v>
      </c>
      <c r="N81" s="196">
        <f t="shared" si="129"/>
        <v>1.99</v>
      </c>
      <c r="O81" s="254">
        <f t="shared" si="129"/>
        <v>977040</v>
      </c>
      <c r="P81" s="254">
        <f t="shared" si="129"/>
        <v>1104000</v>
      </c>
      <c r="Q81" s="254">
        <f t="shared" si="129"/>
        <v>1230960</v>
      </c>
      <c r="R81" s="394">
        <f t="shared" si="129"/>
        <v>27717.446808510638</v>
      </c>
      <c r="S81" s="256">
        <f t="shared" si="129"/>
        <v>31319.148936170212</v>
      </c>
      <c r="T81" s="395">
        <f t="shared" si="129"/>
        <v>34920.851063829788</v>
      </c>
      <c r="U81" s="210">
        <f t="shared" si="129"/>
        <v>13.5</v>
      </c>
      <c r="V81" s="210">
        <f t="shared" si="129"/>
        <v>6.75</v>
      </c>
      <c r="W81" s="210">
        <f t="shared" si="129"/>
        <v>3.375</v>
      </c>
      <c r="X81" s="210"/>
      <c r="Y81" s="196">
        <f t="shared" ref="Y81:AJ81" si="130">Y78</f>
        <v>5.96</v>
      </c>
      <c r="Z81" s="196">
        <f t="shared" si="130"/>
        <v>7.22</v>
      </c>
      <c r="AA81" s="196">
        <f t="shared" si="130"/>
        <v>8.49</v>
      </c>
      <c r="AB81" s="196">
        <f t="shared" si="130"/>
        <v>3.72</v>
      </c>
      <c r="AC81" s="196">
        <f t="shared" si="130"/>
        <v>3.09</v>
      </c>
      <c r="AD81" s="196">
        <f t="shared" si="130"/>
        <v>2.4500000000000002</v>
      </c>
      <c r="AE81" s="254">
        <f t="shared" si="130"/>
        <v>780760</v>
      </c>
      <c r="AF81" s="254">
        <f t="shared" si="130"/>
        <v>945820</v>
      </c>
      <c r="AG81" s="254">
        <f t="shared" si="130"/>
        <v>1112190</v>
      </c>
      <c r="AH81" s="394">
        <f t="shared" si="130"/>
        <v>115668.14814814815</v>
      </c>
      <c r="AI81" s="256">
        <f t="shared" si="130"/>
        <v>140121.48148148149</v>
      </c>
      <c r="AJ81" s="395">
        <f t="shared" si="130"/>
        <v>164768.88888888888</v>
      </c>
      <c r="AK81" s="145"/>
      <c r="AL81" s="145"/>
      <c r="AM81" s="145"/>
    </row>
    <row r="82" spans="1:39" x14ac:dyDescent="0.25">
      <c r="A82" s="128"/>
      <c r="B82" s="9"/>
      <c r="C82" s="9"/>
      <c r="D82" s="9" t="s">
        <v>203</v>
      </c>
      <c r="E82" s="210">
        <f>E80</f>
        <v>70.5</v>
      </c>
      <c r="F82" s="210">
        <f>F80</f>
        <v>35.25</v>
      </c>
      <c r="G82" s="210">
        <f>G80</f>
        <v>17.625</v>
      </c>
      <c r="H82" s="210"/>
      <c r="I82" s="195">
        <f t="shared" ref="I82:W82" si="131">I80</f>
        <v>0</v>
      </c>
      <c r="J82" s="195">
        <f t="shared" si="131"/>
        <v>5.0000000000000001E-3</v>
      </c>
      <c r="K82" s="195">
        <f t="shared" si="131"/>
        <v>0.01</v>
      </c>
      <c r="L82" s="195">
        <f t="shared" si="131"/>
        <v>2E-3</v>
      </c>
      <c r="M82" s="195">
        <f t="shared" si="131"/>
        <v>6.0000000000000001E-3</v>
      </c>
      <c r="N82" s="195">
        <f t="shared" si="131"/>
        <v>0.01</v>
      </c>
      <c r="O82" s="254">
        <f t="shared" si="131"/>
        <v>0</v>
      </c>
      <c r="P82" s="254">
        <f t="shared" si="131"/>
        <v>818440</v>
      </c>
      <c r="Q82" s="254">
        <f t="shared" si="131"/>
        <v>1636880</v>
      </c>
      <c r="R82" s="394">
        <f t="shared" si="131"/>
        <v>0</v>
      </c>
      <c r="S82" s="256">
        <f t="shared" si="131"/>
        <v>23218.156028368794</v>
      </c>
      <c r="T82" s="395">
        <f t="shared" si="131"/>
        <v>46436.312056737588</v>
      </c>
      <c r="U82" s="210">
        <f t="shared" si="131"/>
        <v>13.5</v>
      </c>
      <c r="V82" s="210">
        <f t="shared" si="131"/>
        <v>6.75</v>
      </c>
      <c r="W82" s="210">
        <f t="shared" si="131"/>
        <v>3.375</v>
      </c>
      <c r="X82" s="210"/>
      <c r="Y82" s="195">
        <f t="shared" ref="Y82:AJ82" si="132">Y80</f>
        <v>0</v>
      </c>
      <c r="Z82" s="195">
        <f t="shared" si="132"/>
        <v>2E-3</v>
      </c>
      <c r="AA82" s="195">
        <f t="shared" si="132"/>
        <v>5.0000000000000001E-3</v>
      </c>
      <c r="AB82" s="195">
        <f t="shared" si="132"/>
        <v>2E-3</v>
      </c>
      <c r="AC82" s="195">
        <f t="shared" si="132"/>
        <v>1.2E-2</v>
      </c>
      <c r="AD82" s="195">
        <f t="shared" si="132"/>
        <v>2.1000000000000001E-2</v>
      </c>
      <c r="AE82" s="254">
        <f t="shared" si="132"/>
        <v>0</v>
      </c>
      <c r="AF82" s="254">
        <f t="shared" si="132"/>
        <v>102400</v>
      </c>
      <c r="AG82" s="254">
        <f t="shared" si="132"/>
        <v>256000</v>
      </c>
      <c r="AH82" s="394">
        <f t="shared" si="132"/>
        <v>0</v>
      </c>
      <c r="AI82" s="256">
        <f t="shared" si="132"/>
        <v>15170.37037037037</v>
      </c>
      <c r="AJ82" s="395">
        <f t="shared" si="132"/>
        <v>37925.925925925927</v>
      </c>
      <c r="AK82" s="145"/>
      <c r="AL82" s="145"/>
      <c r="AM82" s="145"/>
    </row>
    <row r="83" spans="1:39" x14ac:dyDescent="0.25">
      <c r="A83" s="128"/>
      <c r="B83" s="9"/>
      <c r="C83" s="9"/>
      <c r="D83" s="9" t="s">
        <v>256</v>
      </c>
      <c r="E83" s="177"/>
      <c r="F83" s="177"/>
      <c r="G83" s="177"/>
      <c r="H83" s="177"/>
      <c r="I83" s="197"/>
      <c r="J83" s="182"/>
      <c r="K83" s="198"/>
      <c r="L83" s="199"/>
      <c r="M83" s="200"/>
      <c r="N83" s="200"/>
      <c r="O83" s="254">
        <f t="shared" ref="O83:T83" si="133">SUM(O81:O82)</f>
        <v>977040</v>
      </c>
      <c r="P83" s="254">
        <f t="shared" si="133"/>
        <v>1922440</v>
      </c>
      <c r="Q83" s="254">
        <f t="shared" si="133"/>
        <v>2867840</v>
      </c>
      <c r="R83" s="396">
        <f t="shared" si="133"/>
        <v>27717.446808510638</v>
      </c>
      <c r="S83" s="397">
        <f t="shared" si="133"/>
        <v>54537.304964539006</v>
      </c>
      <c r="T83" s="398">
        <f t="shared" si="133"/>
        <v>81357.163120567377</v>
      </c>
      <c r="U83" s="177"/>
      <c r="V83" s="177"/>
      <c r="W83" s="177"/>
      <c r="X83" s="177"/>
      <c r="Y83" s="197"/>
      <c r="Z83" s="182"/>
      <c r="AA83" s="201"/>
      <c r="AB83" s="199"/>
      <c r="AC83" s="197"/>
      <c r="AD83" s="182"/>
      <c r="AE83" s="254">
        <f t="shared" ref="AE83:AJ83" si="134">SUM(AE81:AE82)</f>
        <v>780760</v>
      </c>
      <c r="AF83" s="254">
        <f t="shared" si="134"/>
        <v>1048220</v>
      </c>
      <c r="AG83" s="254">
        <f t="shared" si="134"/>
        <v>1368190</v>
      </c>
      <c r="AH83" s="396">
        <f t="shared" si="134"/>
        <v>115668.14814814815</v>
      </c>
      <c r="AI83" s="397">
        <f t="shared" si="134"/>
        <v>155291.85185185185</v>
      </c>
      <c r="AJ83" s="398">
        <f t="shared" si="134"/>
        <v>202694.8148148148</v>
      </c>
      <c r="AK83" s="145"/>
      <c r="AL83" s="145"/>
      <c r="AM83" s="145"/>
    </row>
    <row r="84" spans="1:39" x14ac:dyDescent="0.25">
      <c r="A84" s="9" t="s">
        <v>87</v>
      </c>
      <c r="B84" s="9" t="s">
        <v>113</v>
      </c>
      <c r="C84" s="162" t="s">
        <v>412</v>
      </c>
      <c r="D84" s="9" t="s">
        <v>200</v>
      </c>
      <c r="E84" s="257">
        <v>0.33</v>
      </c>
      <c r="F84" s="257">
        <v>0.65</v>
      </c>
      <c r="G84" s="257">
        <v>0.9</v>
      </c>
      <c r="H84" s="257" t="s">
        <v>261</v>
      </c>
      <c r="I84" s="136">
        <v>0.46</v>
      </c>
      <c r="J84" s="136">
        <v>0.51</v>
      </c>
      <c r="K84" s="136">
        <v>0.56000000000000005</v>
      </c>
      <c r="L84" s="136">
        <v>0.37</v>
      </c>
      <c r="M84" s="136">
        <v>0.41</v>
      </c>
      <c r="N84" s="136">
        <v>0.45</v>
      </c>
      <c r="O84" s="252">
        <f t="shared" ref="O84:Q85" si="135">HHProps_SSW*IF($H84="S1",I84,(I84+L84))</f>
        <v>458160.00000000006</v>
      </c>
      <c r="P84" s="252">
        <f t="shared" si="135"/>
        <v>507839.99999999994</v>
      </c>
      <c r="Q84" s="252">
        <f t="shared" si="135"/>
        <v>557520</v>
      </c>
      <c r="R84" s="399">
        <f t="shared" ref="R84:T85" si="136">-O84/(IF($H84="S1",($E84-$F84),($E84-$G84))*HHProps_SSW)</f>
        <v>1.4561403508771928</v>
      </c>
      <c r="S84" s="255">
        <f t="shared" si="136"/>
        <v>1.6140350877192977</v>
      </c>
      <c r="T84" s="400">
        <f t="shared" si="136"/>
        <v>1.7719298245614032</v>
      </c>
      <c r="U84" s="257">
        <v>0.7</v>
      </c>
      <c r="V84" s="257">
        <v>0.8</v>
      </c>
      <c r="W84" s="257">
        <v>0.95</v>
      </c>
      <c r="X84" s="134" t="str">
        <f>H84</f>
        <v>S2</v>
      </c>
      <c r="Y84" s="136">
        <v>0.49</v>
      </c>
      <c r="Z84" s="136">
        <v>0.56000000000000005</v>
      </c>
      <c r="AA84" s="136">
        <v>0.64</v>
      </c>
      <c r="AB84" s="136">
        <v>0.38</v>
      </c>
      <c r="AC84" s="136">
        <v>0.43</v>
      </c>
      <c r="AD84" s="136">
        <v>0.49</v>
      </c>
      <c r="AE84" s="252">
        <f t="shared" ref="AE84:AG85" si="137">HHProps_CAM*IF($H84="S1",Y84,(Y84+AB84))</f>
        <v>113970</v>
      </c>
      <c r="AF84" s="252">
        <f t="shared" si="137"/>
        <v>129690</v>
      </c>
      <c r="AG84" s="252">
        <f t="shared" si="137"/>
        <v>148030</v>
      </c>
      <c r="AH84" s="399">
        <f t="shared" ref="AH84:AJ85" si="138">-AE84/(IF($H84="S1",($U84-$V84),($U84-$W84))*HHProps_CAM)</f>
        <v>3.48</v>
      </c>
      <c r="AI84" s="255">
        <f t="shared" si="138"/>
        <v>3.96</v>
      </c>
      <c r="AJ84" s="400">
        <f t="shared" si="138"/>
        <v>4.5199999999999996</v>
      </c>
      <c r="AK84" s="145"/>
      <c r="AL84" s="145"/>
      <c r="AM84" s="145"/>
    </row>
    <row r="85" spans="1:39" x14ac:dyDescent="0.25">
      <c r="A85" s="9"/>
      <c r="B85" s="9"/>
      <c r="C85" s="9"/>
      <c r="D85" s="9" t="s">
        <v>188</v>
      </c>
      <c r="E85" s="257">
        <v>0.33</v>
      </c>
      <c r="F85" s="257">
        <v>0.65</v>
      </c>
      <c r="G85" s="257">
        <v>0.9</v>
      </c>
      <c r="H85" s="257" t="s">
        <v>261</v>
      </c>
      <c r="I85" s="136">
        <v>0.52</v>
      </c>
      <c r="J85" s="136">
        <v>0.57999999999999996</v>
      </c>
      <c r="K85" s="136">
        <v>0.65</v>
      </c>
      <c r="L85" s="136">
        <v>0.37</v>
      </c>
      <c r="M85" s="136">
        <v>0.43</v>
      </c>
      <c r="N85" s="136">
        <v>0.47</v>
      </c>
      <c r="O85" s="252">
        <f t="shared" si="135"/>
        <v>491280</v>
      </c>
      <c r="P85" s="252">
        <f t="shared" si="135"/>
        <v>557520</v>
      </c>
      <c r="Q85" s="252">
        <f t="shared" si="135"/>
        <v>618240.00000000012</v>
      </c>
      <c r="R85" s="399">
        <f t="shared" si="136"/>
        <v>1.5614035087719296</v>
      </c>
      <c r="S85" s="255">
        <f t="shared" si="136"/>
        <v>1.7719298245614032</v>
      </c>
      <c r="T85" s="400">
        <f t="shared" si="136"/>
        <v>1.9649122807017545</v>
      </c>
      <c r="U85" s="257">
        <v>0.7</v>
      </c>
      <c r="V85" s="257">
        <v>0.8</v>
      </c>
      <c r="W85" s="257">
        <v>0.95</v>
      </c>
      <c r="X85" s="134" t="str">
        <f>H85</f>
        <v>S2</v>
      </c>
      <c r="Y85" s="136">
        <v>1</v>
      </c>
      <c r="Z85" s="136">
        <v>1.21</v>
      </c>
      <c r="AA85" s="136">
        <v>1.42</v>
      </c>
      <c r="AB85" s="136">
        <v>0.78</v>
      </c>
      <c r="AC85" s="136">
        <v>0.95</v>
      </c>
      <c r="AD85" s="136">
        <v>1.1100000000000001</v>
      </c>
      <c r="AE85" s="252">
        <f t="shared" si="137"/>
        <v>233180</v>
      </c>
      <c r="AF85" s="252">
        <f t="shared" si="137"/>
        <v>282960</v>
      </c>
      <c r="AG85" s="252">
        <f t="shared" si="137"/>
        <v>331430.00000000006</v>
      </c>
      <c r="AH85" s="399">
        <f t="shared" si="138"/>
        <v>7.12</v>
      </c>
      <c r="AI85" s="255">
        <f t="shared" si="138"/>
        <v>8.64</v>
      </c>
      <c r="AJ85" s="400">
        <f t="shared" si="138"/>
        <v>10.120000000000001</v>
      </c>
      <c r="AK85" s="145"/>
      <c r="AL85" s="145"/>
      <c r="AM85" s="145"/>
    </row>
    <row r="86" spans="1:39" x14ac:dyDescent="0.25">
      <c r="A86" s="9"/>
      <c r="B86" s="9"/>
      <c r="C86" s="9"/>
      <c r="D86" s="9" t="s">
        <v>201</v>
      </c>
      <c r="E86" s="155"/>
      <c r="F86" s="155"/>
      <c r="G86" s="155"/>
      <c r="H86" s="155"/>
      <c r="I86" s="156"/>
      <c r="J86" s="157"/>
      <c r="K86" s="155"/>
      <c r="L86" s="158"/>
      <c r="M86" s="159"/>
      <c r="N86" s="159"/>
      <c r="O86" s="252"/>
      <c r="P86" s="252"/>
      <c r="Q86" s="252"/>
      <c r="R86" s="399"/>
      <c r="S86" s="255"/>
      <c r="T86" s="400"/>
      <c r="U86" s="155"/>
      <c r="V86" s="155"/>
      <c r="W86" s="155"/>
      <c r="X86" s="155"/>
      <c r="Y86" s="156"/>
      <c r="Z86" s="157"/>
      <c r="AA86" s="144"/>
      <c r="AB86" s="160"/>
      <c r="AC86" s="156"/>
      <c r="AD86" s="157"/>
      <c r="AE86" s="252"/>
      <c r="AF86" s="252"/>
      <c r="AG86" s="252"/>
      <c r="AH86" s="399"/>
      <c r="AI86" s="255"/>
      <c r="AJ86" s="400"/>
      <c r="AK86" s="145"/>
      <c r="AL86" s="145"/>
      <c r="AM86" s="145"/>
    </row>
    <row r="87" spans="1:39" x14ac:dyDescent="0.25">
      <c r="A87" s="9"/>
      <c r="B87" s="9"/>
      <c r="C87" s="9"/>
      <c r="D87" s="9" t="s">
        <v>189</v>
      </c>
      <c r="E87" s="155"/>
      <c r="F87" s="155"/>
      <c r="G87" s="155"/>
      <c r="H87" s="155"/>
      <c r="I87" s="156"/>
      <c r="J87" s="157"/>
      <c r="K87" s="155"/>
      <c r="L87" s="158"/>
      <c r="M87" s="159"/>
      <c r="N87" s="159"/>
      <c r="O87" s="252"/>
      <c r="P87" s="252"/>
      <c r="Q87" s="252"/>
      <c r="R87" s="399"/>
      <c r="S87" s="255"/>
      <c r="T87" s="400"/>
      <c r="U87" s="155"/>
      <c r="V87" s="155"/>
      <c r="W87" s="155"/>
      <c r="X87" s="155"/>
      <c r="Y87" s="156"/>
      <c r="Z87" s="157"/>
      <c r="AA87" s="144"/>
      <c r="AB87" s="160"/>
      <c r="AC87" s="156"/>
      <c r="AD87" s="157"/>
      <c r="AE87" s="252"/>
      <c r="AF87" s="252"/>
      <c r="AG87" s="252"/>
      <c r="AH87" s="399"/>
      <c r="AI87" s="255"/>
      <c r="AJ87" s="400"/>
      <c r="AK87" s="145"/>
      <c r="AL87" s="145"/>
      <c r="AM87" s="145"/>
    </row>
    <row r="88" spans="1:39" x14ac:dyDescent="0.25">
      <c r="A88" s="9"/>
      <c r="B88" s="9"/>
      <c r="C88" s="9"/>
      <c r="D88" s="9" t="s">
        <v>202</v>
      </c>
      <c r="E88" s="758">
        <f>E85</f>
        <v>0.33</v>
      </c>
      <c r="F88" s="758">
        <f>F85</f>
        <v>0.65</v>
      </c>
      <c r="G88" s="758">
        <f>G85</f>
        <v>0.9</v>
      </c>
      <c r="H88" s="758"/>
      <c r="I88" s="196">
        <f t="shared" ref="I88:W88" si="139">I85</f>
        <v>0.52</v>
      </c>
      <c r="J88" s="196">
        <f t="shared" si="139"/>
        <v>0.57999999999999996</v>
      </c>
      <c r="K88" s="196">
        <f t="shared" si="139"/>
        <v>0.65</v>
      </c>
      <c r="L88" s="196">
        <f t="shared" si="139"/>
        <v>0.37</v>
      </c>
      <c r="M88" s="196">
        <f t="shared" si="139"/>
        <v>0.43</v>
      </c>
      <c r="N88" s="196">
        <f t="shared" si="139"/>
        <v>0.47</v>
      </c>
      <c r="O88" s="254">
        <f t="shared" si="139"/>
        <v>491280</v>
      </c>
      <c r="P88" s="254">
        <f t="shared" si="139"/>
        <v>557520</v>
      </c>
      <c r="Q88" s="254">
        <f t="shared" si="139"/>
        <v>618240.00000000012</v>
      </c>
      <c r="R88" s="401">
        <f t="shared" si="139"/>
        <v>1.5614035087719296</v>
      </c>
      <c r="S88" s="196">
        <f t="shared" si="139"/>
        <v>1.7719298245614032</v>
      </c>
      <c r="T88" s="402">
        <f t="shared" si="139"/>
        <v>1.9649122807017545</v>
      </c>
      <c r="U88" s="758">
        <f t="shared" si="139"/>
        <v>0.7</v>
      </c>
      <c r="V88" s="758">
        <f t="shared" si="139"/>
        <v>0.8</v>
      </c>
      <c r="W88" s="758">
        <f t="shared" si="139"/>
        <v>0.95</v>
      </c>
      <c r="X88" s="758"/>
      <c r="Y88" s="196">
        <f t="shared" ref="Y88:AJ88" si="140">Y85</f>
        <v>1</v>
      </c>
      <c r="Z88" s="196">
        <f t="shared" si="140"/>
        <v>1.21</v>
      </c>
      <c r="AA88" s="196">
        <f t="shared" si="140"/>
        <v>1.42</v>
      </c>
      <c r="AB88" s="196">
        <f t="shared" si="140"/>
        <v>0.78</v>
      </c>
      <c r="AC88" s="196">
        <f t="shared" si="140"/>
        <v>0.95</v>
      </c>
      <c r="AD88" s="196">
        <f t="shared" si="140"/>
        <v>1.1100000000000001</v>
      </c>
      <c r="AE88" s="254">
        <f t="shared" si="140"/>
        <v>233180</v>
      </c>
      <c r="AF88" s="254">
        <f t="shared" si="140"/>
        <v>282960</v>
      </c>
      <c r="AG88" s="254">
        <f t="shared" si="140"/>
        <v>331430.00000000006</v>
      </c>
      <c r="AH88" s="401">
        <f t="shared" si="140"/>
        <v>7.12</v>
      </c>
      <c r="AI88" s="196">
        <f t="shared" si="140"/>
        <v>8.64</v>
      </c>
      <c r="AJ88" s="402">
        <f t="shared" si="140"/>
        <v>10.120000000000001</v>
      </c>
      <c r="AK88" s="145"/>
      <c r="AL88" s="145"/>
      <c r="AM88" s="145"/>
    </row>
    <row r="89" spans="1:39" x14ac:dyDescent="0.25">
      <c r="A89" s="9"/>
      <c r="B89" s="9"/>
      <c r="C89" s="9"/>
      <c r="D89" s="9" t="s">
        <v>203</v>
      </c>
      <c r="E89" s="758"/>
      <c r="F89" s="758"/>
      <c r="G89" s="758"/>
      <c r="H89" s="758"/>
      <c r="I89" s="195"/>
      <c r="J89" s="195"/>
      <c r="K89" s="195"/>
      <c r="L89" s="195"/>
      <c r="M89" s="195"/>
      <c r="N89" s="195"/>
      <c r="O89" s="254"/>
      <c r="P89" s="254"/>
      <c r="Q89" s="254"/>
      <c r="R89" s="401"/>
      <c r="S89" s="196"/>
      <c r="T89" s="402"/>
      <c r="U89" s="758"/>
      <c r="V89" s="758"/>
      <c r="W89" s="758"/>
      <c r="X89" s="758"/>
      <c r="Y89" s="195"/>
      <c r="Z89" s="195"/>
      <c r="AA89" s="195"/>
      <c r="AB89" s="195"/>
      <c r="AC89" s="195"/>
      <c r="AD89" s="195"/>
      <c r="AE89" s="254"/>
      <c r="AF89" s="254"/>
      <c r="AG89" s="254"/>
      <c r="AH89" s="401"/>
      <c r="AI89" s="196"/>
      <c r="AJ89" s="402"/>
      <c r="AK89" s="145"/>
      <c r="AL89" s="145"/>
      <c r="AM89" s="145"/>
    </row>
    <row r="90" spans="1:39" x14ac:dyDescent="0.25">
      <c r="A90" s="9"/>
      <c r="B90" s="9"/>
      <c r="C90" s="9"/>
      <c r="D90" s="9" t="s">
        <v>256</v>
      </c>
      <c r="E90" s="177"/>
      <c r="F90" s="177"/>
      <c r="G90" s="177"/>
      <c r="H90" s="177"/>
      <c r="I90" s="197"/>
      <c r="J90" s="182"/>
      <c r="K90" s="198"/>
      <c r="L90" s="199"/>
      <c r="M90" s="200"/>
      <c r="N90" s="200"/>
      <c r="O90" s="254">
        <f t="shared" ref="O90:T90" si="141">SUM(O88:O89)</f>
        <v>491280</v>
      </c>
      <c r="P90" s="254">
        <f t="shared" si="141"/>
        <v>557520</v>
      </c>
      <c r="Q90" s="254">
        <f t="shared" si="141"/>
        <v>618240.00000000012</v>
      </c>
      <c r="R90" s="403">
        <f t="shared" si="141"/>
        <v>1.5614035087719296</v>
      </c>
      <c r="S90" s="404">
        <f t="shared" si="141"/>
        <v>1.7719298245614032</v>
      </c>
      <c r="T90" s="405">
        <f t="shared" si="141"/>
        <v>1.9649122807017545</v>
      </c>
      <c r="U90" s="177"/>
      <c r="V90" s="177"/>
      <c r="W90" s="177"/>
      <c r="X90" s="177"/>
      <c r="Y90" s="197"/>
      <c r="Z90" s="182"/>
      <c r="AA90" s="201"/>
      <c r="AB90" s="199"/>
      <c r="AC90" s="197"/>
      <c r="AD90" s="182"/>
      <c r="AE90" s="254">
        <f t="shared" ref="AE90:AJ90" si="142">SUM(AE88:AE89)</f>
        <v>233180</v>
      </c>
      <c r="AF90" s="254">
        <f t="shared" si="142"/>
        <v>282960</v>
      </c>
      <c r="AG90" s="254">
        <f t="shared" si="142"/>
        <v>331430.00000000006</v>
      </c>
      <c r="AH90" s="403">
        <f t="shared" si="142"/>
        <v>7.12</v>
      </c>
      <c r="AI90" s="404">
        <f t="shared" si="142"/>
        <v>8.64</v>
      </c>
      <c r="AJ90" s="405">
        <f t="shared" si="142"/>
        <v>10.120000000000001</v>
      </c>
      <c r="AK90" s="145"/>
      <c r="AL90" s="145"/>
      <c r="AM90" s="145"/>
    </row>
    <row r="91" spans="1:39" x14ac:dyDescent="0.25">
      <c r="A91" s="162" t="s">
        <v>373</v>
      </c>
      <c r="B91" s="9" t="s">
        <v>374</v>
      </c>
      <c r="C91" s="162" t="s">
        <v>411</v>
      </c>
      <c r="D91" s="9" t="s">
        <v>200</v>
      </c>
      <c r="E91" s="134">
        <v>0</v>
      </c>
      <c r="F91" s="134"/>
      <c r="G91" s="134">
        <v>1</v>
      </c>
      <c r="H91" s="134" t="s">
        <v>261</v>
      </c>
      <c r="I91" s="136">
        <v>7.0000000000000007E-2</v>
      </c>
      <c r="J91" s="136">
        <v>7.4999999999999997E-2</v>
      </c>
      <c r="K91" s="136">
        <v>0.08</v>
      </c>
      <c r="L91" s="136">
        <v>0.28999999999999998</v>
      </c>
      <c r="M91" s="136">
        <v>0.32700000000000001</v>
      </c>
      <c r="N91" s="136">
        <v>0.37</v>
      </c>
      <c r="O91" s="252">
        <f t="shared" ref="O91:Q92" si="143">HHProps_SSW*IF($H91="S1",I91,(I91+L91))</f>
        <v>198720</v>
      </c>
      <c r="P91" s="252">
        <f t="shared" si="143"/>
        <v>221904</v>
      </c>
      <c r="Q91" s="252">
        <f t="shared" si="143"/>
        <v>248400</v>
      </c>
      <c r="R91" s="399">
        <f t="shared" ref="R91:T92" si="144">-O91/(IF($H91="S1",($E91-$F91),($E91-$G91))*HHProps_SSW)</f>
        <v>0.36</v>
      </c>
      <c r="S91" s="255">
        <f t="shared" si="144"/>
        <v>0.40200000000000002</v>
      </c>
      <c r="T91" s="400">
        <f t="shared" si="144"/>
        <v>0.45</v>
      </c>
      <c r="U91" s="760">
        <f>E91</f>
        <v>0</v>
      </c>
      <c r="V91" s="760"/>
      <c r="W91" s="760">
        <f>G91</f>
        <v>1</v>
      </c>
      <c r="X91" s="134" t="str">
        <f>H91</f>
        <v>S2</v>
      </c>
      <c r="Y91" s="136">
        <v>1.24</v>
      </c>
      <c r="Z91" s="136">
        <v>1.5</v>
      </c>
      <c r="AA91" s="136">
        <v>1.76</v>
      </c>
      <c r="AB91" s="136">
        <v>1.97</v>
      </c>
      <c r="AC91" s="136">
        <v>2.3879999999999999</v>
      </c>
      <c r="AD91" s="136">
        <v>2.8</v>
      </c>
      <c r="AE91" s="252">
        <f t="shared" ref="AE91:AG92" si="145">HHProps_CAM*IF($H91="S1",Y91,(Y91+AB91))</f>
        <v>420510</v>
      </c>
      <c r="AF91" s="252">
        <f t="shared" si="145"/>
        <v>509328</v>
      </c>
      <c r="AG91" s="252">
        <f t="shared" si="145"/>
        <v>597360</v>
      </c>
      <c r="AH91" s="399">
        <f t="shared" ref="AH91:AJ92" si="146">-AE91/(IF($H91="S1",($U91-$V91),($U91-$W91))*HHProps_CAM)</f>
        <v>3.21</v>
      </c>
      <c r="AI91" s="255">
        <f t="shared" si="146"/>
        <v>3.8879999999999999</v>
      </c>
      <c r="AJ91" s="400">
        <f t="shared" si="146"/>
        <v>4.5599999999999996</v>
      </c>
      <c r="AK91" s="145"/>
      <c r="AL91" s="145"/>
      <c r="AM91" s="145"/>
    </row>
    <row r="92" spans="1:39" x14ac:dyDescent="0.25">
      <c r="A92" s="162" t="s">
        <v>376</v>
      </c>
      <c r="B92" s="9"/>
      <c r="C92" s="162" t="s">
        <v>375</v>
      </c>
      <c r="D92" s="9" t="s">
        <v>188</v>
      </c>
      <c r="E92" s="134">
        <v>0</v>
      </c>
      <c r="F92" s="134"/>
      <c r="G92" s="134">
        <v>1</v>
      </c>
      <c r="H92" s="134" t="s">
        <v>261</v>
      </c>
      <c r="I92" s="136">
        <v>0.08</v>
      </c>
      <c r="J92" s="136">
        <v>8.5999999999999993E-2</v>
      </c>
      <c r="K92" s="136">
        <v>0.09</v>
      </c>
      <c r="L92" s="136">
        <v>0.32</v>
      </c>
      <c r="M92" s="136">
        <v>0.35599999999999998</v>
      </c>
      <c r="N92" s="136">
        <v>0.39</v>
      </c>
      <c r="O92" s="252">
        <f t="shared" si="143"/>
        <v>220800</v>
      </c>
      <c r="P92" s="252">
        <f t="shared" si="143"/>
        <v>243983.99999999997</v>
      </c>
      <c r="Q92" s="252">
        <f t="shared" si="143"/>
        <v>264960</v>
      </c>
      <c r="R92" s="399">
        <f t="shared" si="144"/>
        <v>0.4</v>
      </c>
      <c r="S92" s="255">
        <f t="shared" si="144"/>
        <v>0.44199999999999995</v>
      </c>
      <c r="T92" s="400">
        <f t="shared" si="144"/>
        <v>0.48</v>
      </c>
      <c r="U92" s="760">
        <f>E92</f>
        <v>0</v>
      </c>
      <c r="V92" s="760"/>
      <c r="W92" s="760">
        <f>G92</f>
        <v>1</v>
      </c>
      <c r="X92" s="134" t="str">
        <f>H92</f>
        <v>S2</v>
      </c>
      <c r="Y92" s="136">
        <v>0.99</v>
      </c>
      <c r="Z92" s="136">
        <v>1.133</v>
      </c>
      <c r="AA92" s="136">
        <v>1.28</v>
      </c>
      <c r="AB92" s="136">
        <v>1.54</v>
      </c>
      <c r="AC92" s="136">
        <v>1.7649999999999999</v>
      </c>
      <c r="AD92" s="136">
        <v>1.99</v>
      </c>
      <c r="AE92" s="252">
        <f t="shared" si="145"/>
        <v>331430.00000000006</v>
      </c>
      <c r="AF92" s="252">
        <f t="shared" si="145"/>
        <v>379637.99999999994</v>
      </c>
      <c r="AG92" s="252">
        <f t="shared" si="145"/>
        <v>428370</v>
      </c>
      <c r="AH92" s="399">
        <f t="shared" si="146"/>
        <v>2.5300000000000002</v>
      </c>
      <c r="AI92" s="255">
        <f t="shared" si="146"/>
        <v>2.8979999999999997</v>
      </c>
      <c r="AJ92" s="400">
        <f t="shared" si="146"/>
        <v>3.27</v>
      </c>
      <c r="AK92" s="145"/>
      <c r="AL92" s="145"/>
      <c r="AM92" s="145"/>
    </row>
    <row r="93" spans="1:39" x14ac:dyDescent="0.25">
      <c r="A93" s="9"/>
      <c r="B93" s="9"/>
      <c r="C93" s="9"/>
      <c r="D93" s="9" t="s">
        <v>201</v>
      </c>
      <c r="E93" s="155"/>
      <c r="F93" s="155"/>
      <c r="G93" s="155"/>
      <c r="H93" s="155"/>
      <c r="I93" s="213"/>
      <c r="J93" s="213"/>
      <c r="K93" s="213"/>
      <c r="L93" s="213"/>
      <c r="M93" s="159"/>
      <c r="N93" s="159"/>
      <c r="O93" s="252"/>
      <c r="P93" s="252"/>
      <c r="Q93" s="252"/>
      <c r="R93" s="399"/>
      <c r="S93" s="255"/>
      <c r="T93" s="400"/>
      <c r="U93" s="761"/>
      <c r="V93" s="761"/>
      <c r="W93" s="761"/>
      <c r="X93" s="761"/>
      <c r="Y93" s="136"/>
      <c r="Z93" s="136"/>
      <c r="AA93" s="136"/>
      <c r="AB93" s="136"/>
      <c r="AC93" s="136"/>
      <c r="AD93" s="136"/>
      <c r="AE93" s="252"/>
      <c r="AF93" s="252"/>
      <c r="AG93" s="252"/>
      <c r="AH93" s="399"/>
      <c r="AI93" s="255"/>
      <c r="AJ93" s="400"/>
      <c r="AK93" s="145"/>
      <c r="AL93" s="145"/>
      <c r="AM93" s="145"/>
    </row>
    <row r="94" spans="1:39" x14ac:dyDescent="0.25">
      <c r="A94" s="9"/>
      <c r="B94" s="9"/>
      <c r="C94" s="9"/>
      <c r="D94" s="9" t="s">
        <v>189</v>
      </c>
      <c r="E94" s="155"/>
      <c r="F94" s="155"/>
      <c r="G94" s="155"/>
      <c r="H94" s="155"/>
      <c r="I94" s="213"/>
      <c r="J94" s="213"/>
      <c r="K94" s="213"/>
      <c r="L94" s="213"/>
      <c r="M94" s="159"/>
      <c r="N94" s="159"/>
      <c r="O94" s="252"/>
      <c r="P94" s="252"/>
      <c r="Q94" s="252"/>
      <c r="R94" s="399"/>
      <c r="S94" s="255"/>
      <c r="T94" s="400"/>
      <c r="U94" s="761"/>
      <c r="V94" s="761"/>
      <c r="W94" s="761"/>
      <c r="X94" s="761"/>
      <c r="Y94" s="136"/>
      <c r="Z94" s="136"/>
      <c r="AA94" s="136"/>
      <c r="AB94" s="136"/>
      <c r="AC94" s="136"/>
      <c r="AD94" s="136"/>
      <c r="AE94" s="252"/>
      <c r="AF94" s="252"/>
      <c r="AG94" s="252"/>
      <c r="AH94" s="399"/>
      <c r="AI94" s="255"/>
      <c r="AJ94" s="400"/>
      <c r="AK94" s="145"/>
      <c r="AL94" s="145"/>
      <c r="AM94" s="145"/>
    </row>
    <row r="95" spans="1:39" x14ac:dyDescent="0.25">
      <c r="A95" s="9"/>
      <c r="B95" s="9"/>
      <c r="C95" s="9"/>
      <c r="D95" s="9" t="s">
        <v>202</v>
      </c>
      <c r="E95" s="195">
        <f>E92</f>
        <v>0</v>
      </c>
      <c r="F95" s="195"/>
      <c r="G95" s="195">
        <f>G92</f>
        <v>1</v>
      </c>
      <c r="H95" s="195"/>
      <c r="I95" s="196">
        <f t="shared" ref="I95:U95" si="147">I92</f>
        <v>0.08</v>
      </c>
      <c r="J95" s="196">
        <f t="shared" si="147"/>
        <v>8.5999999999999993E-2</v>
      </c>
      <c r="K95" s="196">
        <f t="shared" si="147"/>
        <v>0.09</v>
      </c>
      <c r="L95" s="196">
        <f t="shared" si="147"/>
        <v>0.32</v>
      </c>
      <c r="M95" s="196">
        <f t="shared" si="147"/>
        <v>0.35599999999999998</v>
      </c>
      <c r="N95" s="196">
        <f t="shared" si="147"/>
        <v>0.39</v>
      </c>
      <c r="O95" s="254">
        <f t="shared" si="147"/>
        <v>220800</v>
      </c>
      <c r="P95" s="254">
        <f t="shared" si="147"/>
        <v>243983.99999999997</v>
      </c>
      <c r="Q95" s="254">
        <f t="shared" si="147"/>
        <v>264960</v>
      </c>
      <c r="R95" s="401">
        <f t="shared" si="147"/>
        <v>0.4</v>
      </c>
      <c r="S95" s="196">
        <f t="shared" si="147"/>
        <v>0.44199999999999995</v>
      </c>
      <c r="T95" s="402">
        <f t="shared" si="147"/>
        <v>0.48</v>
      </c>
      <c r="U95" s="758">
        <f t="shared" si="147"/>
        <v>0</v>
      </c>
      <c r="V95" s="758"/>
      <c r="W95" s="758">
        <f>W92</f>
        <v>1</v>
      </c>
      <c r="X95" s="758"/>
      <c r="Y95" s="196">
        <f t="shared" ref="Y95:AJ95" si="148">Y92</f>
        <v>0.99</v>
      </c>
      <c r="Z95" s="196">
        <f t="shared" si="148"/>
        <v>1.133</v>
      </c>
      <c r="AA95" s="196">
        <f t="shared" si="148"/>
        <v>1.28</v>
      </c>
      <c r="AB95" s="196">
        <f t="shared" si="148"/>
        <v>1.54</v>
      </c>
      <c r="AC95" s="196">
        <f t="shared" si="148"/>
        <v>1.7649999999999999</v>
      </c>
      <c r="AD95" s="196">
        <f t="shared" si="148"/>
        <v>1.99</v>
      </c>
      <c r="AE95" s="254">
        <f t="shared" si="148"/>
        <v>331430.00000000006</v>
      </c>
      <c r="AF95" s="254">
        <f t="shared" si="148"/>
        <v>379637.99999999994</v>
      </c>
      <c r="AG95" s="254">
        <f t="shared" si="148"/>
        <v>428370</v>
      </c>
      <c r="AH95" s="401">
        <f t="shared" si="148"/>
        <v>2.5300000000000002</v>
      </c>
      <c r="AI95" s="196">
        <f t="shared" si="148"/>
        <v>2.8979999999999997</v>
      </c>
      <c r="AJ95" s="402">
        <f t="shared" si="148"/>
        <v>3.27</v>
      </c>
      <c r="AK95" s="145"/>
      <c r="AL95" s="145"/>
      <c r="AM95" s="145"/>
    </row>
    <row r="96" spans="1:39" x14ac:dyDescent="0.25">
      <c r="A96" s="9"/>
      <c r="B96" s="9"/>
      <c r="C96" s="9"/>
      <c r="D96" s="9" t="s">
        <v>203</v>
      </c>
      <c r="E96" s="195"/>
      <c r="F96" s="195"/>
      <c r="G96" s="195"/>
      <c r="H96" s="195"/>
      <c r="I96" s="195"/>
      <c r="J96" s="195"/>
      <c r="K96" s="195"/>
      <c r="L96" s="195"/>
      <c r="M96" s="195"/>
      <c r="N96" s="195"/>
      <c r="O96" s="254"/>
      <c r="P96" s="254"/>
      <c r="Q96" s="254"/>
      <c r="R96" s="401"/>
      <c r="S96" s="196"/>
      <c r="T96" s="402"/>
      <c r="U96" s="758"/>
      <c r="V96" s="758"/>
      <c r="W96" s="758"/>
      <c r="X96" s="758"/>
      <c r="Y96" s="195"/>
      <c r="Z96" s="195"/>
      <c r="AA96" s="195"/>
      <c r="AB96" s="195"/>
      <c r="AC96" s="195"/>
      <c r="AD96" s="195"/>
      <c r="AE96" s="254"/>
      <c r="AF96" s="254"/>
      <c r="AG96" s="254"/>
      <c r="AH96" s="401"/>
      <c r="AI96" s="196"/>
      <c r="AJ96" s="402"/>
      <c r="AK96" s="145"/>
      <c r="AL96" s="145"/>
      <c r="AM96" s="145"/>
    </row>
    <row r="97" spans="1:39" x14ac:dyDescent="0.25">
      <c r="A97" s="9"/>
      <c r="B97" s="9"/>
      <c r="C97" s="9"/>
      <c r="D97" s="9" t="s">
        <v>256</v>
      </c>
      <c r="E97" s="177"/>
      <c r="F97" s="177"/>
      <c r="G97" s="177"/>
      <c r="H97" s="177"/>
      <c r="I97" s="197"/>
      <c r="J97" s="182"/>
      <c r="K97" s="198"/>
      <c r="L97" s="199"/>
      <c r="M97" s="200"/>
      <c r="N97" s="200"/>
      <c r="O97" s="254">
        <f t="shared" ref="O97:T97" si="149">SUM(O95:O96)</f>
        <v>220800</v>
      </c>
      <c r="P97" s="254">
        <f t="shared" si="149"/>
        <v>243983.99999999997</v>
      </c>
      <c r="Q97" s="254">
        <f t="shared" si="149"/>
        <v>264960</v>
      </c>
      <c r="R97" s="403">
        <f t="shared" si="149"/>
        <v>0.4</v>
      </c>
      <c r="S97" s="404">
        <f t="shared" si="149"/>
        <v>0.44199999999999995</v>
      </c>
      <c r="T97" s="405">
        <f t="shared" si="149"/>
        <v>0.48</v>
      </c>
      <c r="U97" s="177"/>
      <c r="V97" s="177"/>
      <c r="W97" s="177"/>
      <c r="X97" s="177"/>
      <c r="Y97" s="197"/>
      <c r="Z97" s="182"/>
      <c r="AA97" s="201"/>
      <c r="AB97" s="199"/>
      <c r="AC97" s="197"/>
      <c r="AD97" s="182"/>
      <c r="AE97" s="254">
        <f t="shared" ref="AE97:AJ97" si="150">SUM(AE95:AE96)</f>
        <v>331430.00000000006</v>
      </c>
      <c r="AF97" s="254">
        <f t="shared" si="150"/>
        <v>379637.99999999994</v>
      </c>
      <c r="AG97" s="254">
        <f t="shared" si="150"/>
        <v>428370</v>
      </c>
      <c r="AH97" s="403">
        <f t="shared" si="150"/>
        <v>2.5300000000000002</v>
      </c>
      <c r="AI97" s="404">
        <f t="shared" si="150"/>
        <v>2.8979999999999997</v>
      </c>
      <c r="AJ97" s="405">
        <f t="shared" si="150"/>
        <v>3.27</v>
      </c>
      <c r="AK97" s="145"/>
      <c r="AL97" s="145"/>
      <c r="AM97" s="145"/>
    </row>
    <row r="98" spans="1:39" ht="18" customHeight="1" x14ac:dyDescent="0.25">
      <c r="A98" s="65" t="s">
        <v>414</v>
      </c>
      <c r="B98" s="62" t="s">
        <v>413</v>
      </c>
      <c r="C98" s="162" t="s">
        <v>415</v>
      </c>
      <c r="D98" s="9" t="s">
        <v>200</v>
      </c>
      <c r="E98" s="257">
        <v>0.11</v>
      </c>
      <c r="F98" s="257">
        <v>0.3</v>
      </c>
      <c r="G98" s="257">
        <v>0.5</v>
      </c>
      <c r="H98" s="257" t="s">
        <v>261</v>
      </c>
      <c r="I98" s="136">
        <v>1.51</v>
      </c>
      <c r="J98" s="136">
        <v>1.68</v>
      </c>
      <c r="K98" s="136">
        <v>1.85</v>
      </c>
      <c r="L98" s="136">
        <v>1.08</v>
      </c>
      <c r="M98" s="136">
        <v>1.2</v>
      </c>
      <c r="N98" s="136">
        <v>1.32</v>
      </c>
      <c r="O98" s="252">
        <f t="shared" ref="O98:Q99" si="151">HHProps_SSW*IF($H98="S1",I98,(I98+L98))</f>
        <v>1429680</v>
      </c>
      <c r="P98" s="252">
        <f t="shared" si="151"/>
        <v>1589760</v>
      </c>
      <c r="Q98" s="252">
        <f t="shared" si="151"/>
        <v>1749840</v>
      </c>
      <c r="R98" s="392">
        <f t="shared" ref="R98:T101" si="152">-O98/(IF($H98="S1",($E98-$F98),($E98-$G98))*100)</f>
        <v>36658.461538461539</v>
      </c>
      <c r="S98" s="252">
        <f t="shared" si="152"/>
        <v>40763.076923076922</v>
      </c>
      <c r="T98" s="393">
        <f t="shared" si="152"/>
        <v>44867.692307692305</v>
      </c>
      <c r="U98" s="257">
        <v>0.11</v>
      </c>
      <c r="V98" s="257">
        <v>0.3</v>
      </c>
      <c r="W98" s="257">
        <v>0.5</v>
      </c>
      <c r="X98" s="134" t="str">
        <f>H98</f>
        <v>S2</v>
      </c>
      <c r="Y98" s="136">
        <v>0.9</v>
      </c>
      <c r="Z98" s="136">
        <v>1.04</v>
      </c>
      <c r="AA98" s="136">
        <v>1.19</v>
      </c>
      <c r="AB98" s="136">
        <v>2</v>
      </c>
      <c r="AC98" s="136">
        <v>2.29</v>
      </c>
      <c r="AD98" s="136">
        <v>2.57</v>
      </c>
      <c r="AE98" s="252">
        <f t="shared" ref="AE98:AG99" si="153">HHProps_CAM*IF($H98="S1",Y98,(Y98+AB98))</f>
        <v>379900</v>
      </c>
      <c r="AF98" s="252">
        <f t="shared" si="153"/>
        <v>436230</v>
      </c>
      <c r="AG98" s="252">
        <f t="shared" si="153"/>
        <v>492560</v>
      </c>
      <c r="AH98" s="392">
        <f t="shared" ref="AH98:AJ101" si="154">-AE98/(IF($H98="S1",($U98-$V98),($U98-$W98))*100)</f>
        <v>9741.0256410256407</v>
      </c>
      <c r="AI98" s="252">
        <f t="shared" si="154"/>
        <v>11185.384615384615</v>
      </c>
      <c r="AJ98" s="393">
        <f t="shared" si="154"/>
        <v>12629.74358974359</v>
      </c>
      <c r="AK98" s="147"/>
      <c r="AL98" s="147"/>
      <c r="AM98" s="147"/>
    </row>
    <row r="99" spans="1:39" x14ac:dyDescent="0.25">
      <c r="A99" s="62"/>
      <c r="B99" s="62"/>
      <c r="C99" s="9"/>
      <c r="D99" s="9" t="s">
        <v>188</v>
      </c>
      <c r="E99" s="257">
        <v>0.11</v>
      </c>
      <c r="F99" s="257">
        <v>0.3</v>
      </c>
      <c r="G99" s="257">
        <v>0.5</v>
      </c>
      <c r="H99" s="257" t="s">
        <v>261</v>
      </c>
      <c r="I99" s="136">
        <v>1.34</v>
      </c>
      <c r="J99" s="136">
        <v>1.51</v>
      </c>
      <c r="K99" s="136">
        <v>1.68</v>
      </c>
      <c r="L99" s="136">
        <v>1.24</v>
      </c>
      <c r="M99" s="136">
        <v>1.4</v>
      </c>
      <c r="N99" s="136">
        <v>1.55</v>
      </c>
      <c r="O99" s="252">
        <f t="shared" si="151"/>
        <v>1424160</v>
      </c>
      <c r="P99" s="252">
        <f t="shared" si="151"/>
        <v>1606320</v>
      </c>
      <c r="Q99" s="252">
        <f t="shared" si="151"/>
        <v>1782960</v>
      </c>
      <c r="R99" s="392">
        <f t="shared" si="152"/>
        <v>36516.923076923078</v>
      </c>
      <c r="S99" s="252">
        <f t="shared" si="152"/>
        <v>41187.692307692305</v>
      </c>
      <c r="T99" s="393">
        <f t="shared" si="152"/>
        <v>45716.923076923078</v>
      </c>
      <c r="U99" s="257">
        <v>0.11</v>
      </c>
      <c r="V99" s="257">
        <v>0.3</v>
      </c>
      <c r="W99" s="257">
        <v>0.5</v>
      </c>
      <c r="X99" s="134" t="str">
        <f>H99</f>
        <v>S2</v>
      </c>
      <c r="Y99" s="136">
        <v>1.79</v>
      </c>
      <c r="Z99" s="136">
        <v>2.1800000000000002</v>
      </c>
      <c r="AA99" s="136">
        <v>2.57</v>
      </c>
      <c r="AB99" s="136">
        <v>8.0500000000000007</v>
      </c>
      <c r="AC99" s="136">
        <v>8.31</v>
      </c>
      <c r="AD99" s="136">
        <v>8.57</v>
      </c>
      <c r="AE99" s="252">
        <f t="shared" si="153"/>
        <v>1289040</v>
      </c>
      <c r="AF99" s="252">
        <f t="shared" si="153"/>
        <v>1374190</v>
      </c>
      <c r="AG99" s="252">
        <f t="shared" si="153"/>
        <v>1459340</v>
      </c>
      <c r="AH99" s="392">
        <f t="shared" si="154"/>
        <v>33052.307692307695</v>
      </c>
      <c r="AI99" s="252">
        <f t="shared" si="154"/>
        <v>35235.641025641024</v>
      </c>
      <c r="AJ99" s="393">
        <f t="shared" si="154"/>
        <v>37418.974358974359</v>
      </c>
      <c r="AK99" s="147"/>
      <c r="AL99" s="147"/>
      <c r="AM99" s="147"/>
    </row>
    <row r="100" spans="1:39" x14ac:dyDescent="0.25">
      <c r="A100" s="62"/>
      <c r="B100" s="62"/>
      <c r="C100" s="9"/>
      <c r="D100" s="9" t="s">
        <v>201</v>
      </c>
      <c r="E100" s="257">
        <v>0.11</v>
      </c>
      <c r="F100" s="257">
        <v>0.3</v>
      </c>
      <c r="G100" s="257">
        <v>0.5</v>
      </c>
      <c r="H100" s="257" t="s">
        <v>261</v>
      </c>
      <c r="I100" s="137">
        <v>4.0000000000000001E-3</v>
      </c>
      <c r="J100" s="137">
        <v>5.0000000000000001E-3</v>
      </c>
      <c r="K100" s="137">
        <v>6.0000000000000001E-3</v>
      </c>
      <c r="L100" s="137">
        <v>0.01</v>
      </c>
      <c r="M100" s="137">
        <v>1.2999999999999999E-2</v>
      </c>
      <c r="N100" s="137">
        <v>1.6E-2</v>
      </c>
      <c r="O100" s="252">
        <f t="shared" ref="O100:Q101" si="155">NHHProps_SSW*AvgNHHBill_SSW*IF($H100="S1",I100,(I100+L100))</f>
        <v>2291632</v>
      </c>
      <c r="P100" s="252">
        <f t="shared" si="155"/>
        <v>2946384</v>
      </c>
      <c r="Q100" s="252">
        <f t="shared" si="155"/>
        <v>3601136</v>
      </c>
      <c r="R100" s="392">
        <f t="shared" si="152"/>
        <v>58759.794871794875</v>
      </c>
      <c r="S100" s="252">
        <f t="shared" si="152"/>
        <v>75548.307692307688</v>
      </c>
      <c r="T100" s="393">
        <f t="shared" si="152"/>
        <v>92336.820512820515</v>
      </c>
      <c r="U100" s="257">
        <v>0.11</v>
      </c>
      <c r="V100" s="257">
        <v>0.3</v>
      </c>
      <c r="W100" s="257">
        <v>0.5</v>
      </c>
      <c r="X100" s="134" t="str">
        <f>H100</f>
        <v>S2</v>
      </c>
      <c r="Y100" s="137">
        <v>0</v>
      </c>
      <c r="Z100" s="142">
        <v>0.13</v>
      </c>
      <c r="AA100" s="142">
        <v>0.40100000000000002</v>
      </c>
      <c r="AB100" s="137">
        <v>0.10100000000000001</v>
      </c>
      <c r="AC100" s="142">
        <v>2.5000000000000001E-2</v>
      </c>
      <c r="AD100" s="142">
        <v>0.316</v>
      </c>
      <c r="AE100" s="252">
        <f t="shared" ref="AE100:AG101" si="156">NHHProps_CAM*AvgNHHBill_CAM*IF($H100="S1",Y100,(Y100+AB100))</f>
        <v>5171200</v>
      </c>
      <c r="AF100" s="252">
        <f t="shared" si="156"/>
        <v>7936000</v>
      </c>
      <c r="AG100" s="252">
        <f t="shared" si="156"/>
        <v>36710400.000000007</v>
      </c>
      <c r="AH100" s="392">
        <f t="shared" si="154"/>
        <v>132594.87179487178</v>
      </c>
      <c r="AI100" s="252">
        <f t="shared" si="154"/>
        <v>203487.1794871795</v>
      </c>
      <c r="AJ100" s="393">
        <f t="shared" si="154"/>
        <v>941292.30769230786</v>
      </c>
      <c r="AK100" s="147"/>
      <c r="AL100" s="147"/>
      <c r="AM100" s="147"/>
    </row>
    <row r="101" spans="1:39" x14ac:dyDescent="0.25">
      <c r="A101" s="62"/>
      <c r="B101" s="62"/>
      <c r="C101" s="9"/>
      <c r="D101" s="9" t="s">
        <v>189</v>
      </c>
      <c r="E101" s="257">
        <v>0.11</v>
      </c>
      <c r="F101" s="257">
        <v>0.3</v>
      </c>
      <c r="G101" s="257">
        <v>0.5</v>
      </c>
      <c r="H101" s="257" t="s">
        <v>261</v>
      </c>
      <c r="I101" s="137">
        <v>0</v>
      </c>
      <c r="J101" s="137">
        <v>2.1999999999999999E-2</v>
      </c>
      <c r="K101" s="137">
        <v>4.7E-2</v>
      </c>
      <c r="L101" s="137">
        <v>0</v>
      </c>
      <c r="M101" s="137">
        <v>1.4E-3</v>
      </c>
      <c r="N101" s="137">
        <v>2E-3</v>
      </c>
      <c r="O101" s="252">
        <f t="shared" si="155"/>
        <v>0</v>
      </c>
      <c r="P101" s="252">
        <f t="shared" si="155"/>
        <v>3830299.1999999997</v>
      </c>
      <c r="Q101" s="252">
        <f t="shared" si="155"/>
        <v>8020712</v>
      </c>
      <c r="R101" s="392">
        <f t="shared" si="152"/>
        <v>0</v>
      </c>
      <c r="S101" s="252">
        <f t="shared" si="152"/>
        <v>98212.799999999988</v>
      </c>
      <c r="T101" s="393">
        <f t="shared" si="152"/>
        <v>205659.28205128206</v>
      </c>
      <c r="U101" s="257">
        <v>0.11</v>
      </c>
      <c r="V101" s="257">
        <v>0.3</v>
      </c>
      <c r="W101" s="257">
        <v>0.5</v>
      </c>
      <c r="X101" s="134" t="str">
        <f>H101</f>
        <v>S2</v>
      </c>
      <c r="Y101" s="137">
        <v>0</v>
      </c>
      <c r="Z101" s="137">
        <v>7.0000000000000001E-3</v>
      </c>
      <c r="AA101" s="137">
        <v>1.4E-2</v>
      </c>
      <c r="AB101" s="137">
        <v>0</v>
      </c>
      <c r="AC101" s="137">
        <v>1E-3</v>
      </c>
      <c r="AD101" s="137">
        <v>0</v>
      </c>
      <c r="AE101" s="252">
        <f t="shared" si="156"/>
        <v>0</v>
      </c>
      <c r="AF101" s="252">
        <f t="shared" si="156"/>
        <v>409600</v>
      </c>
      <c r="AG101" s="252">
        <f t="shared" si="156"/>
        <v>716800</v>
      </c>
      <c r="AH101" s="392">
        <f t="shared" si="154"/>
        <v>0</v>
      </c>
      <c r="AI101" s="252">
        <f t="shared" si="154"/>
        <v>10502.564102564103</v>
      </c>
      <c r="AJ101" s="393">
        <f t="shared" si="154"/>
        <v>18379.48717948718</v>
      </c>
      <c r="AK101" s="147"/>
      <c r="AL101" s="147"/>
      <c r="AM101" s="147"/>
    </row>
    <row r="102" spans="1:39" x14ac:dyDescent="0.25">
      <c r="A102" s="62"/>
      <c r="B102" s="62"/>
      <c r="C102" s="9"/>
      <c r="D102" s="9" t="s">
        <v>202</v>
      </c>
      <c r="E102" s="758">
        <f>E99</f>
        <v>0.11</v>
      </c>
      <c r="F102" s="758">
        <f>F99</f>
        <v>0.3</v>
      </c>
      <c r="G102" s="758">
        <f>G99</f>
        <v>0.5</v>
      </c>
      <c r="H102" s="758"/>
      <c r="I102" s="196">
        <f t="shared" ref="I102:W102" si="157">I99</f>
        <v>1.34</v>
      </c>
      <c r="J102" s="196">
        <f t="shared" si="157"/>
        <v>1.51</v>
      </c>
      <c r="K102" s="196">
        <f t="shared" si="157"/>
        <v>1.68</v>
      </c>
      <c r="L102" s="196">
        <f t="shared" si="157"/>
        <v>1.24</v>
      </c>
      <c r="M102" s="196">
        <f t="shared" si="157"/>
        <v>1.4</v>
      </c>
      <c r="N102" s="196">
        <f t="shared" si="157"/>
        <v>1.55</v>
      </c>
      <c r="O102" s="254">
        <f t="shared" si="157"/>
        <v>1424160</v>
      </c>
      <c r="P102" s="254">
        <f t="shared" si="157"/>
        <v>1606320</v>
      </c>
      <c r="Q102" s="254">
        <f t="shared" si="157"/>
        <v>1782960</v>
      </c>
      <c r="R102" s="394">
        <f t="shared" si="157"/>
        <v>36516.923076923078</v>
      </c>
      <c r="S102" s="256">
        <f t="shared" si="157"/>
        <v>41187.692307692305</v>
      </c>
      <c r="T102" s="395">
        <f t="shared" si="157"/>
        <v>45716.923076923078</v>
      </c>
      <c r="U102" s="195">
        <f t="shared" si="157"/>
        <v>0.11</v>
      </c>
      <c r="V102" s="195">
        <f t="shared" si="157"/>
        <v>0.3</v>
      </c>
      <c r="W102" s="195">
        <f t="shared" si="157"/>
        <v>0.5</v>
      </c>
      <c r="X102" s="195"/>
      <c r="Y102" s="196">
        <f t="shared" ref="Y102:AJ102" si="158">Y99</f>
        <v>1.79</v>
      </c>
      <c r="Z102" s="196">
        <f t="shared" si="158"/>
        <v>2.1800000000000002</v>
      </c>
      <c r="AA102" s="196">
        <f t="shared" si="158"/>
        <v>2.57</v>
      </c>
      <c r="AB102" s="196">
        <f t="shared" si="158"/>
        <v>8.0500000000000007</v>
      </c>
      <c r="AC102" s="196">
        <f t="shared" si="158"/>
        <v>8.31</v>
      </c>
      <c r="AD102" s="196">
        <f t="shared" si="158"/>
        <v>8.57</v>
      </c>
      <c r="AE102" s="254">
        <f t="shared" si="158"/>
        <v>1289040</v>
      </c>
      <c r="AF102" s="254">
        <f t="shared" si="158"/>
        <v>1374190</v>
      </c>
      <c r="AG102" s="254">
        <f t="shared" si="158"/>
        <v>1459340</v>
      </c>
      <c r="AH102" s="394">
        <f t="shared" si="158"/>
        <v>33052.307692307695</v>
      </c>
      <c r="AI102" s="256">
        <f t="shared" si="158"/>
        <v>35235.641025641024</v>
      </c>
      <c r="AJ102" s="395">
        <f t="shared" si="158"/>
        <v>37418.974358974359</v>
      </c>
      <c r="AK102" s="147"/>
      <c r="AL102" s="147"/>
      <c r="AM102" s="147"/>
    </row>
    <row r="103" spans="1:39" x14ac:dyDescent="0.25">
      <c r="A103" s="62"/>
      <c r="B103" s="62"/>
      <c r="C103" s="9"/>
      <c r="D103" s="9" t="s">
        <v>203</v>
      </c>
      <c r="E103" s="758">
        <f>E101</f>
        <v>0.11</v>
      </c>
      <c r="F103" s="758">
        <f>F101</f>
        <v>0.3</v>
      </c>
      <c r="G103" s="758">
        <f>G101</f>
        <v>0.5</v>
      </c>
      <c r="H103" s="758"/>
      <c r="I103" s="195">
        <f t="shared" ref="I103:W103" si="159">I101</f>
        <v>0</v>
      </c>
      <c r="J103" s="195">
        <f t="shared" si="159"/>
        <v>2.1999999999999999E-2</v>
      </c>
      <c r="K103" s="195">
        <f t="shared" si="159"/>
        <v>4.7E-2</v>
      </c>
      <c r="L103" s="195">
        <f t="shared" si="159"/>
        <v>0</v>
      </c>
      <c r="M103" s="195">
        <f t="shared" si="159"/>
        <v>1.4E-3</v>
      </c>
      <c r="N103" s="195">
        <f t="shared" si="159"/>
        <v>2E-3</v>
      </c>
      <c r="O103" s="254">
        <f t="shared" si="159"/>
        <v>0</v>
      </c>
      <c r="P103" s="254">
        <f t="shared" si="159"/>
        <v>3830299.1999999997</v>
      </c>
      <c r="Q103" s="254">
        <f t="shared" si="159"/>
        <v>8020712</v>
      </c>
      <c r="R103" s="394">
        <f t="shared" si="159"/>
        <v>0</v>
      </c>
      <c r="S103" s="256">
        <f t="shared" si="159"/>
        <v>98212.799999999988</v>
      </c>
      <c r="T103" s="395">
        <f t="shared" si="159"/>
        <v>205659.28205128206</v>
      </c>
      <c r="U103" s="195">
        <f t="shared" si="159"/>
        <v>0.11</v>
      </c>
      <c r="V103" s="195">
        <f t="shared" si="159"/>
        <v>0.3</v>
      </c>
      <c r="W103" s="195">
        <f t="shared" si="159"/>
        <v>0.5</v>
      </c>
      <c r="X103" s="195"/>
      <c r="Y103" s="195">
        <f t="shared" ref="Y103:AJ103" si="160">Y101</f>
        <v>0</v>
      </c>
      <c r="Z103" s="195">
        <f t="shared" si="160"/>
        <v>7.0000000000000001E-3</v>
      </c>
      <c r="AA103" s="195">
        <f t="shared" si="160"/>
        <v>1.4E-2</v>
      </c>
      <c r="AB103" s="195">
        <f t="shared" si="160"/>
        <v>0</v>
      </c>
      <c r="AC103" s="195">
        <f t="shared" si="160"/>
        <v>1E-3</v>
      </c>
      <c r="AD103" s="195">
        <f t="shared" si="160"/>
        <v>0</v>
      </c>
      <c r="AE103" s="254">
        <f t="shared" si="160"/>
        <v>0</v>
      </c>
      <c r="AF103" s="254">
        <f t="shared" si="160"/>
        <v>409600</v>
      </c>
      <c r="AG103" s="254">
        <f t="shared" si="160"/>
        <v>716800</v>
      </c>
      <c r="AH103" s="394">
        <f t="shared" si="160"/>
        <v>0</v>
      </c>
      <c r="AI103" s="256">
        <f t="shared" si="160"/>
        <v>10502.564102564103</v>
      </c>
      <c r="AJ103" s="395">
        <f t="shared" si="160"/>
        <v>18379.48717948718</v>
      </c>
      <c r="AK103" s="147"/>
      <c r="AL103" s="147"/>
      <c r="AM103" s="147"/>
    </row>
    <row r="104" spans="1:39" x14ac:dyDescent="0.25">
      <c r="A104" s="62"/>
      <c r="B104" s="62"/>
      <c r="C104" s="9"/>
      <c r="D104" s="9" t="s">
        <v>256</v>
      </c>
      <c r="E104" s="177"/>
      <c r="F104" s="177"/>
      <c r="G104" s="177"/>
      <c r="H104" s="177"/>
      <c r="I104" s="197"/>
      <c r="J104" s="182"/>
      <c r="K104" s="198"/>
      <c r="L104" s="199"/>
      <c r="M104" s="200"/>
      <c r="N104" s="200"/>
      <c r="O104" s="254">
        <f t="shared" ref="O104:T104" si="161">SUM(O102:O103)</f>
        <v>1424160</v>
      </c>
      <c r="P104" s="254">
        <f t="shared" si="161"/>
        <v>5436619.1999999993</v>
      </c>
      <c r="Q104" s="254">
        <f t="shared" si="161"/>
        <v>9803672</v>
      </c>
      <c r="R104" s="396">
        <f t="shared" si="161"/>
        <v>36516.923076923078</v>
      </c>
      <c r="S104" s="397">
        <f t="shared" si="161"/>
        <v>139400.4923076923</v>
      </c>
      <c r="T104" s="398">
        <f t="shared" si="161"/>
        <v>251376.20512820513</v>
      </c>
      <c r="U104" s="177"/>
      <c r="V104" s="177"/>
      <c r="W104" s="177"/>
      <c r="X104" s="177"/>
      <c r="Y104" s="197"/>
      <c r="Z104" s="182"/>
      <c r="AA104" s="201"/>
      <c r="AB104" s="199"/>
      <c r="AC104" s="197"/>
      <c r="AD104" s="182"/>
      <c r="AE104" s="254">
        <f t="shared" ref="AE104:AJ104" si="162">SUM(AE102:AE103)</f>
        <v>1289040</v>
      </c>
      <c r="AF104" s="254">
        <f t="shared" si="162"/>
        <v>1783790</v>
      </c>
      <c r="AG104" s="254">
        <f t="shared" si="162"/>
        <v>2176140</v>
      </c>
      <c r="AH104" s="396">
        <f t="shared" si="162"/>
        <v>33052.307692307695</v>
      </c>
      <c r="AI104" s="397">
        <f t="shared" si="162"/>
        <v>45738.205128205125</v>
      </c>
      <c r="AJ104" s="398">
        <f t="shared" si="162"/>
        <v>55798.461538461539</v>
      </c>
      <c r="AK104" s="147"/>
      <c r="AL104" s="147"/>
      <c r="AM104" s="147"/>
    </row>
    <row r="105" spans="1:39" x14ac:dyDescent="0.25">
      <c r="A105" s="62" t="s">
        <v>112</v>
      </c>
      <c r="B105" s="62" t="s">
        <v>99</v>
      </c>
      <c r="C105" s="162" t="s">
        <v>397</v>
      </c>
      <c r="D105" s="9" t="s">
        <v>200</v>
      </c>
      <c r="E105" s="139">
        <v>0</v>
      </c>
      <c r="F105" s="139">
        <v>19</v>
      </c>
      <c r="G105" s="139">
        <v>30</v>
      </c>
      <c r="H105" s="257" t="s">
        <v>261</v>
      </c>
      <c r="I105" s="136">
        <v>0.39</v>
      </c>
      <c r="J105" s="136">
        <v>0.44</v>
      </c>
      <c r="K105" s="136">
        <v>0.48</v>
      </c>
      <c r="L105" s="136">
        <v>0.15</v>
      </c>
      <c r="M105" s="136">
        <v>0.17</v>
      </c>
      <c r="N105" s="136">
        <v>0.18</v>
      </c>
      <c r="O105" s="252">
        <f t="shared" ref="O105:Q106" si="163">HHProps_SSW*IF($H105="S1",I105,(I105+L105))</f>
        <v>298080</v>
      </c>
      <c r="P105" s="252">
        <f t="shared" si="163"/>
        <v>336720</v>
      </c>
      <c r="Q105" s="252">
        <f t="shared" si="163"/>
        <v>364319.99999999994</v>
      </c>
      <c r="R105" s="392">
        <f t="shared" ref="R105:T108" si="164">-O105/(IF($H105="S1",($E105-$F105),($E105-$G105)))</f>
        <v>9936</v>
      </c>
      <c r="S105" s="252">
        <f t="shared" si="164"/>
        <v>11224</v>
      </c>
      <c r="T105" s="393">
        <f t="shared" si="164"/>
        <v>12143.999999999998</v>
      </c>
      <c r="U105" s="139">
        <v>0</v>
      </c>
      <c r="V105" s="139">
        <v>6</v>
      </c>
      <c r="W105" s="139">
        <v>10</v>
      </c>
      <c r="X105" s="134" t="str">
        <f>H105</f>
        <v>S2</v>
      </c>
      <c r="Y105" s="136">
        <v>0.06</v>
      </c>
      <c r="Z105" s="136">
        <v>7.0000000000000007E-2</v>
      </c>
      <c r="AA105" s="136">
        <v>0.08</v>
      </c>
      <c r="AB105" s="136">
        <v>0.4</v>
      </c>
      <c r="AC105" s="136">
        <v>0.46</v>
      </c>
      <c r="AD105" s="136">
        <v>0.51</v>
      </c>
      <c r="AE105" s="252">
        <f t="shared" ref="AE105:AG106" si="165">HHProps_CAM*IF($H105="S1",Y105,(Y105+AB105))</f>
        <v>60260</v>
      </c>
      <c r="AF105" s="252">
        <f t="shared" si="165"/>
        <v>69430</v>
      </c>
      <c r="AG105" s="252">
        <f t="shared" si="165"/>
        <v>77290</v>
      </c>
      <c r="AH105" s="392">
        <f t="shared" ref="AH105:AJ108" si="166">-AE105/(IF($H105="S1",($U105-$V105),($U105-$W105)))</f>
        <v>6026</v>
      </c>
      <c r="AI105" s="252">
        <f t="shared" si="166"/>
        <v>6943</v>
      </c>
      <c r="AJ105" s="393">
        <f t="shared" si="166"/>
        <v>7729</v>
      </c>
      <c r="AK105" s="147"/>
      <c r="AL105" s="147"/>
      <c r="AM105" s="147"/>
    </row>
    <row r="106" spans="1:39" x14ac:dyDescent="0.25">
      <c r="A106" s="62"/>
      <c r="B106" s="62"/>
      <c r="C106" s="9"/>
      <c r="D106" s="9" t="s">
        <v>188</v>
      </c>
      <c r="E106" s="139">
        <v>0</v>
      </c>
      <c r="F106" s="139">
        <v>19</v>
      </c>
      <c r="G106" s="139">
        <v>30</v>
      </c>
      <c r="H106" s="257" t="s">
        <v>261</v>
      </c>
      <c r="I106" s="136">
        <v>0.37</v>
      </c>
      <c r="J106" s="136">
        <v>0.42</v>
      </c>
      <c r="K106" s="136">
        <v>0.47</v>
      </c>
      <c r="L106" s="136">
        <v>0.14000000000000001</v>
      </c>
      <c r="M106" s="136">
        <v>0.15</v>
      </c>
      <c r="N106" s="136">
        <v>0.17</v>
      </c>
      <c r="O106" s="252">
        <f t="shared" si="163"/>
        <v>281520</v>
      </c>
      <c r="P106" s="252">
        <f t="shared" si="163"/>
        <v>314640</v>
      </c>
      <c r="Q106" s="252">
        <f t="shared" si="163"/>
        <v>353280</v>
      </c>
      <c r="R106" s="392">
        <f t="shared" si="164"/>
        <v>9384</v>
      </c>
      <c r="S106" s="252">
        <f t="shared" si="164"/>
        <v>10488</v>
      </c>
      <c r="T106" s="393">
        <f t="shared" si="164"/>
        <v>11776</v>
      </c>
      <c r="U106" s="139">
        <v>0</v>
      </c>
      <c r="V106" s="139">
        <v>6</v>
      </c>
      <c r="W106" s="139">
        <v>10</v>
      </c>
      <c r="X106" s="134" t="str">
        <f>H106</f>
        <v>S2</v>
      </c>
      <c r="Y106" s="136">
        <v>0.08</v>
      </c>
      <c r="Z106" s="136">
        <v>0.09</v>
      </c>
      <c r="AA106" s="136">
        <v>0.11</v>
      </c>
      <c r="AB106" s="136">
        <v>0.85</v>
      </c>
      <c r="AC106" s="136">
        <v>1.04</v>
      </c>
      <c r="AD106" s="136">
        <v>1.22</v>
      </c>
      <c r="AE106" s="252">
        <f t="shared" si="165"/>
        <v>121829.99999999999</v>
      </c>
      <c r="AF106" s="252">
        <f t="shared" si="165"/>
        <v>148030.00000000003</v>
      </c>
      <c r="AG106" s="252">
        <f t="shared" si="165"/>
        <v>174230</v>
      </c>
      <c r="AH106" s="392">
        <f t="shared" si="166"/>
        <v>12182.999999999998</v>
      </c>
      <c r="AI106" s="252">
        <f t="shared" si="166"/>
        <v>14803.000000000004</v>
      </c>
      <c r="AJ106" s="393">
        <f t="shared" si="166"/>
        <v>17423</v>
      </c>
      <c r="AK106" s="147"/>
      <c r="AL106" s="147"/>
      <c r="AM106" s="147"/>
    </row>
    <row r="107" spans="1:39" x14ac:dyDescent="0.25">
      <c r="A107" s="62"/>
      <c r="B107" s="62"/>
      <c r="C107" s="9"/>
      <c r="D107" s="9" t="s">
        <v>201</v>
      </c>
      <c r="E107" s="139">
        <v>0</v>
      </c>
      <c r="F107" s="139">
        <v>19</v>
      </c>
      <c r="G107" s="139">
        <v>30</v>
      </c>
      <c r="H107" s="257" t="s">
        <v>261</v>
      </c>
      <c r="I107" s="137">
        <v>1E-3</v>
      </c>
      <c r="J107" s="137">
        <v>1E-3</v>
      </c>
      <c r="K107" s="137">
        <v>2E-3</v>
      </c>
      <c r="L107" s="137">
        <v>0</v>
      </c>
      <c r="M107" s="137">
        <v>2.0000000000000001E-4</v>
      </c>
      <c r="N107" s="137">
        <v>0</v>
      </c>
      <c r="O107" s="252">
        <f t="shared" ref="O107:Q108" si="167">NHHProps_SSW*AvgNHHBill_SSW*IF($H107="S1",I107,(I107+L107))</f>
        <v>163688</v>
      </c>
      <c r="P107" s="252">
        <f t="shared" si="167"/>
        <v>196425.60000000001</v>
      </c>
      <c r="Q107" s="252">
        <f t="shared" si="167"/>
        <v>327376</v>
      </c>
      <c r="R107" s="392">
        <f t="shared" si="164"/>
        <v>5456.2666666666664</v>
      </c>
      <c r="S107" s="252">
        <f t="shared" si="164"/>
        <v>6547.52</v>
      </c>
      <c r="T107" s="393">
        <f t="shared" si="164"/>
        <v>10912.533333333333</v>
      </c>
      <c r="U107" s="139">
        <v>0</v>
      </c>
      <c r="V107" s="139">
        <v>6</v>
      </c>
      <c r="W107" s="139">
        <v>10</v>
      </c>
      <c r="X107" s="134" t="str">
        <f>H107</f>
        <v>S2</v>
      </c>
      <c r="Y107" s="137">
        <v>0</v>
      </c>
      <c r="Z107" s="142">
        <v>3.0000000000000001E-3</v>
      </c>
      <c r="AA107" s="142">
        <v>8.9999999999999993E-3</v>
      </c>
      <c r="AB107" s="137">
        <v>0</v>
      </c>
      <c r="AC107" s="142">
        <v>5.0000000000000001E-4</v>
      </c>
      <c r="AD107" s="142">
        <v>1E-3</v>
      </c>
      <c r="AE107" s="252">
        <f t="shared" ref="AE107:AG108" si="168">NHHProps_CAM*AvgNHHBill_CAM*IF($H107="S1",Y107,(Y107+AB107))</f>
        <v>0</v>
      </c>
      <c r="AF107" s="252">
        <f t="shared" si="168"/>
        <v>179200</v>
      </c>
      <c r="AG107" s="252">
        <f t="shared" si="168"/>
        <v>511999.99999999994</v>
      </c>
      <c r="AH107" s="392">
        <f t="shared" si="166"/>
        <v>0</v>
      </c>
      <c r="AI107" s="252">
        <f t="shared" si="166"/>
        <v>17920</v>
      </c>
      <c r="AJ107" s="393">
        <f t="shared" si="166"/>
        <v>51199.999999999993</v>
      </c>
      <c r="AK107" s="147"/>
      <c r="AL107" s="147"/>
      <c r="AM107" s="147"/>
    </row>
    <row r="108" spans="1:39" x14ac:dyDescent="0.25">
      <c r="A108" s="62"/>
      <c r="B108" s="62"/>
      <c r="C108" s="9"/>
      <c r="D108" s="9" t="s">
        <v>189</v>
      </c>
      <c r="E108" s="139">
        <v>0</v>
      </c>
      <c r="F108" s="139">
        <v>19</v>
      </c>
      <c r="G108" s="139">
        <v>30</v>
      </c>
      <c r="H108" s="257" t="s">
        <v>261</v>
      </c>
      <c r="I108" s="137">
        <v>0</v>
      </c>
      <c r="J108" s="137">
        <v>1E-3</v>
      </c>
      <c r="K108" s="137">
        <v>2E-3</v>
      </c>
      <c r="L108" s="137">
        <v>0</v>
      </c>
      <c r="M108" s="137">
        <v>5.0000000000000001E-4</v>
      </c>
      <c r="N108" s="137">
        <v>1E-3</v>
      </c>
      <c r="O108" s="252">
        <f t="shared" si="167"/>
        <v>0</v>
      </c>
      <c r="P108" s="252">
        <f t="shared" si="167"/>
        <v>245532</v>
      </c>
      <c r="Q108" s="252">
        <f t="shared" si="167"/>
        <v>491064</v>
      </c>
      <c r="R108" s="392">
        <f t="shared" si="164"/>
        <v>0</v>
      </c>
      <c r="S108" s="252">
        <f t="shared" si="164"/>
        <v>8184.4</v>
      </c>
      <c r="T108" s="393">
        <f t="shared" si="164"/>
        <v>16368.8</v>
      </c>
      <c r="U108" s="139">
        <v>0</v>
      </c>
      <c r="V108" s="139">
        <v>6</v>
      </c>
      <c r="W108" s="139">
        <v>10</v>
      </c>
      <c r="X108" s="134" t="str">
        <f>H108</f>
        <v>S2</v>
      </c>
      <c r="Y108" s="137">
        <v>0</v>
      </c>
      <c r="Z108" s="137">
        <v>1E-3</v>
      </c>
      <c r="AA108" s="137">
        <v>1E-3</v>
      </c>
      <c r="AB108" s="137">
        <v>0</v>
      </c>
      <c r="AC108" s="137">
        <v>0</v>
      </c>
      <c r="AD108" s="137">
        <v>0</v>
      </c>
      <c r="AE108" s="252">
        <f t="shared" si="168"/>
        <v>0</v>
      </c>
      <c r="AF108" s="252">
        <f t="shared" si="168"/>
        <v>51200</v>
      </c>
      <c r="AG108" s="252">
        <f t="shared" si="168"/>
        <v>51200</v>
      </c>
      <c r="AH108" s="392">
        <f t="shared" si="166"/>
        <v>0</v>
      </c>
      <c r="AI108" s="252">
        <f t="shared" si="166"/>
        <v>5120</v>
      </c>
      <c r="AJ108" s="393">
        <f t="shared" si="166"/>
        <v>5120</v>
      </c>
      <c r="AK108" s="147"/>
      <c r="AL108" s="147"/>
      <c r="AM108" s="147"/>
    </row>
    <row r="109" spans="1:39" x14ac:dyDescent="0.25">
      <c r="A109" s="62"/>
      <c r="B109" s="62"/>
      <c r="C109" s="9"/>
      <c r="D109" s="9" t="s">
        <v>202</v>
      </c>
      <c r="E109" s="209">
        <f>E106</f>
        <v>0</v>
      </c>
      <c r="F109" s="209">
        <f>F106</f>
        <v>19</v>
      </c>
      <c r="G109" s="209">
        <f>G106</f>
        <v>30</v>
      </c>
      <c r="H109" s="209"/>
      <c r="I109" s="196">
        <f t="shared" ref="I109:W109" si="169">I106</f>
        <v>0.37</v>
      </c>
      <c r="J109" s="196">
        <f t="shared" si="169"/>
        <v>0.42</v>
      </c>
      <c r="K109" s="196">
        <f t="shared" si="169"/>
        <v>0.47</v>
      </c>
      <c r="L109" s="196">
        <f t="shared" si="169"/>
        <v>0.14000000000000001</v>
      </c>
      <c r="M109" s="196">
        <f t="shared" si="169"/>
        <v>0.15</v>
      </c>
      <c r="N109" s="196">
        <f t="shared" si="169"/>
        <v>0.17</v>
      </c>
      <c r="O109" s="254">
        <f t="shared" si="169"/>
        <v>281520</v>
      </c>
      <c r="P109" s="254">
        <f t="shared" si="169"/>
        <v>314640</v>
      </c>
      <c r="Q109" s="254">
        <f t="shared" si="169"/>
        <v>353280</v>
      </c>
      <c r="R109" s="394">
        <f t="shared" si="169"/>
        <v>9384</v>
      </c>
      <c r="S109" s="256">
        <f t="shared" si="169"/>
        <v>10488</v>
      </c>
      <c r="T109" s="395">
        <f t="shared" si="169"/>
        <v>11776</v>
      </c>
      <c r="U109" s="195">
        <f t="shared" si="169"/>
        <v>0</v>
      </c>
      <c r="V109" s="195">
        <f t="shared" si="169"/>
        <v>6</v>
      </c>
      <c r="W109" s="195">
        <f t="shared" si="169"/>
        <v>10</v>
      </c>
      <c r="X109" s="195"/>
      <c r="Y109" s="196">
        <f t="shared" ref="Y109:AJ109" si="170">Y106</f>
        <v>0.08</v>
      </c>
      <c r="Z109" s="196">
        <f t="shared" si="170"/>
        <v>0.09</v>
      </c>
      <c r="AA109" s="196">
        <f t="shared" si="170"/>
        <v>0.11</v>
      </c>
      <c r="AB109" s="196">
        <f t="shared" si="170"/>
        <v>0.85</v>
      </c>
      <c r="AC109" s="196">
        <f t="shared" si="170"/>
        <v>1.04</v>
      </c>
      <c r="AD109" s="196">
        <f t="shared" si="170"/>
        <v>1.22</v>
      </c>
      <c r="AE109" s="254">
        <f t="shared" si="170"/>
        <v>121829.99999999999</v>
      </c>
      <c r="AF109" s="254">
        <f t="shared" si="170"/>
        <v>148030.00000000003</v>
      </c>
      <c r="AG109" s="254">
        <f t="shared" si="170"/>
        <v>174230</v>
      </c>
      <c r="AH109" s="394">
        <f t="shared" si="170"/>
        <v>12182.999999999998</v>
      </c>
      <c r="AI109" s="256">
        <f t="shared" si="170"/>
        <v>14803.000000000004</v>
      </c>
      <c r="AJ109" s="395">
        <f t="shared" si="170"/>
        <v>17423</v>
      </c>
      <c r="AK109" s="147"/>
      <c r="AL109" s="147"/>
      <c r="AM109" s="147"/>
    </row>
    <row r="110" spans="1:39" x14ac:dyDescent="0.25">
      <c r="A110" s="62"/>
      <c r="B110" s="62"/>
      <c r="C110" s="9"/>
      <c r="D110" s="9" t="s">
        <v>203</v>
      </c>
      <c r="E110" s="209">
        <f>E108</f>
        <v>0</v>
      </c>
      <c r="F110" s="209">
        <f>F108</f>
        <v>19</v>
      </c>
      <c r="G110" s="209">
        <f>G108</f>
        <v>30</v>
      </c>
      <c r="H110" s="209"/>
      <c r="I110" s="195">
        <f t="shared" ref="I110:W110" si="171">I108</f>
        <v>0</v>
      </c>
      <c r="J110" s="195">
        <f t="shared" si="171"/>
        <v>1E-3</v>
      </c>
      <c r="K110" s="195">
        <f t="shared" si="171"/>
        <v>2E-3</v>
      </c>
      <c r="L110" s="195">
        <f t="shared" si="171"/>
        <v>0</v>
      </c>
      <c r="M110" s="195">
        <f t="shared" si="171"/>
        <v>5.0000000000000001E-4</v>
      </c>
      <c r="N110" s="195">
        <f t="shared" si="171"/>
        <v>1E-3</v>
      </c>
      <c r="O110" s="254">
        <f t="shared" si="171"/>
        <v>0</v>
      </c>
      <c r="P110" s="254">
        <f t="shared" si="171"/>
        <v>245532</v>
      </c>
      <c r="Q110" s="254">
        <f t="shared" si="171"/>
        <v>491064</v>
      </c>
      <c r="R110" s="394">
        <f t="shared" si="171"/>
        <v>0</v>
      </c>
      <c r="S110" s="256">
        <f t="shared" si="171"/>
        <v>8184.4</v>
      </c>
      <c r="T110" s="395">
        <f t="shared" si="171"/>
        <v>16368.8</v>
      </c>
      <c r="U110" s="195">
        <f t="shared" si="171"/>
        <v>0</v>
      </c>
      <c r="V110" s="195">
        <f t="shared" si="171"/>
        <v>6</v>
      </c>
      <c r="W110" s="195">
        <f t="shared" si="171"/>
        <v>10</v>
      </c>
      <c r="X110" s="195"/>
      <c r="Y110" s="195">
        <f t="shared" ref="Y110:AJ110" si="172">Y108</f>
        <v>0</v>
      </c>
      <c r="Z110" s="195">
        <f t="shared" si="172"/>
        <v>1E-3</v>
      </c>
      <c r="AA110" s="195">
        <f t="shared" si="172"/>
        <v>1E-3</v>
      </c>
      <c r="AB110" s="195">
        <f t="shared" si="172"/>
        <v>0</v>
      </c>
      <c r="AC110" s="195">
        <f t="shared" si="172"/>
        <v>0</v>
      </c>
      <c r="AD110" s="195">
        <f t="shared" si="172"/>
        <v>0</v>
      </c>
      <c r="AE110" s="254">
        <f t="shared" si="172"/>
        <v>0</v>
      </c>
      <c r="AF110" s="254">
        <f t="shared" si="172"/>
        <v>51200</v>
      </c>
      <c r="AG110" s="254">
        <f t="shared" si="172"/>
        <v>51200</v>
      </c>
      <c r="AH110" s="394">
        <f t="shared" si="172"/>
        <v>0</v>
      </c>
      <c r="AI110" s="256">
        <f t="shared" si="172"/>
        <v>5120</v>
      </c>
      <c r="AJ110" s="395">
        <f t="shared" si="172"/>
        <v>5120</v>
      </c>
      <c r="AK110" s="147"/>
      <c r="AL110" s="147"/>
      <c r="AM110" s="147"/>
    </row>
    <row r="111" spans="1:39" x14ac:dyDescent="0.25">
      <c r="A111" s="62"/>
      <c r="B111" s="62"/>
      <c r="C111" s="9"/>
      <c r="D111" s="9" t="s">
        <v>256</v>
      </c>
      <c r="E111" s="177"/>
      <c r="F111" s="177"/>
      <c r="G111" s="177"/>
      <c r="H111" s="177"/>
      <c r="I111" s="197"/>
      <c r="J111" s="182"/>
      <c r="K111" s="198"/>
      <c r="L111" s="199"/>
      <c r="M111" s="200"/>
      <c r="N111" s="200"/>
      <c r="O111" s="254">
        <f t="shared" ref="O111:T111" si="173">SUM(O109:O110)</f>
        <v>281520</v>
      </c>
      <c r="P111" s="254">
        <f t="shared" si="173"/>
        <v>560172</v>
      </c>
      <c r="Q111" s="254">
        <f t="shared" si="173"/>
        <v>844344</v>
      </c>
      <c r="R111" s="396">
        <f t="shared" si="173"/>
        <v>9384</v>
      </c>
      <c r="S111" s="397">
        <f t="shared" si="173"/>
        <v>18672.400000000001</v>
      </c>
      <c r="T111" s="398">
        <f t="shared" si="173"/>
        <v>28144.799999999999</v>
      </c>
      <c r="U111" s="177"/>
      <c r="V111" s="177"/>
      <c r="W111" s="177"/>
      <c r="X111" s="177"/>
      <c r="Y111" s="197"/>
      <c r="Z111" s="182"/>
      <c r="AA111" s="201"/>
      <c r="AB111" s="199"/>
      <c r="AC111" s="197"/>
      <c r="AD111" s="182"/>
      <c r="AE111" s="254">
        <f t="shared" ref="AE111:AJ111" si="174">SUM(AE109:AE110)</f>
        <v>121829.99999999999</v>
      </c>
      <c r="AF111" s="254">
        <f t="shared" si="174"/>
        <v>199230.00000000003</v>
      </c>
      <c r="AG111" s="254">
        <f t="shared" si="174"/>
        <v>225430</v>
      </c>
      <c r="AH111" s="396">
        <f t="shared" si="174"/>
        <v>12182.999999999998</v>
      </c>
      <c r="AI111" s="397">
        <f t="shared" si="174"/>
        <v>19923.000000000004</v>
      </c>
      <c r="AJ111" s="398">
        <f t="shared" si="174"/>
        <v>22543</v>
      </c>
      <c r="AK111" s="147"/>
      <c r="AL111" s="147"/>
      <c r="AM111" s="147"/>
    </row>
    <row r="112" spans="1:39" x14ac:dyDescent="0.25">
      <c r="A112" s="62" t="s">
        <v>89</v>
      </c>
      <c r="B112" s="9" t="s">
        <v>100</v>
      </c>
      <c r="C112" s="162" t="s">
        <v>397</v>
      </c>
      <c r="D112" s="9" t="s">
        <v>200</v>
      </c>
      <c r="E112" s="139">
        <v>0</v>
      </c>
      <c r="F112" s="139">
        <v>150</v>
      </c>
      <c r="G112" s="139">
        <v>200</v>
      </c>
      <c r="H112" s="257" t="s">
        <v>261</v>
      </c>
      <c r="I112" s="136">
        <v>0.12</v>
      </c>
      <c r="J112" s="136">
        <v>0.13</v>
      </c>
      <c r="K112" s="136">
        <v>0.14000000000000001</v>
      </c>
      <c r="L112" s="136">
        <v>0.35</v>
      </c>
      <c r="M112" s="136">
        <v>0.39</v>
      </c>
      <c r="N112" s="136">
        <v>0.44</v>
      </c>
      <c r="O112" s="252">
        <f t="shared" ref="O112:Q113" si="175">HHProps_SSW*IF($H112="S1",I112,(I112+L112))</f>
        <v>259439.99999999997</v>
      </c>
      <c r="P112" s="252">
        <f t="shared" si="175"/>
        <v>287040</v>
      </c>
      <c r="Q112" s="252">
        <f t="shared" si="175"/>
        <v>320160.00000000006</v>
      </c>
      <c r="R112" s="392">
        <f t="shared" ref="R112:T115" si="176">-O112/(IF($H112="S1",($E112-$F112),($E112-$G112)))</f>
        <v>1297.1999999999998</v>
      </c>
      <c r="S112" s="252">
        <f t="shared" si="176"/>
        <v>1435.2</v>
      </c>
      <c r="T112" s="393">
        <f t="shared" si="176"/>
        <v>1600.8000000000002</v>
      </c>
      <c r="U112" s="139">
        <v>0</v>
      </c>
      <c r="V112" s="139">
        <v>50</v>
      </c>
      <c r="W112" s="139">
        <v>100</v>
      </c>
      <c r="X112" s="134" t="str">
        <f>H112</f>
        <v>S2</v>
      </c>
      <c r="Y112" s="136">
        <v>0.12</v>
      </c>
      <c r="Z112" s="136">
        <v>0.13</v>
      </c>
      <c r="AA112" s="136">
        <v>0.15</v>
      </c>
      <c r="AB112" s="136">
        <v>0.32</v>
      </c>
      <c r="AC112" s="136">
        <v>0.38</v>
      </c>
      <c r="AD112" s="136">
        <v>0.43</v>
      </c>
      <c r="AE112" s="252">
        <f t="shared" ref="AE112:AG113" si="177">HHProps_CAM*IF($H112="S1",Y112,(Y112+AB112))</f>
        <v>57640</v>
      </c>
      <c r="AF112" s="252">
        <f t="shared" si="177"/>
        <v>66810</v>
      </c>
      <c r="AG112" s="252">
        <f t="shared" si="177"/>
        <v>75980</v>
      </c>
      <c r="AH112" s="392">
        <f t="shared" ref="AH112:AJ115" si="178">-AE112/(IF($H112="S1",($U112-$V112),($U112-$W112)))</f>
        <v>576.4</v>
      </c>
      <c r="AI112" s="252">
        <f t="shared" si="178"/>
        <v>668.1</v>
      </c>
      <c r="AJ112" s="393">
        <f t="shared" si="178"/>
        <v>759.8</v>
      </c>
      <c r="AK112" s="145"/>
      <c r="AL112" s="145"/>
      <c r="AM112" s="145"/>
    </row>
    <row r="113" spans="1:39" x14ac:dyDescent="0.25">
      <c r="A113" s="62"/>
      <c r="B113" s="9"/>
      <c r="C113" s="9"/>
      <c r="D113" s="9" t="s">
        <v>188</v>
      </c>
      <c r="E113" s="139">
        <v>0</v>
      </c>
      <c r="F113" s="139">
        <v>150</v>
      </c>
      <c r="G113" s="139">
        <v>200</v>
      </c>
      <c r="H113" s="257" t="s">
        <v>261</v>
      </c>
      <c r="I113" s="136">
        <v>0.14000000000000001</v>
      </c>
      <c r="J113" s="136">
        <v>0.16</v>
      </c>
      <c r="K113" s="136">
        <v>0.18</v>
      </c>
      <c r="L113" s="136">
        <v>0.31</v>
      </c>
      <c r="M113" s="136">
        <v>0.36</v>
      </c>
      <c r="N113" s="136">
        <v>0.4</v>
      </c>
      <c r="O113" s="252">
        <f t="shared" si="175"/>
        <v>248400</v>
      </c>
      <c r="P113" s="252">
        <f t="shared" si="175"/>
        <v>287040</v>
      </c>
      <c r="Q113" s="252">
        <f t="shared" si="175"/>
        <v>320160.00000000006</v>
      </c>
      <c r="R113" s="392">
        <f t="shared" si="176"/>
        <v>1242</v>
      </c>
      <c r="S113" s="252">
        <f t="shared" si="176"/>
        <v>1435.2</v>
      </c>
      <c r="T113" s="393">
        <f t="shared" si="176"/>
        <v>1600.8000000000002</v>
      </c>
      <c r="U113" s="139">
        <v>0</v>
      </c>
      <c r="V113" s="139">
        <v>50</v>
      </c>
      <c r="W113" s="139">
        <v>100</v>
      </c>
      <c r="X113" s="134" t="str">
        <f>H113</f>
        <v>S2</v>
      </c>
      <c r="Y113" s="136">
        <v>0.16</v>
      </c>
      <c r="Z113" s="136">
        <v>0.19</v>
      </c>
      <c r="AA113" s="136">
        <v>0.22</v>
      </c>
      <c r="AB113" s="136">
        <v>1.04</v>
      </c>
      <c r="AC113" s="136">
        <v>1.27</v>
      </c>
      <c r="AD113" s="136">
        <v>1.49</v>
      </c>
      <c r="AE113" s="252">
        <f t="shared" si="177"/>
        <v>157200</v>
      </c>
      <c r="AF113" s="252">
        <f t="shared" si="177"/>
        <v>191260</v>
      </c>
      <c r="AG113" s="252">
        <f t="shared" si="177"/>
        <v>224010</v>
      </c>
      <c r="AH113" s="392">
        <f t="shared" si="178"/>
        <v>1572</v>
      </c>
      <c r="AI113" s="252">
        <f t="shared" si="178"/>
        <v>1912.6</v>
      </c>
      <c r="AJ113" s="393">
        <f t="shared" si="178"/>
        <v>2240.1</v>
      </c>
      <c r="AK113" s="145"/>
      <c r="AL113" s="145"/>
      <c r="AM113" s="145"/>
    </row>
    <row r="114" spans="1:39" x14ac:dyDescent="0.25">
      <c r="A114" s="62"/>
      <c r="B114" s="9"/>
      <c r="C114" s="9"/>
      <c r="D114" s="9" t="s">
        <v>201</v>
      </c>
      <c r="E114" s="139">
        <v>0</v>
      </c>
      <c r="F114" s="139">
        <v>150</v>
      </c>
      <c r="G114" s="139">
        <v>200</v>
      </c>
      <c r="H114" s="257" t="s">
        <v>261</v>
      </c>
      <c r="I114" s="137">
        <v>7.0000000000000001E-3</v>
      </c>
      <c r="J114" s="137">
        <v>8.0000000000000002E-3</v>
      </c>
      <c r="K114" s="137">
        <v>0.01</v>
      </c>
      <c r="L114" s="137">
        <v>0</v>
      </c>
      <c r="M114" s="137">
        <v>0</v>
      </c>
      <c r="N114" s="137">
        <v>0</v>
      </c>
      <c r="O114" s="252">
        <f t="shared" ref="O114:Q115" si="179">NHHProps_SSW*AvgNHHBill_SSW*IF($H114="S1",I114,(I114+L114))</f>
        <v>1145816</v>
      </c>
      <c r="P114" s="252">
        <f t="shared" si="179"/>
        <v>1309504</v>
      </c>
      <c r="Q114" s="252">
        <f t="shared" si="179"/>
        <v>1636880</v>
      </c>
      <c r="R114" s="392">
        <f t="shared" si="176"/>
        <v>5729.08</v>
      </c>
      <c r="S114" s="252">
        <f t="shared" si="176"/>
        <v>6547.52</v>
      </c>
      <c r="T114" s="393">
        <f t="shared" si="176"/>
        <v>8184.4</v>
      </c>
      <c r="U114" s="139">
        <v>0</v>
      </c>
      <c r="V114" s="139">
        <v>50</v>
      </c>
      <c r="W114" s="139">
        <v>100</v>
      </c>
      <c r="X114" s="134" t="str">
        <f>H114</f>
        <v>S2</v>
      </c>
      <c r="Y114" s="137">
        <v>3.0000000000000001E-3</v>
      </c>
      <c r="Z114" s="142">
        <v>2.5000000000000001E-2</v>
      </c>
      <c r="AA114" s="142">
        <v>4.7E-2</v>
      </c>
      <c r="AB114" s="137">
        <v>0</v>
      </c>
      <c r="AC114" s="142">
        <v>9.4000000000000004E-3</v>
      </c>
      <c r="AD114" s="142">
        <v>0.02</v>
      </c>
      <c r="AE114" s="252">
        <f t="shared" ref="AE114:AG115" si="180">NHHProps_CAM*AvgNHHBill_CAM*IF($H114="S1",Y114,(Y114+AB114))</f>
        <v>153600</v>
      </c>
      <c r="AF114" s="252">
        <f t="shared" si="180"/>
        <v>1761280</v>
      </c>
      <c r="AG114" s="252">
        <f t="shared" si="180"/>
        <v>3430400</v>
      </c>
      <c r="AH114" s="392">
        <f t="shared" si="178"/>
        <v>1536</v>
      </c>
      <c r="AI114" s="252">
        <f t="shared" si="178"/>
        <v>17612.8</v>
      </c>
      <c r="AJ114" s="393">
        <f t="shared" si="178"/>
        <v>34304</v>
      </c>
      <c r="AK114" s="145"/>
      <c r="AL114" s="145"/>
      <c r="AM114" s="145"/>
    </row>
    <row r="115" spans="1:39" x14ac:dyDescent="0.25">
      <c r="A115" s="62"/>
      <c r="B115" s="9"/>
      <c r="C115" s="9"/>
      <c r="D115" s="9" t="s">
        <v>189</v>
      </c>
      <c r="E115" s="139">
        <v>0</v>
      </c>
      <c r="F115" s="139">
        <v>150</v>
      </c>
      <c r="G115" s="139">
        <v>200</v>
      </c>
      <c r="H115" s="257" t="s">
        <v>261</v>
      </c>
      <c r="I115" s="137">
        <v>2E-3</v>
      </c>
      <c r="J115" s="137">
        <v>8.0000000000000002E-3</v>
      </c>
      <c r="K115" s="137">
        <v>1.2999999999999999E-2</v>
      </c>
      <c r="L115" s="137">
        <v>0</v>
      </c>
      <c r="M115" s="137">
        <v>0</v>
      </c>
      <c r="N115" s="137">
        <v>0</v>
      </c>
      <c r="O115" s="252">
        <f t="shared" si="179"/>
        <v>327376</v>
      </c>
      <c r="P115" s="252">
        <f t="shared" si="179"/>
        <v>1309504</v>
      </c>
      <c r="Q115" s="252">
        <f t="shared" si="179"/>
        <v>2127944</v>
      </c>
      <c r="R115" s="392">
        <f t="shared" si="176"/>
        <v>1636.88</v>
      </c>
      <c r="S115" s="252">
        <f t="shared" si="176"/>
        <v>6547.52</v>
      </c>
      <c r="T115" s="393">
        <f t="shared" si="176"/>
        <v>10639.72</v>
      </c>
      <c r="U115" s="139">
        <v>0</v>
      </c>
      <c r="V115" s="139">
        <v>50</v>
      </c>
      <c r="W115" s="139">
        <v>100</v>
      </c>
      <c r="X115" s="134" t="str">
        <f>H115</f>
        <v>S2</v>
      </c>
      <c r="Y115" s="137">
        <v>0</v>
      </c>
      <c r="Z115" s="137">
        <v>2.5999999999999999E-2</v>
      </c>
      <c r="AA115" s="137">
        <v>5.0999999999999997E-2</v>
      </c>
      <c r="AB115" s="137">
        <v>0</v>
      </c>
      <c r="AC115" s="137">
        <v>0</v>
      </c>
      <c r="AD115" s="137">
        <v>0</v>
      </c>
      <c r="AE115" s="252">
        <f t="shared" si="180"/>
        <v>0</v>
      </c>
      <c r="AF115" s="252">
        <f t="shared" si="180"/>
        <v>1331200</v>
      </c>
      <c r="AG115" s="252">
        <f t="shared" si="180"/>
        <v>2611200</v>
      </c>
      <c r="AH115" s="392">
        <f t="shared" si="178"/>
        <v>0</v>
      </c>
      <c r="AI115" s="252">
        <f t="shared" si="178"/>
        <v>13312</v>
      </c>
      <c r="AJ115" s="393">
        <f t="shared" si="178"/>
        <v>26112</v>
      </c>
      <c r="AK115" s="145"/>
      <c r="AL115" s="145"/>
      <c r="AM115" s="145"/>
    </row>
    <row r="116" spans="1:39" x14ac:dyDescent="0.25">
      <c r="A116" s="62"/>
      <c r="B116" s="9"/>
      <c r="C116" s="9"/>
      <c r="D116" s="9" t="s">
        <v>202</v>
      </c>
      <c r="E116" s="209">
        <f>E113</f>
        <v>0</v>
      </c>
      <c r="F116" s="209">
        <f>F113</f>
        <v>150</v>
      </c>
      <c r="G116" s="209">
        <f>G113</f>
        <v>200</v>
      </c>
      <c r="H116" s="209"/>
      <c r="I116" s="196">
        <f t="shared" ref="I116:W116" si="181">I113</f>
        <v>0.14000000000000001</v>
      </c>
      <c r="J116" s="196">
        <f t="shared" si="181"/>
        <v>0.16</v>
      </c>
      <c r="K116" s="196">
        <f t="shared" si="181"/>
        <v>0.18</v>
      </c>
      <c r="L116" s="196">
        <f t="shared" si="181"/>
        <v>0.31</v>
      </c>
      <c r="M116" s="196">
        <f t="shared" si="181"/>
        <v>0.36</v>
      </c>
      <c r="N116" s="196">
        <f t="shared" si="181"/>
        <v>0.4</v>
      </c>
      <c r="O116" s="254">
        <f t="shared" si="181"/>
        <v>248400</v>
      </c>
      <c r="P116" s="254">
        <f t="shared" si="181"/>
        <v>287040</v>
      </c>
      <c r="Q116" s="254">
        <f t="shared" si="181"/>
        <v>320160.00000000006</v>
      </c>
      <c r="R116" s="394">
        <f t="shared" si="181"/>
        <v>1242</v>
      </c>
      <c r="S116" s="256">
        <f t="shared" si="181"/>
        <v>1435.2</v>
      </c>
      <c r="T116" s="395">
        <f t="shared" si="181"/>
        <v>1600.8000000000002</v>
      </c>
      <c r="U116" s="195">
        <f t="shared" si="181"/>
        <v>0</v>
      </c>
      <c r="V116" s="195">
        <f t="shared" si="181"/>
        <v>50</v>
      </c>
      <c r="W116" s="195">
        <f t="shared" si="181"/>
        <v>100</v>
      </c>
      <c r="X116" s="195"/>
      <c r="Y116" s="196">
        <f t="shared" ref="Y116:AJ116" si="182">Y113</f>
        <v>0.16</v>
      </c>
      <c r="Z116" s="196">
        <f t="shared" si="182"/>
        <v>0.19</v>
      </c>
      <c r="AA116" s="196">
        <f t="shared" si="182"/>
        <v>0.22</v>
      </c>
      <c r="AB116" s="196">
        <f t="shared" si="182"/>
        <v>1.04</v>
      </c>
      <c r="AC116" s="196">
        <f t="shared" si="182"/>
        <v>1.27</v>
      </c>
      <c r="AD116" s="196">
        <f t="shared" si="182"/>
        <v>1.49</v>
      </c>
      <c r="AE116" s="254">
        <f t="shared" si="182"/>
        <v>157200</v>
      </c>
      <c r="AF116" s="254">
        <f t="shared" si="182"/>
        <v>191260</v>
      </c>
      <c r="AG116" s="254">
        <f t="shared" si="182"/>
        <v>224010</v>
      </c>
      <c r="AH116" s="394">
        <f t="shared" si="182"/>
        <v>1572</v>
      </c>
      <c r="AI116" s="256">
        <f t="shared" si="182"/>
        <v>1912.6</v>
      </c>
      <c r="AJ116" s="395">
        <f t="shared" si="182"/>
        <v>2240.1</v>
      </c>
      <c r="AK116" s="145"/>
      <c r="AL116" s="145"/>
      <c r="AM116" s="145"/>
    </row>
    <row r="117" spans="1:39" x14ac:dyDescent="0.25">
      <c r="A117" s="62"/>
      <c r="B117" s="9"/>
      <c r="C117" s="9"/>
      <c r="D117" s="9" t="s">
        <v>203</v>
      </c>
      <c r="E117" s="209">
        <f>E115</f>
        <v>0</v>
      </c>
      <c r="F117" s="209">
        <f>F115</f>
        <v>150</v>
      </c>
      <c r="G117" s="209">
        <f>G115</f>
        <v>200</v>
      </c>
      <c r="H117" s="209"/>
      <c r="I117" s="195">
        <f t="shared" ref="I117:W117" si="183">I115</f>
        <v>2E-3</v>
      </c>
      <c r="J117" s="195">
        <f t="shared" si="183"/>
        <v>8.0000000000000002E-3</v>
      </c>
      <c r="K117" s="195">
        <f t="shared" si="183"/>
        <v>1.2999999999999999E-2</v>
      </c>
      <c r="L117" s="195">
        <f t="shared" si="183"/>
        <v>0</v>
      </c>
      <c r="M117" s="195">
        <f t="shared" si="183"/>
        <v>0</v>
      </c>
      <c r="N117" s="195">
        <f t="shared" si="183"/>
        <v>0</v>
      </c>
      <c r="O117" s="254">
        <f t="shared" si="183"/>
        <v>327376</v>
      </c>
      <c r="P117" s="254">
        <f t="shared" si="183"/>
        <v>1309504</v>
      </c>
      <c r="Q117" s="254">
        <f t="shared" si="183"/>
        <v>2127944</v>
      </c>
      <c r="R117" s="394">
        <f t="shared" si="183"/>
        <v>1636.88</v>
      </c>
      <c r="S117" s="256">
        <f t="shared" si="183"/>
        <v>6547.52</v>
      </c>
      <c r="T117" s="395">
        <f t="shared" si="183"/>
        <v>10639.72</v>
      </c>
      <c r="U117" s="195">
        <f t="shared" si="183"/>
        <v>0</v>
      </c>
      <c r="V117" s="195">
        <f t="shared" si="183"/>
        <v>50</v>
      </c>
      <c r="W117" s="195">
        <f t="shared" si="183"/>
        <v>100</v>
      </c>
      <c r="X117" s="195"/>
      <c r="Y117" s="195">
        <f t="shared" ref="Y117:AJ117" si="184">Y115</f>
        <v>0</v>
      </c>
      <c r="Z117" s="195">
        <f t="shared" si="184"/>
        <v>2.5999999999999999E-2</v>
      </c>
      <c r="AA117" s="195">
        <f t="shared" si="184"/>
        <v>5.0999999999999997E-2</v>
      </c>
      <c r="AB117" s="195">
        <f t="shared" si="184"/>
        <v>0</v>
      </c>
      <c r="AC117" s="195">
        <f t="shared" si="184"/>
        <v>0</v>
      </c>
      <c r="AD117" s="195">
        <f t="shared" si="184"/>
        <v>0</v>
      </c>
      <c r="AE117" s="254">
        <f t="shared" si="184"/>
        <v>0</v>
      </c>
      <c r="AF117" s="254">
        <f t="shared" si="184"/>
        <v>1331200</v>
      </c>
      <c r="AG117" s="254">
        <f t="shared" si="184"/>
        <v>2611200</v>
      </c>
      <c r="AH117" s="394">
        <f t="shared" si="184"/>
        <v>0</v>
      </c>
      <c r="AI117" s="256">
        <f t="shared" si="184"/>
        <v>13312</v>
      </c>
      <c r="AJ117" s="395">
        <f t="shared" si="184"/>
        <v>26112</v>
      </c>
      <c r="AK117" s="145"/>
      <c r="AL117" s="145"/>
      <c r="AM117" s="145"/>
    </row>
    <row r="118" spans="1:39" x14ac:dyDescent="0.25">
      <c r="A118" s="62"/>
      <c r="B118" s="9"/>
      <c r="C118" s="9"/>
      <c r="D118" s="9" t="s">
        <v>256</v>
      </c>
      <c r="E118" s="177"/>
      <c r="F118" s="177"/>
      <c r="G118" s="177"/>
      <c r="H118" s="177"/>
      <c r="I118" s="197"/>
      <c r="J118" s="182"/>
      <c r="K118" s="198"/>
      <c r="L118" s="199"/>
      <c r="M118" s="200"/>
      <c r="N118" s="200"/>
      <c r="O118" s="254">
        <f t="shared" ref="O118:T118" si="185">SUM(O116:O117)</f>
        <v>575776</v>
      </c>
      <c r="P118" s="254">
        <f t="shared" si="185"/>
        <v>1596544</v>
      </c>
      <c r="Q118" s="254">
        <f t="shared" si="185"/>
        <v>2448104</v>
      </c>
      <c r="R118" s="396">
        <f t="shared" si="185"/>
        <v>2878.88</v>
      </c>
      <c r="S118" s="397">
        <f t="shared" si="185"/>
        <v>7982.72</v>
      </c>
      <c r="T118" s="398">
        <f t="shared" si="185"/>
        <v>12240.52</v>
      </c>
      <c r="U118" s="177"/>
      <c r="V118" s="177"/>
      <c r="W118" s="177"/>
      <c r="X118" s="177"/>
      <c r="Y118" s="197"/>
      <c r="Z118" s="182"/>
      <c r="AA118" s="201"/>
      <c r="AB118" s="199"/>
      <c r="AC118" s="197"/>
      <c r="AD118" s="182"/>
      <c r="AE118" s="254">
        <f t="shared" ref="AE118:AJ118" si="186">SUM(AE116:AE117)</f>
        <v>157200</v>
      </c>
      <c r="AF118" s="254">
        <f t="shared" si="186"/>
        <v>1522460</v>
      </c>
      <c r="AG118" s="254">
        <f t="shared" si="186"/>
        <v>2835210</v>
      </c>
      <c r="AH118" s="396">
        <f t="shared" si="186"/>
        <v>1572</v>
      </c>
      <c r="AI118" s="397">
        <f t="shared" si="186"/>
        <v>15224.6</v>
      </c>
      <c r="AJ118" s="398">
        <f t="shared" si="186"/>
        <v>28352.1</v>
      </c>
      <c r="AK118" s="145"/>
      <c r="AL118" s="145"/>
      <c r="AM118" s="145"/>
    </row>
    <row r="119" spans="1:39" x14ac:dyDescent="0.25">
      <c r="A119" s="9" t="s">
        <v>111</v>
      </c>
      <c r="B119" s="9" t="s">
        <v>97</v>
      </c>
      <c r="C119" s="9" t="s">
        <v>409</v>
      </c>
      <c r="D119" s="9" t="s">
        <v>200</v>
      </c>
      <c r="E119" s="139">
        <f>1</f>
        <v>1</v>
      </c>
      <c r="F119" s="139">
        <v>0.5</v>
      </c>
      <c r="G119" s="139">
        <v>0.2</v>
      </c>
      <c r="H119" s="257" t="s">
        <v>261</v>
      </c>
      <c r="I119" s="136">
        <v>7.0000000000000007E-2</v>
      </c>
      <c r="J119" s="136">
        <v>0.08</v>
      </c>
      <c r="K119" s="136">
        <v>0.08</v>
      </c>
      <c r="L119" s="136">
        <v>0.42</v>
      </c>
      <c r="M119" s="136">
        <v>0.47</v>
      </c>
      <c r="N119" s="136">
        <v>0.52</v>
      </c>
      <c r="O119" s="252">
        <f t="shared" ref="O119:Q120" si="187">HHProps_SSW*IF($H119="S1",I119,(I119+L119))</f>
        <v>270480</v>
      </c>
      <c r="P119" s="252">
        <f t="shared" si="187"/>
        <v>303599.99999999994</v>
      </c>
      <c r="Q119" s="252">
        <f t="shared" si="187"/>
        <v>331200</v>
      </c>
      <c r="R119" s="392"/>
      <c r="S119" s="252"/>
      <c r="T119" s="393"/>
      <c r="U119" s="139">
        <f>1</f>
        <v>1</v>
      </c>
      <c r="V119" s="139">
        <v>0.5</v>
      </c>
      <c r="W119" s="139">
        <v>0.2</v>
      </c>
      <c r="X119" s="134" t="str">
        <f>H119</f>
        <v>S2</v>
      </c>
      <c r="Y119" s="136">
        <v>0.18</v>
      </c>
      <c r="Z119" s="136">
        <v>0.2</v>
      </c>
      <c r="AA119" s="136">
        <v>0.23</v>
      </c>
      <c r="AB119" s="136">
        <v>0.6</v>
      </c>
      <c r="AC119" s="136">
        <v>0.68</v>
      </c>
      <c r="AD119" s="136">
        <v>0.75</v>
      </c>
      <c r="AE119" s="252">
        <f t="shared" ref="AE119:AG120" si="188">HHProps_CAM*IF($H119="S1",Y119,(Y119+AB119))</f>
        <v>102180</v>
      </c>
      <c r="AF119" s="252">
        <f t="shared" si="188"/>
        <v>115280.00000000001</v>
      </c>
      <c r="AG119" s="252">
        <f t="shared" si="188"/>
        <v>128380</v>
      </c>
      <c r="AH119" s="392"/>
      <c r="AI119" s="252"/>
      <c r="AJ119" s="393"/>
      <c r="AK119" s="145"/>
      <c r="AL119" s="145"/>
      <c r="AM119" s="145"/>
    </row>
    <row r="120" spans="1:39" x14ac:dyDescent="0.25">
      <c r="A120" s="9"/>
      <c r="B120" s="9"/>
      <c r="C120" s="9" t="s">
        <v>408</v>
      </c>
      <c r="D120" s="9" t="s">
        <v>188</v>
      </c>
      <c r="E120" s="140">
        <f>5*365/3</f>
        <v>608.33333333333337</v>
      </c>
      <c r="F120" s="140">
        <f>3*365/3</f>
        <v>365</v>
      </c>
      <c r="G120" s="140">
        <f>2*365/3</f>
        <v>243.33333333333334</v>
      </c>
      <c r="H120" s="257" t="s">
        <v>261</v>
      </c>
      <c r="I120" s="136">
        <v>0.05</v>
      </c>
      <c r="J120" s="136">
        <v>0.06</v>
      </c>
      <c r="K120" s="136">
        <v>7.0000000000000007E-2</v>
      </c>
      <c r="L120" s="136">
        <v>0.41</v>
      </c>
      <c r="M120" s="136">
        <v>0.46</v>
      </c>
      <c r="N120" s="136">
        <v>0.51</v>
      </c>
      <c r="O120" s="252">
        <f t="shared" si="187"/>
        <v>253919.99999999997</v>
      </c>
      <c r="P120" s="252">
        <f t="shared" si="187"/>
        <v>287040</v>
      </c>
      <c r="Q120" s="252">
        <f t="shared" si="187"/>
        <v>320160.00000000006</v>
      </c>
      <c r="R120" s="392">
        <f>O120/(IF($H120="S1",($E120-$F120),($E120-$G120)))</f>
        <v>695.67123287671222</v>
      </c>
      <c r="S120" s="252">
        <f>P120/(IF($H120="S1",($E120-$F120),($E120-$G120)))</f>
        <v>786.41095890410963</v>
      </c>
      <c r="T120" s="393">
        <f>Q120/(IF($H120="S1",($E120-$F120),($E120-$G120)))</f>
        <v>877.15068493150704</v>
      </c>
      <c r="U120" s="140">
        <f>3*365/3</f>
        <v>365</v>
      </c>
      <c r="V120" s="140">
        <f>2*365/3</f>
        <v>243.33333333333334</v>
      </c>
      <c r="W120" s="140">
        <f>1*365/3</f>
        <v>121.66666666666667</v>
      </c>
      <c r="X120" s="134" t="str">
        <f>H120</f>
        <v>S2</v>
      </c>
      <c r="Y120" s="136">
        <v>0.19</v>
      </c>
      <c r="Z120" s="136">
        <v>0.21</v>
      </c>
      <c r="AA120" s="136">
        <v>0.23</v>
      </c>
      <c r="AB120" s="136">
        <v>0.44</v>
      </c>
      <c r="AC120" s="136">
        <v>0.51</v>
      </c>
      <c r="AD120" s="136">
        <v>0.56999999999999995</v>
      </c>
      <c r="AE120" s="252">
        <f t="shared" si="188"/>
        <v>82530</v>
      </c>
      <c r="AF120" s="252">
        <f t="shared" si="188"/>
        <v>94320</v>
      </c>
      <c r="AG120" s="252">
        <f t="shared" si="188"/>
        <v>104799.99999999999</v>
      </c>
      <c r="AH120" s="392">
        <f>AE120/(IF($H120="S1",($U120-$V120),($U120-$W120)))</f>
        <v>339.16438356164389</v>
      </c>
      <c r="AI120" s="252">
        <f>AF120/(IF($H120="S1",($U120-$V120),($U120-$W120)))</f>
        <v>387.61643835616439</v>
      </c>
      <c r="AJ120" s="393">
        <f>AG120/(IF($H120="S1",($U120-$V120),($U120-$W120)))</f>
        <v>430.6849315068493</v>
      </c>
      <c r="AK120" s="145"/>
      <c r="AL120" s="145"/>
      <c r="AM120" s="145"/>
    </row>
    <row r="121" spans="1:39" x14ac:dyDescent="0.25">
      <c r="A121" s="9"/>
      <c r="B121" s="9"/>
      <c r="C121" s="162" t="s">
        <v>410</v>
      </c>
      <c r="D121" s="9" t="s">
        <v>201</v>
      </c>
      <c r="E121" s="139">
        <f>1</f>
        <v>1</v>
      </c>
      <c r="F121" s="139">
        <v>0.5</v>
      </c>
      <c r="G121" s="139">
        <v>0.2</v>
      </c>
      <c r="H121" s="257" t="s">
        <v>261</v>
      </c>
      <c r="I121" s="137">
        <v>0</v>
      </c>
      <c r="J121" s="137">
        <v>0</v>
      </c>
      <c r="K121" s="137">
        <v>1E-3</v>
      </c>
      <c r="L121" s="137">
        <v>4.0000000000000001E-3</v>
      </c>
      <c r="M121" s="137">
        <v>4.0000000000000001E-3</v>
      </c>
      <c r="N121" s="137">
        <v>4.0000000000000001E-3</v>
      </c>
      <c r="O121" s="252">
        <f t="shared" ref="O121:Q122" si="189">NHHProps_SSW*AvgNHHBill_SSW*IF($H121="S1",I121,(I121+L121))</f>
        <v>654752</v>
      </c>
      <c r="P121" s="252">
        <f t="shared" si="189"/>
        <v>654752</v>
      </c>
      <c r="Q121" s="252">
        <f t="shared" si="189"/>
        <v>818440</v>
      </c>
      <c r="R121" s="392"/>
      <c r="S121" s="252"/>
      <c r="T121" s="393"/>
      <c r="U121" s="139">
        <f>1</f>
        <v>1</v>
      </c>
      <c r="V121" s="139">
        <v>0.5</v>
      </c>
      <c r="W121" s="139">
        <v>0.2</v>
      </c>
      <c r="X121" s="134" t="str">
        <f>H121</f>
        <v>S2</v>
      </c>
      <c r="Y121" s="137">
        <v>1E-3</v>
      </c>
      <c r="Z121" s="142">
        <v>1E-3</v>
      </c>
      <c r="AA121" s="142">
        <v>1E-3</v>
      </c>
      <c r="AB121" s="137">
        <v>3.0000000000000001E-3</v>
      </c>
      <c r="AC121" s="142">
        <v>3.0000000000000001E-3</v>
      </c>
      <c r="AD121" s="142">
        <v>4.0000000000000001E-3</v>
      </c>
      <c r="AE121" s="252">
        <f t="shared" ref="AE121:AG122" si="190">NHHProps_CAM*AvgNHHBill_CAM*IF($H121="S1",Y121,(Y121+AB121))</f>
        <v>204800</v>
      </c>
      <c r="AF121" s="252">
        <f t="shared" si="190"/>
        <v>204800</v>
      </c>
      <c r="AG121" s="252">
        <f t="shared" si="190"/>
        <v>256000</v>
      </c>
      <c r="AH121" s="392"/>
      <c r="AI121" s="252"/>
      <c r="AJ121" s="393"/>
      <c r="AK121" s="145"/>
      <c r="AL121" s="145"/>
      <c r="AM121" s="145"/>
    </row>
    <row r="122" spans="1:39" x14ac:dyDescent="0.25">
      <c r="A122" s="9"/>
      <c r="B122" s="9"/>
      <c r="C122" s="9"/>
      <c r="D122" s="9" t="s">
        <v>189</v>
      </c>
      <c r="E122" s="140">
        <f>5*365/3</f>
        <v>608.33333333333337</v>
      </c>
      <c r="F122" s="140">
        <f>3*365/3</f>
        <v>365</v>
      </c>
      <c r="G122" s="140">
        <f>2*365/3</f>
        <v>243.33333333333334</v>
      </c>
      <c r="H122" s="257" t="s">
        <v>261</v>
      </c>
      <c r="I122" s="137">
        <v>1E-3</v>
      </c>
      <c r="J122" s="137">
        <v>1E-3</v>
      </c>
      <c r="K122" s="137">
        <v>1E-3</v>
      </c>
      <c r="L122" s="137">
        <v>1E-3</v>
      </c>
      <c r="M122" s="137">
        <v>1E-3</v>
      </c>
      <c r="N122" s="137">
        <v>2E-3</v>
      </c>
      <c r="O122" s="252">
        <f t="shared" si="189"/>
        <v>327376</v>
      </c>
      <c r="P122" s="252">
        <f t="shared" si="189"/>
        <v>327376</v>
      </c>
      <c r="Q122" s="252">
        <f t="shared" si="189"/>
        <v>491064</v>
      </c>
      <c r="R122" s="392">
        <f>O122/(IF($H122="S1",($E122-$F122),($E122-$G122)))</f>
        <v>896.9205479452055</v>
      </c>
      <c r="S122" s="252">
        <f>P122/(IF($H122="S1",($E122-$F122),($E122-$G122)))</f>
        <v>896.9205479452055</v>
      </c>
      <c r="T122" s="393">
        <f>Q122/(IF($H122="S1",($E122-$F122),($E122-$G122)))</f>
        <v>1345.3808219178081</v>
      </c>
      <c r="U122" s="140">
        <f>3*365/3</f>
        <v>365</v>
      </c>
      <c r="V122" s="140">
        <f>2*365/3</f>
        <v>243.33333333333334</v>
      </c>
      <c r="W122" s="140">
        <f>1*365/3</f>
        <v>121.66666666666667</v>
      </c>
      <c r="X122" s="134" t="str">
        <f>H122</f>
        <v>S2</v>
      </c>
      <c r="Y122" s="137">
        <v>2E-3</v>
      </c>
      <c r="Z122" s="137">
        <v>3.0000000000000001E-3</v>
      </c>
      <c r="AA122" s="137">
        <v>3.0000000000000001E-3</v>
      </c>
      <c r="AB122" s="137">
        <v>4.0000000000000001E-3</v>
      </c>
      <c r="AC122" s="137">
        <v>5.0000000000000001E-3</v>
      </c>
      <c r="AD122" s="137">
        <v>6.0000000000000001E-3</v>
      </c>
      <c r="AE122" s="252">
        <f t="shared" si="190"/>
        <v>307200</v>
      </c>
      <c r="AF122" s="252">
        <f t="shared" si="190"/>
        <v>409600</v>
      </c>
      <c r="AG122" s="252">
        <f t="shared" si="190"/>
        <v>460800.00000000006</v>
      </c>
      <c r="AH122" s="392">
        <f>AE122/(IF($H122="S1",($U122-$V122),($U122-$W122)))</f>
        <v>1262.4657534246576</v>
      </c>
      <c r="AI122" s="252">
        <f>AF122/(IF($H122="S1",($U122-$V122),($U122-$W122)))</f>
        <v>1683.2876712328768</v>
      </c>
      <c r="AJ122" s="393">
        <f>AG122/(IF($H122="S1",($U122-$V122),($U122-$W122)))</f>
        <v>1893.6986301369866</v>
      </c>
      <c r="AK122" s="145"/>
      <c r="AL122" s="145"/>
      <c r="AM122" s="145"/>
    </row>
    <row r="123" spans="1:39" x14ac:dyDescent="0.25">
      <c r="A123" s="9"/>
      <c r="B123" s="9"/>
      <c r="C123" s="9"/>
      <c r="D123" s="9" t="s">
        <v>202</v>
      </c>
      <c r="E123" s="207">
        <f>E120</f>
        <v>608.33333333333337</v>
      </c>
      <c r="F123" s="207">
        <f>F120</f>
        <v>365</v>
      </c>
      <c r="G123" s="207">
        <f>G120</f>
        <v>243.33333333333334</v>
      </c>
      <c r="H123" s="207"/>
      <c r="I123" s="196">
        <f t="shared" ref="I123:W123" si="191">I120</f>
        <v>0.05</v>
      </c>
      <c r="J123" s="196">
        <f t="shared" si="191"/>
        <v>0.06</v>
      </c>
      <c r="K123" s="196">
        <f t="shared" si="191"/>
        <v>7.0000000000000007E-2</v>
      </c>
      <c r="L123" s="196">
        <f t="shared" si="191"/>
        <v>0.41</v>
      </c>
      <c r="M123" s="196">
        <f t="shared" si="191"/>
        <v>0.46</v>
      </c>
      <c r="N123" s="196">
        <f t="shared" si="191"/>
        <v>0.51</v>
      </c>
      <c r="O123" s="254">
        <f t="shared" si="191"/>
        <v>253919.99999999997</v>
      </c>
      <c r="P123" s="254">
        <f t="shared" si="191"/>
        <v>287040</v>
      </c>
      <c r="Q123" s="254">
        <f t="shared" si="191"/>
        <v>320160.00000000006</v>
      </c>
      <c r="R123" s="394">
        <f t="shared" si="191"/>
        <v>695.67123287671222</v>
      </c>
      <c r="S123" s="256">
        <f t="shared" si="191"/>
        <v>786.41095890410963</v>
      </c>
      <c r="T123" s="395">
        <f t="shared" si="191"/>
        <v>877.15068493150704</v>
      </c>
      <c r="U123" s="195">
        <f t="shared" si="191"/>
        <v>365</v>
      </c>
      <c r="V123" s="195">
        <f t="shared" si="191"/>
        <v>243.33333333333334</v>
      </c>
      <c r="W123" s="195">
        <f t="shared" si="191"/>
        <v>121.66666666666667</v>
      </c>
      <c r="X123" s="195"/>
      <c r="Y123" s="196">
        <f t="shared" ref="Y123:AJ123" si="192">Y120</f>
        <v>0.19</v>
      </c>
      <c r="Z123" s="196">
        <f t="shared" si="192"/>
        <v>0.21</v>
      </c>
      <c r="AA123" s="196">
        <f t="shared" si="192"/>
        <v>0.23</v>
      </c>
      <c r="AB123" s="196">
        <f t="shared" si="192"/>
        <v>0.44</v>
      </c>
      <c r="AC123" s="196">
        <f t="shared" si="192"/>
        <v>0.51</v>
      </c>
      <c r="AD123" s="196">
        <f t="shared" si="192"/>
        <v>0.56999999999999995</v>
      </c>
      <c r="AE123" s="254">
        <f t="shared" si="192"/>
        <v>82530</v>
      </c>
      <c r="AF123" s="254">
        <f t="shared" si="192"/>
        <v>94320</v>
      </c>
      <c r="AG123" s="254">
        <f t="shared" si="192"/>
        <v>104799.99999999999</v>
      </c>
      <c r="AH123" s="394">
        <f t="shared" si="192"/>
        <v>339.16438356164389</v>
      </c>
      <c r="AI123" s="256">
        <f t="shared" si="192"/>
        <v>387.61643835616439</v>
      </c>
      <c r="AJ123" s="395">
        <f t="shared" si="192"/>
        <v>430.6849315068493</v>
      </c>
      <c r="AK123" s="145"/>
      <c r="AL123" s="145"/>
      <c r="AM123" s="145"/>
    </row>
    <row r="124" spans="1:39" x14ac:dyDescent="0.25">
      <c r="A124" s="9"/>
      <c r="B124" s="9"/>
      <c r="C124" s="9"/>
      <c r="D124" s="9" t="s">
        <v>203</v>
      </c>
      <c r="E124" s="207">
        <f>E122</f>
        <v>608.33333333333337</v>
      </c>
      <c r="F124" s="207">
        <f>F122</f>
        <v>365</v>
      </c>
      <c r="G124" s="207">
        <f>G122</f>
        <v>243.33333333333334</v>
      </c>
      <c r="H124" s="207"/>
      <c r="I124" s="195">
        <f t="shared" ref="I124:W124" si="193">I122</f>
        <v>1E-3</v>
      </c>
      <c r="J124" s="195">
        <f t="shared" si="193"/>
        <v>1E-3</v>
      </c>
      <c r="K124" s="195">
        <f t="shared" si="193"/>
        <v>1E-3</v>
      </c>
      <c r="L124" s="195">
        <f t="shared" si="193"/>
        <v>1E-3</v>
      </c>
      <c r="M124" s="195">
        <f t="shared" si="193"/>
        <v>1E-3</v>
      </c>
      <c r="N124" s="195">
        <f t="shared" si="193"/>
        <v>2E-3</v>
      </c>
      <c r="O124" s="254">
        <f t="shared" si="193"/>
        <v>327376</v>
      </c>
      <c r="P124" s="254">
        <f t="shared" si="193"/>
        <v>327376</v>
      </c>
      <c r="Q124" s="254">
        <f t="shared" si="193"/>
        <v>491064</v>
      </c>
      <c r="R124" s="394">
        <f t="shared" si="193"/>
        <v>896.9205479452055</v>
      </c>
      <c r="S124" s="256">
        <f t="shared" si="193"/>
        <v>896.9205479452055</v>
      </c>
      <c r="T124" s="395">
        <f t="shared" si="193"/>
        <v>1345.3808219178081</v>
      </c>
      <c r="U124" s="195">
        <f t="shared" si="193"/>
        <v>365</v>
      </c>
      <c r="V124" s="195">
        <f t="shared" si="193"/>
        <v>243.33333333333334</v>
      </c>
      <c r="W124" s="195">
        <f t="shared" si="193"/>
        <v>121.66666666666667</v>
      </c>
      <c r="X124" s="195"/>
      <c r="Y124" s="195">
        <f t="shared" ref="Y124:AJ124" si="194">Y122</f>
        <v>2E-3</v>
      </c>
      <c r="Z124" s="195">
        <f t="shared" si="194"/>
        <v>3.0000000000000001E-3</v>
      </c>
      <c r="AA124" s="195">
        <f t="shared" si="194"/>
        <v>3.0000000000000001E-3</v>
      </c>
      <c r="AB124" s="195">
        <f t="shared" si="194"/>
        <v>4.0000000000000001E-3</v>
      </c>
      <c r="AC124" s="195">
        <f t="shared" si="194"/>
        <v>5.0000000000000001E-3</v>
      </c>
      <c r="AD124" s="195">
        <f t="shared" si="194"/>
        <v>6.0000000000000001E-3</v>
      </c>
      <c r="AE124" s="254">
        <f t="shared" si="194"/>
        <v>307200</v>
      </c>
      <c r="AF124" s="254">
        <f t="shared" si="194"/>
        <v>409600</v>
      </c>
      <c r="AG124" s="254">
        <f t="shared" si="194"/>
        <v>460800.00000000006</v>
      </c>
      <c r="AH124" s="394">
        <f t="shared" si="194"/>
        <v>1262.4657534246576</v>
      </c>
      <c r="AI124" s="256">
        <f t="shared" si="194"/>
        <v>1683.2876712328768</v>
      </c>
      <c r="AJ124" s="395">
        <f t="shared" si="194"/>
        <v>1893.6986301369866</v>
      </c>
      <c r="AK124" s="145"/>
      <c r="AL124" s="145"/>
      <c r="AM124" s="145"/>
    </row>
    <row r="125" spans="1:39" x14ac:dyDescent="0.25">
      <c r="A125" s="9"/>
      <c r="B125" s="9"/>
      <c r="C125" s="9"/>
      <c r="D125" s="9" t="s">
        <v>256</v>
      </c>
      <c r="E125" s="177"/>
      <c r="F125" s="177"/>
      <c r="G125" s="177"/>
      <c r="H125" s="177"/>
      <c r="I125" s="197"/>
      <c r="J125" s="182"/>
      <c r="K125" s="198"/>
      <c r="L125" s="199"/>
      <c r="M125" s="200"/>
      <c r="N125" s="200"/>
      <c r="O125" s="254">
        <f t="shared" ref="O125:T125" si="195">SUM(O123:O124)</f>
        <v>581296</v>
      </c>
      <c r="P125" s="254">
        <f t="shared" si="195"/>
        <v>614416</v>
      </c>
      <c r="Q125" s="254">
        <f t="shared" si="195"/>
        <v>811224</v>
      </c>
      <c r="R125" s="396">
        <f t="shared" si="195"/>
        <v>1592.5917808219178</v>
      </c>
      <c r="S125" s="397">
        <f t="shared" si="195"/>
        <v>1683.3315068493152</v>
      </c>
      <c r="T125" s="398">
        <f t="shared" si="195"/>
        <v>2222.5315068493151</v>
      </c>
      <c r="U125" s="177"/>
      <c r="V125" s="177"/>
      <c r="W125" s="177"/>
      <c r="X125" s="177"/>
      <c r="Y125" s="197"/>
      <c r="Z125" s="182"/>
      <c r="AA125" s="201"/>
      <c r="AB125" s="199"/>
      <c r="AC125" s="197"/>
      <c r="AD125" s="182"/>
      <c r="AE125" s="254">
        <f t="shared" ref="AE125:AJ125" si="196">SUM(AE123:AE124)</f>
        <v>389730</v>
      </c>
      <c r="AF125" s="254">
        <f t="shared" si="196"/>
        <v>503920</v>
      </c>
      <c r="AG125" s="254">
        <f t="shared" si="196"/>
        <v>565600</v>
      </c>
      <c r="AH125" s="396">
        <f t="shared" si="196"/>
        <v>1601.6301369863015</v>
      </c>
      <c r="AI125" s="397">
        <f t="shared" si="196"/>
        <v>2070.9041095890411</v>
      </c>
      <c r="AJ125" s="398">
        <f t="shared" si="196"/>
        <v>2324.3835616438359</v>
      </c>
      <c r="AK125" s="145"/>
      <c r="AL125" s="145"/>
      <c r="AM125" s="145"/>
    </row>
    <row r="126" spans="1:39" x14ac:dyDescent="0.25">
      <c r="U126" s="145"/>
      <c r="V126" s="145"/>
      <c r="W126" s="145"/>
      <c r="X126" s="145"/>
      <c r="Y126" s="145"/>
      <c r="Z126" s="145"/>
      <c r="AA126" s="145"/>
      <c r="AB126" s="145"/>
      <c r="AC126" s="145"/>
      <c r="AD126" s="145"/>
      <c r="AK126" s="145"/>
      <c r="AL126" s="145"/>
      <c r="AM126" s="145"/>
    </row>
    <row r="127" spans="1:39" s="175" customFormat="1" x14ac:dyDescent="0.25">
      <c r="A127" s="64"/>
      <c r="B127" s="64"/>
      <c r="C127" s="64"/>
      <c r="D127" s="64"/>
      <c r="E127" s="64"/>
      <c r="F127" s="64"/>
      <c r="G127" s="64"/>
      <c r="H127" s="64"/>
      <c r="I127" s="143"/>
      <c r="J127" s="64"/>
      <c r="K127" s="144"/>
      <c r="L127" s="64"/>
      <c r="M127" s="64"/>
      <c r="N127" s="64"/>
      <c r="O127" s="64"/>
      <c r="P127" s="64"/>
      <c r="Q127" s="64"/>
      <c r="R127" s="64"/>
      <c r="S127" s="64"/>
      <c r="T127" s="64"/>
      <c r="U127" s="145"/>
      <c r="V127" s="145"/>
      <c r="W127" s="145"/>
      <c r="X127" s="145"/>
      <c r="Y127" s="145"/>
      <c r="Z127" s="145"/>
      <c r="AA127" s="145"/>
      <c r="AB127" s="145"/>
      <c r="AC127" s="145"/>
      <c r="AD127" s="145"/>
      <c r="AE127" s="64"/>
      <c r="AF127" s="64"/>
      <c r="AG127" s="64"/>
      <c r="AH127" s="64"/>
      <c r="AI127" s="64"/>
      <c r="AJ127" s="64"/>
      <c r="AK127" s="146"/>
      <c r="AL127" s="146"/>
      <c r="AM127" s="146"/>
    </row>
    <row r="128" spans="1:39" x14ac:dyDescent="0.25"/>
    <row r="129" spans="21:30" x14ac:dyDescent="0.25"/>
    <row r="130" spans="21:30" x14ac:dyDescent="0.25"/>
    <row r="131" spans="21:30" x14ac:dyDescent="0.25"/>
    <row r="132" spans="21:30" x14ac:dyDescent="0.25"/>
    <row r="133" spans="21:30" x14ac:dyDescent="0.25"/>
    <row r="134" spans="21:30" x14ac:dyDescent="0.25"/>
    <row r="135" spans="21:30" x14ac:dyDescent="0.25"/>
    <row r="136" spans="21:30" x14ac:dyDescent="0.25"/>
    <row r="137" spans="21:30" hidden="1" x14ac:dyDescent="0.25">
      <c r="U137" s="146"/>
      <c r="V137" s="146"/>
      <c r="W137" s="146"/>
      <c r="X137" s="146"/>
      <c r="Y137" s="146"/>
      <c r="Z137" s="146"/>
      <c r="AA137" s="146"/>
      <c r="AB137" s="146"/>
      <c r="AC137" s="146"/>
      <c r="AD137" s="146"/>
    </row>
    <row r="138" spans="21:30" hidden="1" x14ac:dyDescent="0.25">
      <c r="U138" s="146"/>
      <c r="V138" s="146"/>
      <c r="W138" s="146"/>
      <c r="X138" s="146"/>
      <c r="Y138" s="146"/>
      <c r="Z138" s="146"/>
      <c r="AA138" s="146"/>
      <c r="AB138" s="146"/>
      <c r="AC138" s="146"/>
      <c r="AD138" s="146"/>
    </row>
    <row r="139" spans="21:30" hidden="1" x14ac:dyDescent="0.25">
      <c r="U139" s="146"/>
      <c r="V139" s="146"/>
      <c r="W139" s="146"/>
      <c r="X139" s="146"/>
      <c r="Y139" s="146"/>
      <c r="Z139" s="146"/>
      <c r="AA139" s="146"/>
      <c r="AB139" s="146"/>
      <c r="AC139" s="146"/>
      <c r="AD139" s="146"/>
    </row>
    <row r="140" spans="21:30" hidden="1" x14ac:dyDescent="0.25">
      <c r="U140" s="146"/>
      <c r="V140" s="146"/>
      <c r="W140" s="146"/>
      <c r="X140" s="146"/>
      <c r="Y140" s="146"/>
      <c r="Z140" s="146"/>
      <c r="AA140" s="146"/>
      <c r="AB140" s="146"/>
      <c r="AC140" s="146"/>
      <c r="AD140" s="146"/>
    </row>
    <row r="141" spans="21:30" hidden="1" x14ac:dyDescent="0.25">
      <c r="U141" s="60"/>
      <c r="V141" s="60"/>
      <c r="W141" s="60"/>
      <c r="X141" s="60"/>
      <c r="Y141" s="60"/>
      <c r="Z141" s="60"/>
      <c r="AA141" s="60"/>
      <c r="AB141" s="60"/>
      <c r="AC141" s="60"/>
      <c r="AD141" s="60"/>
    </row>
    <row r="142" spans="21:30" hidden="1" x14ac:dyDescent="0.25">
      <c r="U142" s="64"/>
      <c r="V142" s="64"/>
      <c r="W142" s="64"/>
      <c r="X142" s="64"/>
      <c r="Y142" s="64"/>
      <c r="Z142" s="64"/>
      <c r="AA142" s="64"/>
      <c r="AB142" s="64"/>
      <c r="AC142" s="64"/>
      <c r="AD142" s="64"/>
    </row>
    <row r="143" spans="21:30" hidden="1" x14ac:dyDescent="0.25"/>
    <row r="144" spans="21:30"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sheetData>
  <pageMargins left="0.7" right="0.7" top="0.75" bottom="0.75" header="0.3" footer="0.3"/>
  <pageSetup paperSize="9" orientation="portrait" r:id="rId1"/>
  <ignoredErrors>
    <ignoredError sqref="E22 E43" formula="1"/>
  </ignoredError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AM412"/>
  <sheetViews>
    <sheetView zoomScale="70" zoomScaleNormal="70" workbookViewId="0">
      <pane xSplit="4" ySplit="6" topLeftCell="E7" activePane="bottomRight" state="frozen"/>
      <selection pane="topRight" activeCell="E1" sqref="E1"/>
      <selection pane="bottomLeft" activeCell="A7" sqref="A7"/>
      <selection pane="bottomRight" activeCell="H8" sqref="H8"/>
    </sheetView>
  </sheetViews>
  <sheetFormatPr defaultRowHeight="15" zeroHeight="1" x14ac:dyDescent="0.25"/>
  <cols>
    <col min="1" max="1" width="27.7109375" style="176" customWidth="1"/>
    <col min="2" max="2" width="44" style="176" customWidth="1"/>
    <col min="3" max="3" width="22.42578125" style="176" customWidth="1"/>
    <col min="4" max="4" width="19.42578125" style="176" customWidth="1"/>
    <col min="5" max="19" width="14.140625" style="176" customWidth="1"/>
    <col min="20" max="28" width="14.140625" style="128" customWidth="1"/>
    <col min="29" max="34" width="14.140625" style="698" customWidth="1"/>
  </cols>
  <sheetData>
    <row r="1" spans="1:34" ht="28.5" x14ac:dyDescent="0.45">
      <c r="A1" s="102" t="s">
        <v>892</v>
      </c>
      <c r="B1" s="103"/>
      <c r="C1" s="103"/>
      <c r="D1" s="103"/>
      <c r="E1" s="103"/>
      <c r="F1" s="103"/>
      <c r="G1" s="103"/>
      <c r="H1" s="102"/>
      <c r="I1" s="102"/>
      <c r="J1" s="102"/>
      <c r="K1" s="102"/>
      <c r="L1" s="102"/>
      <c r="M1" s="102"/>
      <c r="N1" s="102"/>
      <c r="O1" s="102"/>
      <c r="P1" s="102"/>
      <c r="Q1" s="102"/>
      <c r="R1" s="102"/>
      <c r="S1" s="102"/>
      <c r="T1" s="103"/>
      <c r="U1" s="103"/>
      <c r="V1" s="103"/>
      <c r="W1" s="103"/>
      <c r="X1" s="102"/>
      <c r="Y1" s="102"/>
      <c r="Z1" s="102"/>
      <c r="AA1" s="102"/>
      <c r="AB1" s="102"/>
      <c r="AC1" s="102"/>
      <c r="AD1" s="102"/>
      <c r="AE1" s="102"/>
      <c r="AF1" s="102"/>
      <c r="AG1" s="102"/>
      <c r="AH1" s="102"/>
    </row>
    <row r="2" spans="1:34" ht="21.75" thickBot="1" x14ac:dyDescent="0.4">
      <c r="A2" s="112"/>
      <c r="B2" s="112"/>
      <c r="C2" s="112"/>
      <c r="D2" s="112"/>
      <c r="E2" s="166" t="s">
        <v>252</v>
      </c>
      <c r="F2" s="166"/>
      <c r="G2" s="166"/>
      <c r="H2" s="166"/>
      <c r="I2" s="166"/>
      <c r="J2" s="166"/>
      <c r="K2" s="166"/>
      <c r="L2" s="166"/>
      <c r="M2" s="166"/>
      <c r="N2" s="166"/>
      <c r="O2" s="166"/>
      <c r="P2" s="166"/>
      <c r="Q2" s="166"/>
      <c r="R2" s="166"/>
      <c r="S2" s="166"/>
      <c r="T2" s="304" t="s">
        <v>253</v>
      </c>
      <c r="U2" s="164"/>
      <c r="V2" s="164"/>
      <c r="W2" s="164"/>
      <c r="X2" s="164"/>
      <c r="Y2" s="164"/>
      <c r="Z2" s="164"/>
      <c r="AA2" s="164"/>
      <c r="AB2" s="164"/>
      <c r="AC2" s="164"/>
      <c r="AD2" s="164"/>
      <c r="AE2" s="164"/>
      <c r="AF2" s="164"/>
      <c r="AG2" s="164"/>
      <c r="AH2" s="164"/>
    </row>
    <row r="3" spans="1:34" ht="19.5" x14ac:dyDescent="0.3">
      <c r="A3" s="112"/>
      <c r="B3" s="112"/>
      <c r="C3" s="112"/>
      <c r="D3" s="112"/>
      <c r="E3" s="112"/>
      <c r="F3" s="112"/>
      <c r="G3" s="112"/>
      <c r="H3" s="112"/>
      <c r="I3" s="112"/>
      <c r="J3" s="112"/>
      <c r="K3" s="112"/>
      <c r="L3" s="112"/>
      <c r="M3" s="112"/>
      <c r="N3" s="112"/>
      <c r="O3" s="112"/>
      <c r="P3" s="112"/>
      <c r="Q3" s="381"/>
      <c r="R3" s="382"/>
      <c r="S3" s="383"/>
      <c r="T3" s="112"/>
      <c r="U3" s="112"/>
      <c r="V3" s="112"/>
      <c r="W3" s="112"/>
      <c r="X3" s="112"/>
      <c r="Y3" s="112"/>
      <c r="Z3" s="112"/>
      <c r="AA3" s="112"/>
      <c r="AB3" s="112"/>
      <c r="AC3" s="112"/>
      <c r="AD3" s="112"/>
      <c r="AE3" s="112"/>
      <c r="AF3" s="381"/>
      <c r="AG3" s="382"/>
      <c r="AH3" s="383"/>
    </row>
    <row r="4" spans="1:34" x14ac:dyDescent="0.25">
      <c r="A4" s="63"/>
      <c r="B4" s="63"/>
      <c r="C4" s="63"/>
      <c r="D4" s="63"/>
      <c r="E4" s="63" t="s">
        <v>5</v>
      </c>
      <c r="F4" s="63"/>
      <c r="G4" s="63"/>
      <c r="H4" s="63" t="s">
        <v>377</v>
      </c>
      <c r="I4" s="63"/>
      <c r="J4" s="63"/>
      <c r="K4" s="63"/>
      <c r="L4" s="63"/>
      <c r="M4" s="63"/>
      <c r="N4" s="253" t="s">
        <v>405</v>
      </c>
      <c r="O4" s="129"/>
      <c r="P4" s="253"/>
      <c r="Q4" s="384" t="s">
        <v>404</v>
      </c>
      <c r="R4" s="385"/>
      <c r="S4" s="386"/>
      <c r="T4" s="63" t="s">
        <v>5</v>
      </c>
      <c r="U4" s="63"/>
      <c r="V4" s="63"/>
      <c r="W4" s="63" t="s">
        <v>377</v>
      </c>
      <c r="X4" s="63"/>
      <c r="Y4" s="63"/>
      <c r="Z4" s="63"/>
      <c r="AA4" s="63"/>
      <c r="AB4" s="63"/>
      <c r="AC4" s="253" t="s">
        <v>405</v>
      </c>
      <c r="AD4" s="129"/>
      <c r="AE4" s="253"/>
      <c r="AF4" s="384" t="s">
        <v>404</v>
      </c>
      <c r="AG4" s="385"/>
      <c r="AH4" s="386"/>
    </row>
    <row r="5" spans="1:34" x14ac:dyDescent="0.25">
      <c r="A5" s="63" t="s">
        <v>24</v>
      </c>
      <c r="B5" s="63" t="s">
        <v>187</v>
      </c>
      <c r="C5" s="63" t="s">
        <v>4</v>
      </c>
      <c r="D5" s="63" t="s">
        <v>204</v>
      </c>
      <c r="E5" s="108" t="s">
        <v>965</v>
      </c>
      <c r="F5" s="177"/>
      <c r="G5" s="177"/>
      <c r="H5" s="108"/>
      <c r="I5" s="177"/>
      <c r="J5" s="177"/>
      <c r="K5" s="177"/>
      <c r="L5" s="177"/>
      <c r="M5" s="177"/>
      <c r="N5" s="66"/>
      <c r="O5" s="177"/>
      <c r="P5" s="66"/>
      <c r="Q5" s="387"/>
      <c r="R5" s="388"/>
      <c r="S5" s="389"/>
      <c r="T5" s="108"/>
      <c r="U5" s="177"/>
      <c r="V5" s="177"/>
      <c r="W5" s="108"/>
      <c r="X5" s="177"/>
      <c r="Y5" s="177"/>
      <c r="Z5" s="177"/>
      <c r="AA5" s="177"/>
      <c r="AB5" s="177"/>
      <c r="AC5" s="66"/>
      <c r="AD5" s="177"/>
      <c r="AE5" s="66"/>
      <c r="AF5" s="387"/>
      <c r="AG5" s="388"/>
      <c r="AH5" s="389"/>
    </row>
    <row r="6" spans="1:34" x14ac:dyDescent="0.25">
      <c r="A6" s="177"/>
      <c r="B6" s="168" t="s">
        <v>893</v>
      </c>
      <c r="C6" s="177"/>
      <c r="D6" s="177"/>
      <c r="E6" s="113" t="s">
        <v>259</v>
      </c>
      <c r="F6" s="169" t="s">
        <v>260</v>
      </c>
      <c r="G6" s="170" t="s">
        <v>261</v>
      </c>
      <c r="H6" s="171" t="s">
        <v>190</v>
      </c>
      <c r="I6" s="171" t="s">
        <v>191</v>
      </c>
      <c r="J6" s="171" t="s">
        <v>192</v>
      </c>
      <c r="K6" s="171" t="s">
        <v>193</v>
      </c>
      <c r="L6" s="171" t="s">
        <v>194</v>
      </c>
      <c r="M6" s="171" t="s">
        <v>195</v>
      </c>
      <c r="N6" s="171" t="s">
        <v>196</v>
      </c>
      <c r="O6" s="171" t="s">
        <v>197</v>
      </c>
      <c r="P6" s="171" t="s">
        <v>198</v>
      </c>
      <c r="Q6" s="390" t="s">
        <v>196</v>
      </c>
      <c r="R6" s="171" t="s">
        <v>197</v>
      </c>
      <c r="S6" s="391" t="s">
        <v>198</v>
      </c>
      <c r="T6" s="113" t="s">
        <v>259</v>
      </c>
      <c r="U6" s="169" t="s">
        <v>260</v>
      </c>
      <c r="V6" s="170" t="s">
        <v>261</v>
      </c>
      <c r="W6" s="171" t="s">
        <v>190</v>
      </c>
      <c r="X6" s="171" t="s">
        <v>191</v>
      </c>
      <c r="Y6" s="171" t="s">
        <v>192</v>
      </c>
      <c r="Z6" s="171" t="s">
        <v>193</v>
      </c>
      <c r="AA6" s="171" t="s">
        <v>194</v>
      </c>
      <c r="AB6" s="171" t="s">
        <v>195</v>
      </c>
      <c r="AC6" s="171" t="s">
        <v>196</v>
      </c>
      <c r="AD6" s="171" t="s">
        <v>197</v>
      </c>
      <c r="AE6" s="171" t="s">
        <v>198</v>
      </c>
      <c r="AF6" s="390" t="s">
        <v>196</v>
      </c>
      <c r="AG6" s="171" t="s">
        <v>197</v>
      </c>
      <c r="AH6" s="391" t="s">
        <v>198</v>
      </c>
    </row>
    <row r="7" spans="1:34" x14ac:dyDescent="0.25">
      <c r="A7" s="64" t="s">
        <v>370</v>
      </c>
      <c r="B7" s="64" t="s">
        <v>894</v>
      </c>
      <c r="C7" s="9" t="s">
        <v>26</v>
      </c>
      <c r="D7" s="9" t="s">
        <v>910</v>
      </c>
      <c r="E7" s="722">
        <f>1/80</f>
        <v>1.2500000000000001E-2</v>
      </c>
      <c r="F7" s="722">
        <f>1/100</f>
        <v>0.01</v>
      </c>
      <c r="G7" s="722">
        <f>1/120</f>
        <v>8.3333333333333332E-3</v>
      </c>
      <c r="H7" s="762">
        <v>0.7973647526847536</v>
      </c>
      <c r="I7" s="762">
        <v>0.88929876177631462</v>
      </c>
      <c r="J7" s="762">
        <v>0.98123277086787564</v>
      </c>
      <c r="K7" s="762">
        <v>0.20121309901600892</v>
      </c>
      <c r="L7" s="762">
        <v>0.22437782965097952</v>
      </c>
      <c r="M7" s="762">
        <v>0.24754256028595023</v>
      </c>
      <c r="N7" s="252">
        <f>HHProps_SSW*(H7+K7)</f>
        <v>551214.97413882089</v>
      </c>
      <c r="O7" s="252">
        <f>HHProps_SSW*(I7+L7)</f>
        <v>614749.47846786631</v>
      </c>
      <c r="P7" s="252">
        <f>HHProps_SSW*(J7+M7)</f>
        <v>678283.98279691185</v>
      </c>
      <c r="Q7" s="392">
        <f t="shared" ref="Q7:S8" si="0">N7/(($E7-$G7)*AllProps_SSW)</f>
        <v>224.60372460665025</v>
      </c>
      <c r="R7" s="252">
        <f t="shared" si="0"/>
        <v>250.4921474232392</v>
      </c>
      <c r="S7" s="393">
        <f t="shared" si="0"/>
        <v>276.38057023982822</v>
      </c>
      <c r="T7" s="672">
        <f>1/80</f>
        <v>1.2500000000000001E-2</v>
      </c>
      <c r="U7" s="673">
        <f>1/100</f>
        <v>0.01</v>
      </c>
      <c r="V7" s="673">
        <f>1/120</f>
        <v>8.3333333333333332E-3</v>
      </c>
      <c r="W7" s="762">
        <v>0.91009474174902627</v>
      </c>
      <c r="X7" s="762">
        <v>1.0483009561625427</v>
      </c>
      <c r="Y7" s="762">
        <v>1.1865071705760593</v>
      </c>
      <c r="Z7" s="762">
        <v>1.2246300473433234</v>
      </c>
      <c r="AA7" s="762">
        <v>1.4106837870846367</v>
      </c>
      <c r="AB7" s="762">
        <v>1.59673752682595</v>
      </c>
      <c r="AC7" s="252">
        <f>HHProps_CAM*(W7+Z7)</f>
        <v>279648.94737109781</v>
      </c>
      <c r="AD7" s="252">
        <f>HHProps_CAM*(X7+AA7)</f>
        <v>322127.00136538048</v>
      </c>
      <c r="AE7" s="252">
        <f>HHProps_CAM*(Y7+AB7)</f>
        <v>364605.05535966321</v>
      </c>
      <c r="AF7" s="392">
        <f t="shared" ref="AF7:AF18" si="1">AC7/(($T7-$V7)*AllProps_CAM)</f>
        <v>475.99820829123024</v>
      </c>
      <c r="AG7" s="252">
        <f t="shared" ref="AG7:AG18" si="2">AD7/(($T7-$V7)*AllProps_CAM)</f>
        <v>548.30127891979646</v>
      </c>
      <c r="AH7" s="393">
        <f t="shared" ref="AH7:AH18" si="3">AE7/(($T7-$V7)*AllProps_CAM)</f>
        <v>620.60434954836273</v>
      </c>
    </row>
    <row r="8" spans="1:34" x14ac:dyDescent="0.25">
      <c r="A8" s="9"/>
      <c r="B8" s="651" t="s">
        <v>941</v>
      </c>
      <c r="C8" s="9"/>
      <c r="D8" s="9" t="s">
        <v>911</v>
      </c>
      <c r="E8" s="722">
        <f>1/80</f>
        <v>1.2500000000000001E-2</v>
      </c>
      <c r="F8" s="722">
        <f>1/100</f>
        <v>0.01</v>
      </c>
      <c r="G8" s="722">
        <f>1/120</f>
        <v>8.3333333333333332E-3</v>
      </c>
      <c r="H8" s="763">
        <v>1.3311764704168196E-4</v>
      </c>
      <c r="I8" s="763">
        <v>1.5617999911371258E-4</v>
      </c>
      <c r="J8" s="763">
        <v>1.7924235118574319E-4</v>
      </c>
      <c r="K8" s="763">
        <v>5.9302164181717959E-4</v>
      </c>
      <c r="L8" s="763">
        <v>6.9518632551394011E-4</v>
      </c>
      <c r="M8" s="763">
        <v>7.9735100921070063E-4</v>
      </c>
      <c r="N8" s="252">
        <f>NHHProps_SSW*AvgNHHBill_SSW*(H8+K8)</f>
        <v>118860.28791472933</v>
      </c>
      <c r="O8" s="252">
        <f>NHHProps_SSW*AvgNHHBill_SSW*(I8+L8)</f>
        <v>139358.45094565122</v>
      </c>
      <c r="P8" s="252">
        <f>NHHProps_SSW*AvgNHHBill_SSW*(J8+M8)</f>
        <v>159856.61397657311</v>
      </c>
      <c r="Q8" s="392">
        <f t="shared" si="0"/>
        <v>48.432035822640131</v>
      </c>
      <c r="R8" s="252">
        <f t="shared" si="0"/>
        <v>56.784428229127826</v>
      </c>
      <c r="S8" s="393">
        <f t="shared" si="0"/>
        <v>65.136820635615521</v>
      </c>
      <c r="T8" s="672">
        <f>1/80</f>
        <v>1.2500000000000001E-2</v>
      </c>
      <c r="U8" s="673">
        <f>1/100</f>
        <v>0.01</v>
      </c>
      <c r="V8" s="673">
        <f>1/120</f>
        <v>8.3333333333333332E-3</v>
      </c>
      <c r="W8" s="763">
        <v>0</v>
      </c>
      <c r="X8" s="763">
        <v>1.0438910529886973E-3</v>
      </c>
      <c r="Y8" s="763">
        <v>3.6052723139528967E-2</v>
      </c>
      <c r="Z8" s="763">
        <v>0</v>
      </c>
      <c r="AA8" s="763">
        <v>6.3529836977335285E-4</v>
      </c>
      <c r="AB8" s="763">
        <v>2.1941213280705946E-2</v>
      </c>
      <c r="AC8" s="252">
        <f>NHHProps_CAM*AvgNHHBill_CAM*(W8+Z8)</f>
        <v>0</v>
      </c>
      <c r="AD8" s="252">
        <f>NHHProps_CAM*AvgNHHBill_CAM*(X8+AA8)</f>
        <v>85974.498445416975</v>
      </c>
      <c r="AE8" s="252">
        <f>NHHProps_CAM*AvgNHHBill_CAM*(Y8+AB8)</f>
        <v>2969289.5447160276</v>
      </c>
      <c r="AF8" s="392">
        <f t="shared" si="1"/>
        <v>0</v>
      </c>
      <c r="AG8" s="252">
        <f t="shared" si="2"/>
        <v>146.33957182198631</v>
      </c>
      <c r="AH8" s="393">
        <f t="shared" si="3"/>
        <v>5054.1098633464289</v>
      </c>
    </row>
    <row r="9" spans="1:34" x14ac:dyDescent="0.25">
      <c r="A9" s="64" t="s">
        <v>25</v>
      </c>
      <c r="B9" s="64" t="s">
        <v>91</v>
      </c>
      <c r="C9" s="9" t="s">
        <v>26</v>
      </c>
      <c r="D9" s="9" t="s">
        <v>910</v>
      </c>
      <c r="E9" s="674">
        <f>1/15</f>
        <v>6.6666666666666666E-2</v>
      </c>
      <c r="F9" s="674">
        <f>1/20</f>
        <v>0.05</v>
      </c>
      <c r="G9" s="674">
        <f>1/25</f>
        <v>0.04</v>
      </c>
      <c r="H9" s="762">
        <v>3.0198098440831309</v>
      </c>
      <c r="I9" s="762">
        <v>3.3679929677046498</v>
      </c>
      <c r="J9" s="762">
        <v>3.7161760913261688</v>
      </c>
      <c r="K9" s="762">
        <v>0.54419587911439482</v>
      </c>
      <c r="L9" s="762">
        <v>0.60669022375558512</v>
      </c>
      <c r="M9" s="762">
        <v>0.66918456839677543</v>
      </c>
      <c r="N9" s="252">
        <f>HHProps_SSW*(H9+K9)</f>
        <v>1967331.1592050341</v>
      </c>
      <c r="O9" s="252">
        <f>HHProps_SSW*(I9+L9)</f>
        <v>2194025.1216860497</v>
      </c>
      <c r="P9" s="252">
        <f>HHProps_SSW*(J9+M9)</f>
        <v>2420719.0841670651</v>
      </c>
      <c r="Q9" s="392">
        <f>N9/(($E9-$G9)*AllProps_SSW)</f>
        <v>125.25453050965838</v>
      </c>
      <c r="R9" s="252">
        <f>O9/(($E9-$G9)*AllProps_SSW)</f>
        <v>139.68750774741403</v>
      </c>
      <c r="S9" s="393">
        <f>P9/(($E9-$G9)*AllProps_SSW)</f>
        <v>154.1204849851697</v>
      </c>
      <c r="T9" s="672">
        <f>1/45</f>
        <v>2.2222222222222223E-2</v>
      </c>
      <c r="U9" s="673">
        <f>1/55</f>
        <v>1.8181818181818181E-2</v>
      </c>
      <c r="V9" s="673">
        <f>1/65</f>
        <v>1.5384615384615385E-2</v>
      </c>
      <c r="W9" s="136">
        <v>2.7046003436132477</v>
      </c>
      <c r="X9" s="136">
        <v>3.1155463151224057</v>
      </c>
      <c r="Y9" s="136">
        <v>3.5264922866315636</v>
      </c>
      <c r="Z9" s="136">
        <v>1.1653338225722623</v>
      </c>
      <c r="AA9" s="136">
        <v>1.3419840000849801</v>
      </c>
      <c r="AB9" s="136">
        <v>1.5186341775976975</v>
      </c>
      <c r="AC9" s="252">
        <f>HHProps_CAM*(W9+Z9)</f>
        <v>506961.37577030179</v>
      </c>
      <c r="AD9" s="252">
        <f>HHProps_CAM*(X9+AA9)</f>
        <v>583936.47129216755</v>
      </c>
      <c r="AE9" s="252">
        <f>HHProps_CAM*(Y9+AB9)</f>
        <v>660911.5668140332</v>
      </c>
      <c r="AF9" s="392">
        <f t="shared" si="1"/>
        <v>525.83759720855767</v>
      </c>
      <c r="AG9" s="252">
        <f t="shared" si="2"/>
        <v>605.67878671262065</v>
      </c>
      <c r="AH9" s="393">
        <f t="shared" si="3"/>
        <v>685.5199762166834</v>
      </c>
    </row>
    <row r="10" spans="1:34" x14ac:dyDescent="0.25">
      <c r="A10" s="9"/>
      <c r="B10" s="9"/>
      <c r="C10" s="9" t="s">
        <v>407</v>
      </c>
      <c r="D10" s="9" t="s">
        <v>199</v>
      </c>
      <c r="E10" s="674">
        <f>1/15</f>
        <v>6.6666666666666666E-2</v>
      </c>
      <c r="F10" s="674">
        <f>1/20</f>
        <v>0.05</v>
      </c>
      <c r="G10" s="674">
        <f>1/25</f>
        <v>0.04</v>
      </c>
      <c r="H10" s="763">
        <v>1.6529853579860133E-2</v>
      </c>
      <c r="I10" s="763">
        <v>1.9376915692789636E-2</v>
      </c>
      <c r="J10" s="763">
        <v>2.222397780571914E-2</v>
      </c>
      <c r="K10" s="763">
        <v>4.2523734552100609E-4</v>
      </c>
      <c r="L10" s="763">
        <v>4.9841954334050795E-4</v>
      </c>
      <c r="M10" s="763">
        <v>5.7160174116000981E-4</v>
      </c>
      <c r="N10" s="252">
        <f>NHHProps_SSW*AvgNHHBill_SSW*(H10+K10)</f>
        <v>2775344.9233937878</v>
      </c>
      <c r="O10" s="252">
        <f>NHHProps_SSW*AvgNHHBill_SSW*(I10+L10)</f>
        <v>3253353.8741316712</v>
      </c>
      <c r="P10" s="252">
        <f>NHHProps_SSW*AvgNHHBill_SSW*(J10+M10)</f>
        <v>3731362.824869554</v>
      </c>
      <c r="Q10" s="392">
        <f t="shared" ref="Q10:Q18" si="4">N10/(($E10-$G10)*AllProps_SSW)</f>
        <v>176.69853077634474</v>
      </c>
      <c r="R10" s="252">
        <f t="shared" ref="R10:R18" si="5">O10/(($E10-$G10)*AllProps_SSW)</f>
        <v>207.13203782671931</v>
      </c>
      <c r="S10" s="393">
        <f t="shared" ref="S10:S18" si="6">P10/(($E10-$G10)*AllProps_SSW)</f>
        <v>237.56554487709386</v>
      </c>
      <c r="T10" s="672">
        <f>1/45</f>
        <v>2.2222222222222223E-2</v>
      </c>
      <c r="U10" s="673">
        <f>1/55</f>
        <v>1.8181818181818181E-2</v>
      </c>
      <c r="V10" s="673">
        <f>1/65</f>
        <v>1.5384615384615385E-2</v>
      </c>
      <c r="W10" s="137">
        <v>5.5626362204284248E-2</v>
      </c>
      <c r="X10" s="137">
        <v>5.6414013673365619E-2</v>
      </c>
      <c r="Y10" s="137">
        <v>5.720166514244699E-2</v>
      </c>
      <c r="Z10" s="137">
        <v>1.3542562089060434E-4</v>
      </c>
      <c r="AA10" s="137">
        <v>1.4754621463399648E-4</v>
      </c>
      <c r="AB10" s="137">
        <v>1.5966680837738861E-4</v>
      </c>
      <c r="AC10" s="252">
        <f>NHHProps_CAM*AvgNHHBill_CAM*(W10+Z10)</f>
        <v>2855003.5366489524</v>
      </c>
      <c r="AD10" s="252">
        <f>NHHProps_CAM*AvgNHHBill_CAM*(X10+AA10)</f>
        <v>2895951.8662655805</v>
      </c>
      <c r="AE10" s="252">
        <f>NHHProps_CAM*AvgNHHBill_CAM*(Y10+AB10)</f>
        <v>2936900.1958822082</v>
      </c>
      <c r="AF10" s="392">
        <f t="shared" si="1"/>
        <v>2961.3068598220516</v>
      </c>
      <c r="AG10" s="252">
        <f t="shared" si="2"/>
        <v>3003.7798612861075</v>
      </c>
      <c r="AH10" s="393">
        <f t="shared" si="3"/>
        <v>3046.2528627501629</v>
      </c>
    </row>
    <row r="11" spans="1:34" x14ac:dyDescent="0.25">
      <c r="A11" s="128" t="s">
        <v>117</v>
      </c>
      <c r="B11" s="9" t="s">
        <v>90</v>
      </c>
      <c r="C11" s="9" t="s">
        <v>26</v>
      </c>
      <c r="D11" s="9" t="s">
        <v>910</v>
      </c>
      <c r="E11" s="674">
        <f>1/60</f>
        <v>1.6666666666666666E-2</v>
      </c>
      <c r="F11" s="674">
        <f>1/75</f>
        <v>1.3333333333333334E-2</v>
      </c>
      <c r="G11" s="674">
        <f>1/90</f>
        <v>1.1111111111111112E-2</v>
      </c>
      <c r="H11" s="762">
        <v>0.27632784951021006</v>
      </c>
      <c r="I11" s="762">
        <v>0.30818609087835352</v>
      </c>
      <c r="J11" s="762">
        <v>0.34004433224649699</v>
      </c>
      <c r="K11" s="762">
        <v>0.16651459677103786</v>
      </c>
      <c r="L11" s="762">
        <v>0.18578205633963885</v>
      </c>
      <c r="M11" s="762">
        <v>0.20504951590823983</v>
      </c>
      <c r="N11" s="252">
        <f>HHProps_SSW*(H11+K11)</f>
        <v>244449.03034724886</v>
      </c>
      <c r="O11" s="252">
        <f>HHProps_SSW*(I11+L11)</f>
        <v>272670.41726433177</v>
      </c>
      <c r="P11" s="252">
        <f>HHProps_SSW*(J11+M11)</f>
        <v>300891.80418141471</v>
      </c>
      <c r="Q11" s="392">
        <f t="shared" si="4"/>
        <v>74.704287712232258</v>
      </c>
      <c r="R11" s="252">
        <f t="shared" si="5"/>
        <v>83.328820216603944</v>
      </c>
      <c r="S11" s="393">
        <f t="shared" si="6"/>
        <v>91.953352720975644</v>
      </c>
      <c r="T11" s="672">
        <f>1/70</f>
        <v>1.4285714285714285E-2</v>
      </c>
      <c r="U11" s="673">
        <f>1/85</f>
        <v>1.1764705882352941E-2</v>
      </c>
      <c r="V11" s="673">
        <f>1/100</f>
        <v>0.01</v>
      </c>
      <c r="W11" s="161">
        <v>4.0827190636202153E-2</v>
      </c>
      <c r="X11" s="161">
        <v>4.7204807663126298E-2</v>
      </c>
      <c r="Y11" s="161">
        <v>5.3582424690050444E-2</v>
      </c>
      <c r="Z11" s="161">
        <v>0.10583995205327912</v>
      </c>
      <c r="AA11" s="161">
        <v>0.1217094578997745</v>
      </c>
      <c r="AB11" s="161">
        <v>0.13757896374626985</v>
      </c>
      <c r="AC11" s="252">
        <f>HHProps_CAM*(W11+Z11)</f>
        <v>19213.395692322047</v>
      </c>
      <c r="AD11" s="252">
        <f>HHProps_CAM*(X11+AA11)</f>
        <v>22127.768788740002</v>
      </c>
      <c r="AE11" s="252">
        <f>HHProps_CAM*(Y11+AB11)</f>
        <v>25042.141885157958</v>
      </c>
      <c r="AF11" s="392">
        <f t="shared" si="1"/>
        <v>31.795217457743345</v>
      </c>
      <c r="AG11" s="252">
        <f t="shared" si="2"/>
        <v>36.618057097205678</v>
      </c>
      <c r="AH11" s="393">
        <f t="shared" si="3"/>
        <v>41.440896736668023</v>
      </c>
    </row>
    <row r="12" spans="1:34" x14ac:dyDescent="0.25">
      <c r="A12" s="128"/>
      <c r="B12" s="9"/>
      <c r="C12" s="9" t="s">
        <v>407</v>
      </c>
      <c r="D12" s="9" t="s">
        <v>199</v>
      </c>
      <c r="E12" s="674">
        <f>1/60</f>
        <v>1.6666666666666666E-2</v>
      </c>
      <c r="F12" s="674">
        <f>1/75</f>
        <v>1.3333333333333334E-2</v>
      </c>
      <c r="G12" s="674">
        <f>1/90</f>
        <v>1.1111111111111112E-2</v>
      </c>
      <c r="H12" s="763">
        <v>3.1445347895279869E-3</v>
      </c>
      <c r="I12" s="763">
        <v>3.6865032727528453E-3</v>
      </c>
      <c r="J12" s="763">
        <v>4.2284717559777042E-3</v>
      </c>
      <c r="K12" s="763">
        <v>4.4061675409921321E-6</v>
      </c>
      <c r="L12" s="763">
        <v>5.1592292451456759E-6</v>
      </c>
      <c r="M12" s="763">
        <v>5.912290949298786E-6</v>
      </c>
      <c r="N12" s="252">
        <f>NHHProps_SSW*AvgNHHBill_SSW*(H12+K12)</f>
        <v>515443.84738070704</v>
      </c>
      <c r="O12" s="252">
        <f>NHHProps_SSW*AvgNHHBill_SSW*(I12+L12)</f>
        <v>604280.85162704717</v>
      </c>
      <c r="P12" s="252">
        <f>NHHProps_SSW*AvgNHHBill_SSW*(J12+M12)</f>
        <v>693117.85587338731</v>
      </c>
      <c r="Q12" s="392">
        <f t="shared" si="4"/>
        <v>157.52103994656585</v>
      </c>
      <c r="R12" s="252">
        <f t="shared" si="5"/>
        <v>184.66986976717914</v>
      </c>
      <c r="S12" s="393">
        <f t="shared" si="6"/>
        <v>211.81869958779242</v>
      </c>
      <c r="T12" s="672">
        <f>1/70</f>
        <v>1.4285714285714285E-2</v>
      </c>
      <c r="U12" s="673">
        <f>1/85</f>
        <v>1.1764705882352941E-2</v>
      </c>
      <c r="V12" s="673">
        <f>1/100</f>
        <v>0.01</v>
      </c>
      <c r="W12" s="142">
        <v>0</v>
      </c>
      <c r="X12" s="142">
        <v>4.257264223936371E-2</v>
      </c>
      <c r="Y12" s="142">
        <v>1.4703255477634358</v>
      </c>
      <c r="Z12" s="142">
        <v>5.3122801635380405E-2</v>
      </c>
      <c r="AA12" s="142">
        <v>1.0971349631991048E-2</v>
      </c>
      <c r="AB12" s="142">
        <v>0</v>
      </c>
      <c r="AC12" s="252">
        <f>NHHProps_CAM*AvgNHHBill_CAM*(W12+Z12)</f>
        <v>2719887.4437314766</v>
      </c>
      <c r="AD12" s="252">
        <f>NHHProps_CAM*AvgNHHBill_CAM*(X12+AA12)</f>
        <v>2741452.3838133635</v>
      </c>
      <c r="AE12" s="252">
        <f>NHHProps_CAM*AvgNHHBill_CAM*(Y12+AB12)</f>
        <v>75280668.045487911</v>
      </c>
      <c r="AF12" s="392">
        <f t="shared" si="1"/>
        <v>4500.9957697684013</v>
      </c>
      <c r="AG12" s="252">
        <f t="shared" si="2"/>
        <v>4536.682431842446</v>
      </c>
      <c r="AH12" s="393">
        <f t="shared" si="3"/>
        <v>124577.93766392799</v>
      </c>
    </row>
    <row r="13" spans="1:34" x14ac:dyDescent="0.25">
      <c r="A13" s="9" t="s">
        <v>81</v>
      </c>
      <c r="B13" s="9" t="s">
        <v>895</v>
      </c>
      <c r="C13" s="9" t="s">
        <v>26</v>
      </c>
      <c r="D13" s="9" t="s">
        <v>910</v>
      </c>
      <c r="E13" s="674">
        <f>1/3</f>
        <v>0.33333333333333331</v>
      </c>
      <c r="F13" s="674">
        <f>1/4</f>
        <v>0.25</v>
      </c>
      <c r="G13" s="674">
        <f>1/5</f>
        <v>0.2</v>
      </c>
      <c r="H13" s="762">
        <v>1.911703268012757</v>
      </c>
      <c r="I13" s="762">
        <v>2.1317184182528393</v>
      </c>
      <c r="J13" s="762">
        <v>2.3517335684929215</v>
      </c>
      <c r="K13" s="762">
        <v>1.2336458719948413</v>
      </c>
      <c r="L13" s="762">
        <v>1.3756516158641041</v>
      </c>
      <c r="M13" s="762">
        <v>1.5176573597333669</v>
      </c>
      <c r="N13" s="252">
        <f>HHProps_SSW*(H13+K13)</f>
        <v>1736232.7252841943</v>
      </c>
      <c r="O13" s="252">
        <f>HHProps_SSW*(I13+L13)</f>
        <v>1936068.2588325527</v>
      </c>
      <c r="P13" s="252">
        <f>HHProps_SSW*(J13+M13)</f>
        <v>2135903.7923809113</v>
      </c>
      <c r="Q13" s="392">
        <f t="shared" si="4"/>
        <v>22.108226552854774</v>
      </c>
      <c r="R13" s="252">
        <f t="shared" si="5"/>
        <v>24.652821631993461</v>
      </c>
      <c r="S13" s="393">
        <f t="shared" si="6"/>
        <v>27.197416711132153</v>
      </c>
      <c r="T13" s="672">
        <f>1/3</f>
        <v>0.33333333333333331</v>
      </c>
      <c r="U13" s="673">
        <f>1/4</f>
        <v>0.25</v>
      </c>
      <c r="V13" s="673">
        <f>1/5</f>
        <v>0.2</v>
      </c>
      <c r="W13" s="161">
        <v>0.36910050057866128</v>
      </c>
      <c r="X13" s="161">
        <v>0.4252755260698568</v>
      </c>
      <c r="Y13" s="704">
        <v>0.48145055156105232</v>
      </c>
      <c r="Z13" s="704">
        <v>0.18843221404216126</v>
      </c>
      <c r="AA13" s="161">
        <v>0.21698708612330625</v>
      </c>
      <c r="AB13" s="161">
        <v>0.24554195820445124</v>
      </c>
      <c r="AC13" s="252">
        <f>HHProps_CAM*(W13+Z13)</f>
        <v>73036.785615327753</v>
      </c>
      <c r="AD13" s="252">
        <f>HHProps_CAM*(X13+AA13)</f>
        <v>84136.402197304356</v>
      </c>
      <c r="AE13" s="252">
        <f>HHProps_CAM*(Y13+AB13)</f>
        <v>95236.018779280959</v>
      </c>
      <c r="AF13" s="392">
        <f t="shared" si="1"/>
        <v>3.884935405070626</v>
      </c>
      <c r="AG13" s="252">
        <f t="shared" si="2"/>
        <v>4.4753405424098069</v>
      </c>
      <c r="AH13" s="393">
        <f t="shared" si="3"/>
        <v>5.0657456797489884</v>
      </c>
    </row>
    <row r="14" spans="1:34" x14ac:dyDescent="0.25">
      <c r="A14" s="9"/>
      <c r="B14" s="651" t="s">
        <v>899</v>
      </c>
      <c r="C14" s="9" t="s">
        <v>407</v>
      </c>
      <c r="D14" s="9" t="s">
        <v>199</v>
      </c>
      <c r="E14" s="674">
        <f>1/3</f>
        <v>0.33333333333333331</v>
      </c>
      <c r="F14" s="674">
        <f>1/4</f>
        <v>0.25</v>
      </c>
      <c r="G14" s="674">
        <f>1/5</f>
        <v>0.2</v>
      </c>
      <c r="H14" s="763">
        <v>3.5183810705973926E-3</v>
      </c>
      <c r="I14" s="763">
        <v>4.1232652328514917E-3</v>
      </c>
      <c r="J14" s="763">
        <v>4.7281493951055907E-3</v>
      </c>
      <c r="K14" s="763">
        <v>2.811717685899418E-3</v>
      </c>
      <c r="L14" s="763">
        <v>3.2944798024680151E-3</v>
      </c>
      <c r="M14" s="763">
        <v>3.7772419190366122E-3</v>
      </c>
      <c r="N14" s="252">
        <f>NHHProps_SSW*AvgNHHBill_SSW*(H14+K14)</f>
        <v>1036161.20525345</v>
      </c>
      <c r="O14" s="252">
        <f>NHHProps_SSW*AvgNHHBill_SSW*(I14+L14)</f>
        <v>1214195.8493413795</v>
      </c>
      <c r="P14" s="252">
        <f>NHHProps_SSW*AvgNHHBill_SSW*(J14+M14)</f>
        <v>1392230.493429309</v>
      </c>
      <c r="Q14" s="392">
        <f t="shared" si="4"/>
        <v>13.193903292700979</v>
      </c>
      <c r="R14" s="252">
        <f t="shared" si="5"/>
        <v>15.460897911817229</v>
      </c>
      <c r="S14" s="393">
        <f t="shared" si="6"/>
        <v>17.727892530933481</v>
      </c>
      <c r="T14" s="672">
        <f>1/3</f>
        <v>0.33333333333333331</v>
      </c>
      <c r="U14" s="673">
        <f>1/4</f>
        <v>0.25</v>
      </c>
      <c r="V14" s="673">
        <f>1/5</f>
        <v>0.2</v>
      </c>
      <c r="W14" s="142">
        <v>5.0162152546914092E-2</v>
      </c>
      <c r="X14" s="142">
        <v>5.0233968528763127E-2</v>
      </c>
      <c r="Y14" s="142">
        <v>5.0305784510612163E-2</v>
      </c>
      <c r="Z14" s="142">
        <v>3.2982673397256232E-3</v>
      </c>
      <c r="AA14" s="142">
        <v>3.7020561693646287E-3</v>
      </c>
      <c r="AB14" s="142">
        <v>4.1058449990036341E-3</v>
      </c>
      <c r="AC14" s="252">
        <f>NHHProps_CAM*AvgNHHBill_CAM*(W14+Z14)</f>
        <v>2737173.4981959532</v>
      </c>
      <c r="AD14" s="252">
        <f>NHHProps_CAM*AvgNHHBill_CAM*(X14+AA14)</f>
        <v>2761524.4645441412</v>
      </c>
      <c r="AE14" s="252">
        <f>NHHProps_CAM*AvgNHHBill_CAM*(Y14+AB14)</f>
        <v>2785875.4308923287</v>
      </c>
      <c r="AF14" s="392">
        <f t="shared" si="1"/>
        <v>145.59433501042307</v>
      </c>
      <c r="AG14" s="252">
        <f t="shared" si="2"/>
        <v>146.88959917787989</v>
      </c>
      <c r="AH14" s="393">
        <f t="shared" si="3"/>
        <v>148.18486334533665</v>
      </c>
    </row>
    <row r="15" spans="1:34" x14ac:dyDescent="0.25">
      <c r="A15" s="9" t="s">
        <v>82</v>
      </c>
      <c r="B15" s="9" t="s">
        <v>896</v>
      </c>
      <c r="C15" s="9" t="s">
        <v>26</v>
      </c>
      <c r="D15" s="9" t="s">
        <v>910</v>
      </c>
      <c r="E15" s="765">
        <v>0</v>
      </c>
      <c r="F15" s="765">
        <v>2000</v>
      </c>
      <c r="G15" s="765">
        <v>4000</v>
      </c>
      <c r="H15" s="136">
        <v>4.7434509173148891</v>
      </c>
      <c r="I15" s="136">
        <v>5.2894480160712298</v>
      </c>
      <c r="J15" s="136">
        <v>5.8354451148275706</v>
      </c>
      <c r="K15" s="136">
        <v>0.5437012128536951</v>
      </c>
      <c r="L15" s="136">
        <v>0.60625599239311434</v>
      </c>
      <c r="M15" s="136">
        <v>0.66881077193253358</v>
      </c>
      <c r="N15" s="252">
        <f>HHProps_SSW*(H15+K15)</f>
        <v>2918507.9758530585</v>
      </c>
      <c r="O15" s="252">
        <f>HHProps_SSW*(I15+L15)</f>
        <v>3254428.6126723178</v>
      </c>
      <c r="P15" s="252">
        <f>HHProps_SSW*(J15+M15)</f>
        <v>3590349.2494915775</v>
      </c>
      <c r="Q15" s="392">
        <f t="shared" ref="Q15:S16" si="7">-N15/(($E15-$G15))</f>
        <v>729.62699396326468</v>
      </c>
      <c r="R15" s="252">
        <f>-O15/(($E15-$G15))</f>
        <v>813.60715316807944</v>
      </c>
      <c r="S15" s="393">
        <f t="shared" si="7"/>
        <v>897.58731237289442</v>
      </c>
      <c r="T15" s="780">
        <v>0</v>
      </c>
      <c r="U15" s="781">
        <v>650</v>
      </c>
      <c r="V15" s="781">
        <v>1350</v>
      </c>
      <c r="W15" s="161">
        <v>2.2918302422500729</v>
      </c>
      <c r="X15" s="161">
        <v>2.6407734226292283</v>
      </c>
      <c r="Y15" s="161">
        <v>2.9897166030083837</v>
      </c>
      <c r="Z15" s="161">
        <v>0.44101776703248419</v>
      </c>
      <c r="AA15" s="161">
        <v>0.50756688037153719</v>
      </c>
      <c r="AB15" s="161">
        <v>0.57411599371059019</v>
      </c>
      <c r="AC15" s="252">
        <f>HHProps_CAM*(W15+Z15)</f>
        <v>358003.08921601501</v>
      </c>
      <c r="AD15" s="252">
        <f>HHProps_CAM*(X15+AA15)</f>
        <v>412432.5796931003</v>
      </c>
      <c r="AE15" s="252">
        <f>HHProps_CAM*(Y15+AB15)</f>
        <v>466862.07017018559</v>
      </c>
      <c r="AF15" s="392">
        <f t="shared" ref="AF15:AH16" si="8">-AC15/(($T15-$V15))</f>
        <v>265.18747349334444</v>
      </c>
      <c r="AG15" s="252">
        <f t="shared" si="8"/>
        <v>305.50561458748172</v>
      </c>
      <c r="AH15" s="393">
        <f t="shared" si="8"/>
        <v>345.82375568161893</v>
      </c>
    </row>
    <row r="16" spans="1:34" x14ac:dyDescent="0.25">
      <c r="A16" s="9"/>
      <c r="B16" s="651" t="s">
        <v>897</v>
      </c>
      <c r="C16" s="9" t="s">
        <v>407</v>
      </c>
      <c r="D16" s="9" t="s">
        <v>199</v>
      </c>
      <c r="E16" s="765">
        <v>0</v>
      </c>
      <c r="F16" s="765">
        <v>2000</v>
      </c>
      <c r="G16" s="765">
        <v>4000</v>
      </c>
      <c r="H16" s="137">
        <v>3.5467790509849289E-3</v>
      </c>
      <c r="I16" s="137">
        <v>4.1590321254674992E-3</v>
      </c>
      <c r="J16" s="137">
        <v>4.7712851999500696E-3</v>
      </c>
      <c r="K16" s="137">
        <v>4.4073049905152348E-4</v>
      </c>
      <c r="L16" s="137">
        <v>5.1578958405461544E-4</v>
      </c>
      <c r="M16" s="137">
        <v>5.9084866905770739E-4</v>
      </c>
      <c r="N16" s="252">
        <f>NHHProps_SSW*AvgNHHBill_SSW*(H16+K16)</f>
        <v>652707.46322636679</v>
      </c>
      <c r="O16" s="252">
        <f>NHHProps_SSW*AvgNHHBill_SSW*(I16+L16)</f>
        <v>765212.21598825592</v>
      </c>
      <c r="P16" s="252">
        <f>NHHProps_SSW*AvgNHHBill_SSW*(J16+M16)</f>
        <v>877716.96875014505</v>
      </c>
      <c r="Q16" s="392">
        <f t="shared" si="7"/>
        <v>163.17686580659171</v>
      </c>
      <c r="R16" s="252">
        <f t="shared" si="7"/>
        <v>191.30305399706398</v>
      </c>
      <c r="S16" s="393">
        <f t="shared" si="7"/>
        <v>219.42924218753626</v>
      </c>
      <c r="T16" s="780">
        <v>0</v>
      </c>
      <c r="U16" s="781">
        <v>650</v>
      </c>
      <c r="V16" s="781">
        <v>1350</v>
      </c>
      <c r="W16" s="142">
        <v>5.7821959481593799E-2</v>
      </c>
      <c r="X16" s="142">
        <v>5.8970314160098417E-2</v>
      </c>
      <c r="Y16" s="142">
        <v>6.0118668838603034E-2</v>
      </c>
      <c r="Z16" s="142">
        <v>3.9152606797240169E-4</v>
      </c>
      <c r="AA16" s="142">
        <v>4.2450333610873081E-4</v>
      </c>
      <c r="AB16" s="142">
        <v>4.5748060424505993E-4</v>
      </c>
      <c r="AC16" s="252">
        <f>NHHProps_CAM*AvgNHHBill_CAM*(W16+Z16)</f>
        <v>2980530.4601377896</v>
      </c>
      <c r="AD16" s="252">
        <f>NHHProps_CAM*AvgNHHBill_CAM*(X16+AA16)</f>
        <v>3041014.6558058062</v>
      </c>
      <c r="AE16" s="252">
        <f>NHHProps_CAM*AvgNHHBill_CAM*(Y16+AB16)</f>
        <v>3101498.8514738223</v>
      </c>
      <c r="AF16" s="392">
        <f t="shared" si="8"/>
        <v>2207.8003408428071</v>
      </c>
      <c r="AG16" s="252">
        <f t="shared" si="8"/>
        <v>2252.6034487450415</v>
      </c>
      <c r="AH16" s="393">
        <f t="shared" si="8"/>
        <v>2297.4065566472759</v>
      </c>
    </row>
    <row r="17" spans="1:34" x14ac:dyDescent="0.25">
      <c r="A17" s="9" t="s">
        <v>205</v>
      </c>
      <c r="B17" s="9" t="s">
        <v>900</v>
      </c>
      <c r="C17" s="9" t="s">
        <v>26</v>
      </c>
      <c r="D17" s="9" t="s">
        <v>910</v>
      </c>
      <c r="E17" s="672">
        <f>1/70</f>
        <v>1.4285714285714285E-2</v>
      </c>
      <c r="F17" s="673">
        <f>1/90</f>
        <v>1.1111111111111112E-2</v>
      </c>
      <c r="G17" s="673">
        <f>1/105</f>
        <v>9.5238095238095247E-3</v>
      </c>
      <c r="H17" s="136">
        <v>0.36493894747059469</v>
      </c>
      <c r="I17" s="136">
        <v>0.39718669024665654</v>
      </c>
      <c r="J17" s="136">
        <v>0.42943443302271839</v>
      </c>
      <c r="K17" s="136">
        <v>0.4947803713943642</v>
      </c>
      <c r="L17" s="136">
        <v>0.53859352958370721</v>
      </c>
      <c r="M17" s="136">
        <v>0.58240668777305005</v>
      </c>
      <c r="N17" s="252">
        <f>HHProps_SSW*(H17+K17)</f>
        <v>474565.06401345733</v>
      </c>
      <c r="O17" s="252">
        <f>HHProps_SSW*(I17+L17)</f>
        <v>516550.68134636077</v>
      </c>
      <c r="P17" s="252">
        <f>HHProps_SSW*(J17+M17)</f>
        <v>558536.29867926426</v>
      </c>
      <c r="Q17" s="392">
        <f t="shared" si="4"/>
        <v>169.19976815420384</v>
      </c>
      <c r="R17" s="252">
        <f t="shared" si="5"/>
        <v>184.16917331534088</v>
      </c>
      <c r="S17" s="393">
        <f t="shared" si="6"/>
        <v>199.13857847647796</v>
      </c>
      <c r="T17" s="722">
        <f>1/40</f>
        <v>2.5000000000000001E-2</v>
      </c>
      <c r="U17" s="722">
        <f>1/50</f>
        <v>0.02</v>
      </c>
      <c r="V17" s="722">
        <f>1/60</f>
        <v>1.6666666666666666E-2</v>
      </c>
      <c r="W17" s="161">
        <v>4.7278250612377316E-2</v>
      </c>
      <c r="X17" s="161">
        <v>5.3490671066612649E-2</v>
      </c>
      <c r="Y17" s="161">
        <v>5.9703091520847983E-2</v>
      </c>
      <c r="Z17" s="161">
        <v>0.29581160570148801</v>
      </c>
      <c r="AA17" s="161">
        <v>0.33457681646237136</v>
      </c>
      <c r="AB17" s="161">
        <v>0.37334202722325471</v>
      </c>
      <c r="AC17" s="252">
        <f>HHProps_CAM*(W17+Z17)</f>
        <v>44944.771177116359</v>
      </c>
      <c r="AD17" s="252">
        <f>HHProps_CAM*(X17+AA17)</f>
        <v>50836.840866296909</v>
      </c>
      <c r="AE17" s="252">
        <f>HHProps_CAM*(Y17+AB17)</f>
        <v>56728.910555477451</v>
      </c>
      <c r="AF17" s="392">
        <f t="shared" si="1"/>
        <v>38.250869086907535</v>
      </c>
      <c r="AG17" s="252">
        <f t="shared" si="2"/>
        <v>43.265396481954809</v>
      </c>
      <c r="AH17" s="393">
        <f t="shared" si="3"/>
        <v>48.279923877002076</v>
      </c>
    </row>
    <row r="18" spans="1:34" x14ac:dyDescent="0.25">
      <c r="A18" s="9"/>
      <c r="B18" s="651" t="s">
        <v>898</v>
      </c>
      <c r="C18" s="9" t="s">
        <v>407</v>
      </c>
      <c r="D18" s="9" t="s">
        <v>199</v>
      </c>
      <c r="E18" s="672">
        <f>1/80</f>
        <v>1.2500000000000001E-2</v>
      </c>
      <c r="F18" s="673">
        <f>1/100</f>
        <v>0.01</v>
      </c>
      <c r="G18" s="673">
        <f>1/120</f>
        <v>8.3333333333333332E-3</v>
      </c>
      <c r="H18" s="137">
        <v>2.0291267173295669E-4</v>
      </c>
      <c r="I18" s="137">
        <v>2.3562800507588295E-4</v>
      </c>
      <c r="J18" s="137">
        <v>2.6834333841880924E-4</v>
      </c>
      <c r="K18" s="137">
        <v>3.519299703461325E-4</v>
      </c>
      <c r="L18" s="137">
        <v>4.1117889914467278E-4</v>
      </c>
      <c r="M18" s="137">
        <v>4.7042782794321305E-4</v>
      </c>
      <c r="N18" s="252">
        <f>NHHProps_SSW*AvgNHHBill_SSW*(H18+K18)</f>
        <v>90821.082396641941</v>
      </c>
      <c r="O18" s="252">
        <f>NHHProps_SSW*AvgNHHBill_SSW*(I18+L18)</f>
        <v>105874.52853805432</v>
      </c>
      <c r="P18" s="252">
        <f>NHHProps_SSW*AvgNHHBill_SSW*(J18+M18)</f>
        <v>120927.9746794667</v>
      </c>
      <c r="Q18" s="392">
        <f t="shared" si="4"/>
        <v>37.006892657375317</v>
      </c>
      <c r="R18" s="252">
        <f t="shared" si="5"/>
        <v>43.140724701414321</v>
      </c>
      <c r="S18" s="393">
        <f t="shared" si="6"/>
        <v>49.274556745453317</v>
      </c>
      <c r="T18" s="723">
        <f>1/40</f>
        <v>2.5000000000000001E-2</v>
      </c>
      <c r="U18" s="722">
        <f>1/50</f>
        <v>0.02</v>
      </c>
      <c r="V18" s="722">
        <f>1/60</f>
        <v>1.6666666666666666E-2</v>
      </c>
      <c r="W18" s="142">
        <v>1.5046397617298195E-4</v>
      </c>
      <c r="X18" s="142">
        <v>2.654718763279678E-4</v>
      </c>
      <c r="Y18" s="142">
        <v>3.8047977648295365E-4</v>
      </c>
      <c r="Z18" s="142">
        <v>7.600217590545918E-6</v>
      </c>
      <c r="AA18" s="142">
        <v>1.3401602008677625E-5</v>
      </c>
      <c r="AB18" s="142">
        <v>1.9202986426809332E-5</v>
      </c>
      <c r="AC18" s="252">
        <f>NHHProps_CAM*AvgNHHBill_CAM*(W18+Z18)</f>
        <v>8092.886720692627</v>
      </c>
      <c r="AD18" s="252">
        <f>NHHProps_CAM*AvgNHHBill_CAM*(X18+AA18)</f>
        <v>14278.322090836245</v>
      </c>
      <c r="AE18" s="252">
        <f>NHHProps_CAM*AvgNHHBill_CAM*(Y18+AB18)</f>
        <v>20463.757460979865</v>
      </c>
      <c r="AF18" s="392">
        <f t="shared" si="1"/>
        <v>6.887563166546915</v>
      </c>
      <c r="AG18" s="252">
        <f t="shared" si="2"/>
        <v>12.15176348156276</v>
      </c>
      <c r="AH18" s="393">
        <f t="shared" si="3"/>
        <v>17.415963796578605</v>
      </c>
    </row>
    <row r="19" spans="1:34" x14ac:dyDescent="0.25">
      <c r="A19" s="9" t="s">
        <v>28</v>
      </c>
      <c r="B19" s="9" t="s">
        <v>98</v>
      </c>
      <c r="C19" s="9" t="s">
        <v>26</v>
      </c>
      <c r="D19" s="9" t="s">
        <v>910</v>
      </c>
      <c r="E19" s="672">
        <f>1/40</f>
        <v>2.5000000000000001E-2</v>
      </c>
      <c r="F19" s="673">
        <f>1/50</f>
        <v>0.02</v>
      </c>
      <c r="G19" s="673">
        <f>1/65</f>
        <v>1.5384615384615385E-2</v>
      </c>
      <c r="H19" s="136">
        <v>0.37508366263630205</v>
      </c>
      <c r="I19" s="136">
        <v>0.4084226191643695</v>
      </c>
      <c r="J19" s="136">
        <v>0.44176157569243696</v>
      </c>
      <c r="K19" s="136">
        <v>0.25969737115341135</v>
      </c>
      <c r="L19" s="136">
        <v>0.28250000903457151</v>
      </c>
      <c r="M19" s="136">
        <v>0.30530264691573167</v>
      </c>
      <c r="N19" s="252">
        <f>HHProps_SSW*(H19+K19)</f>
        <v>350399.13065192179</v>
      </c>
      <c r="O19" s="252">
        <f>HHProps_SSW*(I19+L19)</f>
        <v>381389.29076581541</v>
      </c>
      <c r="P19" s="252">
        <f>HHProps_SSW*(J19+M19)</f>
        <v>412379.4508797091</v>
      </c>
      <c r="Q19" s="392">
        <f t="shared" ref="Q19:S20" si="9">N19/(($E19-$G19)*100)</f>
        <v>364415.09587799862</v>
      </c>
      <c r="R19" s="252">
        <f t="shared" si="9"/>
        <v>396644.86239644804</v>
      </c>
      <c r="S19" s="393">
        <f t="shared" si="9"/>
        <v>428874.62891489745</v>
      </c>
      <c r="T19" s="672">
        <f>1/20</f>
        <v>0.05</v>
      </c>
      <c r="U19" s="673">
        <f>1/25</f>
        <v>0.04</v>
      </c>
      <c r="V19" s="673">
        <f>1/30</f>
        <v>3.3333333333333333E-2</v>
      </c>
      <c r="W19" s="161">
        <v>0.13790441502151365</v>
      </c>
      <c r="X19" s="161">
        <v>0.15591350717379643</v>
      </c>
      <c r="Y19" s="161">
        <v>0.1739225993260792</v>
      </c>
      <c r="Z19" s="161">
        <v>4.4357392179560917E-2</v>
      </c>
      <c r="AA19" s="161">
        <v>5.0130987785217407E-2</v>
      </c>
      <c r="AB19" s="161">
        <v>5.5904583390873896E-2</v>
      </c>
      <c r="AC19" s="252">
        <f>HHProps_CAM*(W19+Z19)</f>
        <v>23876.296743340768</v>
      </c>
      <c r="AD19" s="252">
        <f>HHProps_CAM*(X19+AA19)</f>
        <v>26991.828839630813</v>
      </c>
      <c r="AE19" s="252">
        <f>HHProps_CAM*(Y19+AB19)</f>
        <v>30107.360935920857</v>
      </c>
      <c r="AF19" s="392">
        <f t="shared" ref="AF19:AH20" si="10">AC19/(($T19-$V19)*100)</f>
        <v>14325.778046004458</v>
      </c>
      <c r="AG19" s="252">
        <f t="shared" si="10"/>
        <v>16195.097303778484</v>
      </c>
      <c r="AH19" s="393">
        <f t="shared" si="10"/>
        <v>18064.416561552513</v>
      </c>
    </row>
    <row r="20" spans="1:34" x14ac:dyDescent="0.25">
      <c r="A20" s="9"/>
      <c r="B20" s="9"/>
      <c r="C20" s="9" t="s">
        <v>406</v>
      </c>
      <c r="D20" s="9" t="s">
        <v>199</v>
      </c>
      <c r="E20" s="672">
        <f>1/40</f>
        <v>2.5000000000000001E-2</v>
      </c>
      <c r="F20" s="673">
        <f>1/50</f>
        <v>0.02</v>
      </c>
      <c r="G20" s="673">
        <f>1/60</f>
        <v>1.6666666666666666E-2</v>
      </c>
      <c r="H20" s="137">
        <v>8.933401804030863E-4</v>
      </c>
      <c r="I20" s="137">
        <v>1.0363458862342743E-3</v>
      </c>
      <c r="J20" s="137">
        <v>1.1793515920654623E-3</v>
      </c>
      <c r="K20" s="137">
        <v>5.4087327997823719E-4</v>
      </c>
      <c r="L20" s="137">
        <v>6.2724159084084235E-4</v>
      </c>
      <c r="M20" s="137">
        <v>7.136099017034474E-4</v>
      </c>
      <c r="N20" s="252">
        <f>NHHProps_SSW*AvgNHHBill_SSW*(H20+K20)</f>
        <v>234763.53290289809</v>
      </c>
      <c r="O20" s="252">
        <f>NHHProps_SSW*AvgNHHBill_SSW*(I20+L20)</f>
        <v>272309.30694747169</v>
      </c>
      <c r="P20" s="252">
        <f>NHHProps_SSW*AvgNHHBill_SSW*(J20+M20)</f>
        <v>309855.08099204529</v>
      </c>
      <c r="Q20" s="392">
        <f t="shared" si="9"/>
        <v>281716.23948347766</v>
      </c>
      <c r="R20" s="252">
        <f t="shared" si="9"/>
        <v>326771.16833696596</v>
      </c>
      <c r="S20" s="393">
        <f t="shared" si="9"/>
        <v>371826.09719045425</v>
      </c>
      <c r="T20" s="672">
        <f>1/50</f>
        <v>0.02</v>
      </c>
      <c r="U20" s="673">
        <f>1/65</f>
        <v>1.5384615384615385E-2</v>
      </c>
      <c r="V20" s="673">
        <f>1/75</f>
        <v>1.3333333333333334E-2</v>
      </c>
      <c r="W20" s="142">
        <v>7.7454840373107961E-4</v>
      </c>
      <c r="X20" s="142">
        <v>1.3694025744847137E-3</v>
      </c>
      <c r="Y20" s="142">
        <v>1.9642567452383478E-3</v>
      </c>
      <c r="Z20" s="142">
        <v>6.2826523130465981E-4</v>
      </c>
      <c r="AA20" s="142">
        <v>1.1073984405910726E-3</v>
      </c>
      <c r="AB20" s="142">
        <v>1.5865316498774856E-3</v>
      </c>
      <c r="AC20" s="252">
        <f>NHHProps_CAM*AvgNHHBill_CAM*(W20+Z20)</f>
        <v>71824.058113829858</v>
      </c>
      <c r="AD20" s="252">
        <f>NHHProps_CAM*AvgNHHBill_CAM*(X20+AA20)</f>
        <v>126812.21197188026</v>
      </c>
      <c r="AE20" s="252">
        <f>NHHProps_CAM*AvgNHHBill_CAM*(Y20+AB20)</f>
        <v>181800.36582993067</v>
      </c>
      <c r="AF20" s="392">
        <f t="shared" si="10"/>
        <v>107736.0871707448</v>
      </c>
      <c r="AG20" s="252">
        <f t="shared" si="10"/>
        <v>190218.3179578204</v>
      </c>
      <c r="AH20" s="393">
        <f t="shared" si="10"/>
        <v>272700.54874489602</v>
      </c>
    </row>
    <row r="21" spans="1:34" x14ac:dyDescent="0.25">
      <c r="A21" s="9" t="s">
        <v>85</v>
      </c>
      <c r="B21" s="64" t="s">
        <v>96</v>
      </c>
      <c r="C21" s="9" t="s">
        <v>26</v>
      </c>
      <c r="D21" s="9" t="s">
        <v>910</v>
      </c>
      <c r="E21" s="134">
        <f>1/10</f>
        <v>0.1</v>
      </c>
      <c r="F21" s="134">
        <f>1/12</f>
        <v>8.3333333333333329E-2</v>
      </c>
      <c r="G21" s="134">
        <f>1/15</f>
        <v>6.6666666666666666E-2</v>
      </c>
      <c r="H21" s="136">
        <v>0.71690504395643695</v>
      </c>
      <c r="I21" s="136">
        <v>0.78010561855806027</v>
      </c>
      <c r="J21" s="136">
        <v>0.84330619315968358</v>
      </c>
      <c r="K21" s="136">
        <v>0.34054490031517803</v>
      </c>
      <c r="L21" s="136">
        <v>0.37050953266002729</v>
      </c>
      <c r="M21" s="136">
        <v>0.40047416500487654</v>
      </c>
      <c r="N21" s="252">
        <f>HHProps_SSW*(H21+K21)</f>
        <v>583712.36923793145</v>
      </c>
      <c r="O21" s="252">
        <f>HHProps_SSW*(I21+L21)</f>
        <v>635139.56347238435</v>
      </c>
      <c r="P21" s="252">
        <f>HHProps_SSW*(J21+M21)</f>
        <v>686566.75770683715</v>
      </c>
      <c r="Q21" s="392">
        <f t="shared" ref="Q21:S24" si="11">N21/(($E21-$G21)*AllProps_SSW)</f>
        <v>29.730680945904822</v>
      </c>
      <c r="R21" s="252">
        <f t="shared" si="11"/>
        <v>32.35006265563927</v>
      </c>
      <c r="S21" s="393">
        <f t="shared" si="11"/>
        <v>34.969444365373704</v>
      </c>
      <c r="T21" s="672">
        <f>1/11</f>
        <v>9.0909090909090912E-2</v>
      </c>
      <c r="U21" s="673">
        <f>1/13</f>
        <v>7.6923076923076927E-2</v>
      </c>
      <c r="V21" s="673">
        <f>1/15</f>
        <v>6.6666666666666666E-2</v>
      </c>
      <c r="W21" s="161">
        <v>1.8944756108760648</v>
      </c>
      <c r="X21" s="161">
        <v>2.1416418362159599</v>
      </c>
      <c r="Y21" s="161">
        <v>2.3888080615558551</v>
      </c>
      <c r="Z21" s="161">
        <v>0.74375865882010261</v>
      </c>
      <c r="AA21" s="161">
        <v>0.84070533256091329</v>
      </c>
      <c r="AB21" s="161">
        <v>0.93765200630172396</v>
      </c>
      <c r="AC21" s="252">
        <f>HHProps_CAM*(W21+Z21)</f>
        <v>345608.68933019793</v>
      </c>
      <c r="AD21" s="252">
        <f>HHProps_CAM*(X21+AA21)</f>
        <v>390687.47910977039</v>
      </c>
      <c r="AE21" s="252">
        <f>HHProps_CAM*(Y21+AB21)</f>
        <v>435766.26888934284</v>
      </c>
      <c r="AF21" s="392">
        <f t="shared" ref="AF21:AH24" si="12">AC21/(($T21-$V21)*AllProps_CAM)</f>
        <v>101.1089250700047</v>
      </c>
      <c r="AG21" s="252">
        <f t="shared" si="12"/>
        <v>114.29686888849665</v>
      </c>
      <c r="AH21" s="393">
        <f t="shared" si="12"/>
        <v>127.48481270698859</v>
      </c>
    </row>
    <row r="22" spans="1:34" x14ac:dyDescent="0.25">
      <c r="A22" s="9"/>
      <c r="B22" s="64"/>
      <c r="C22" s="9" t="s">
        <v>407</v>
      </c>
      <c r="D22" s="9" t="s">
        <v>199</v>
      </c>
      <c r="E22" s="134">
        <f>1/10</f>
        <v>0.1</v>
      </c>
      <c r="F22" s="134">
        <f>1/12</f>
        <v>8.3333333333333329E-2</v>
      </c>
      <c r="G22" s="134">
        <f>1/15</f>
        <v>6.6666666666666666E-2</v>
      </c>
      <c r="H22" s="137">
        <v>6.0115048432303147E-5</v>
      </c>
      <c r="I22" s="137">
        <v>6.9813125314618224E-5</v>
      </c>
      <c r="J22" s="137">
        <v>7.9511202196933301E-5</v>
      </c>
      <c r="K22" s="137">
        <v>3.666006889246064E-4</v>
      </c>
      <c r="L22" s="137">
        <v>4.2539865887973236E-4</v>
      </c>
      <c r="M22" s="137">
        <v>4.8419662883485826E-4</v>
      </c>
      <c r="N22" s="252">
        <f>NHHProps_SSW*AvgNHHBill_SSW*(H22+K22)</f>
        <v>69848.245616477812</v>
      </c>
      <c r="O22" s="252">
        <f>NHHProps_SSW*AvgNHHBill_SSW*(I22+L22)</f>
        <v>81060.226531204855</v>
      </c>
      <c r="P22" s="252">
        <f>NHHProps_SSW*AvgNHHBill_SSW*(J22+M22)</f>
        <v>92272.207445931897</v>
      </c>
      <c r="Q22" s="392">
        <f t="shared" si="11"/>
        <v>3.5576356001601597</v>
      </c>
      <c r="R22" s="252">
        <f t="shared" si="11"/>
        <v>4.12870423758259</v>
      </c>
      <c r="S22" s="393">
        <f t="shared" si="11"/>
        <v>4.6997728750050198</v>
      </c>
      <c r="T22" s="672">
        <f>1/11</f>
        <v>9.0909090909090912E-2</v>
      </c>
      <c r="U22" s="673">
        <f>1/13</f>
        <v>7.6923076923076927E-2</v>
      </c>
      <c r="V22" s="673">
        <f>1/15</f>
        <v>6.6666666666666666E-2</v>
      </c>
      <c r="W22" s="142">
        <v>2.7396587868638138E-5</v>
      </c>
      <c r="X22" s="142">
        <v>4.8585541264324922E-5</v>
      </c>
      <c r="Y22" s="142">
        <v>6.9774494660011709E-5</v>
      </c>
      <c r="Z22" s="142">
        <v>2.6869090592967224E-3</v>
      </c>
      <c r="AA22" s="142">
        <v>4.7427328754792901E-3</v>
      </c>
      <c r="AB22" s="142">
        <v>6.7985566916618587E-3</v>
      </c>
      <c r="AC22" s="252">
        <f>NHHProps_CAM*AvgNHHBill_CAM*(W22+Z22)</f>
        <v>138972.44913486647</v>
      </c>
      <c r="AD22" s="252">
        <f>NHHProps_CAM*AvgNHHBill_CAM*(X22+AA22)</f>
        <v>245315.50293727312</v>
      </c>
      <c r="AE22" s="252">
        <f>NHHProps_CAM*AvgNHHBill_CAM*(Y22+AB22)</f>
        <v>351658.55673967977</v>
      </c>
      <c r="AF22" s="392">
        <f t="shared" si="12"/>
        <v>40.656833523498165</v>
      </c>
      <c r="AG22" s="252">
        <f t="shared" si="12"/>
        <v>71.767833306117126</v>
      </c>
      <c r="AH22" s="393">
        <f t="shared" si="12"/>
        <v>102.8788330887361</v>
      </c>
    </row>
    <row r="23" spans="1:34" x14ac:dyDescent="0.25">
      <c r="A23" s="9" t="s">
        <v>84</v>
      </c>
      <c r="B23" s="9" t="s">
        <v>95</v>
      </c>
      <c r="C23" s="9" t="s">
        <v>26</v>
      </c>
      <c r="D23" s="9" t="s">
        <v>910</v>
      </c>
      <c r="E23" s="672">
        <f>1/80</f>
        <v>1.2500000000000001E-2</v>
      </c>
      <c r="F23" s="673">
        <f>1/100</f>
        <v>0.01</v>
      </c>
      <c r="G23" s="673">
        <f>1/120</f>
        <v>8.3333333333333332E-3</v>
      </c>
      <c r="H23" s="136">
        <v>1.3101072761519508</v>
      </c>
      <c r="I23" s="136">
        <v>1.4255548334023851</v>
      </c>
      <c r="J23" s="136">
        <v>1.5410023906528194</v>
      </c>
      <c r="K23" s="136">
        <v>0.18672413333359894</v>
      </c>
      <c r="L23" s="136">
        <v>0.20311814361894776</v>
      </c>
      <c r="M23" s="136">
        <v>0.21951215390429657</v>
      </c>
      <c r="N23" s="252">
        <f>HHProps_SSW*(H23+K23)</f>
        <v>826250.93803602341</v>
      </c>
      <c r="O23" s="252">
        <f>HHProps_SSW*(I23+L23)</f>
        <v>899027.48331577575</v>
      </c>
      <c r="P23" s="252">
        <f>HHProps_SSW*(J23+M23)</f>
        <v>971804.02859552798</v>
      </c>
      <c r="Q23" s="392">
        <f t="shared" si="11"/>
        <v>336.67270819804008</v>
      </c>
      <c r="R23" s="252">
        <f t="shared" si="11"/>
        <v>366.32698810829567</v>
      </c>
      <c r="S23" s="393">
        <f t="shared" si="11"/>
        <v>395.98126801855125</v>
      </c>
      <c r="T23" s="672">
        <f>1/80</f>
        <v>1.2500000000000001E-2</v>
      </c>
      <c r="U23" s="673">
        <f>1/100</f>
        <v>0.01</v>
      </c>
      <c r="V23" s="673">
        <f>1/120</f>
        <v>8.3333333333333332E-3</v>
      </c>
      <c r="W23" s="161">
        <v>1.1578042781221995</v>
      </c>
      <c r="X23" s="161">
        <v>1.309191820402853</v>
      </c>
      <c r="Y23" s="161">
        <v>1.4605793626835064</v>
      </c>
      <c r="Z23" s="161">
        <v>0.46242483584795102</v>
      </c>
      <c r="AA23" s="161">
        <v>0.52259303136744828</v>
      </c>
      <c r="AB23" s="161">
        <v>0.58276122688694532</v>
      </c>
      <c r="AC23" s="252">
        <f>HHProps_CAM*(W23+Z23)</f>
        <v>212250.01393008971</v>
      </c>
      <c r="AD23" s="252">
        <f>HHProps_CAM*(X23+AA23)</f>
        <v>239963.81558190947</v>
      </c>
      <c r="AE23" s="252">
        <f>HHProps_CAM*(Y23+AB23)</f>
        <v>267677.61723372916</v>
      </c>
      <c r="AF23" s="392">
        <f t="shared" si="12"/>
        <v>361.2766194554718</v>
      </c>
      <c r="AG23" s="252">
        <f t="shared" si="12"/>
        <v>408.44904779899474</v>
      </c>
      <c r="AH23" s="393">
        <f t="shared" si="12"/>
        <v>455.62147614251762</v>
      </c>
    </row>
    <row r="24" spans="1:34" x14ac:dyDescent="0.25">
      <c r="A24" s="9"/>
      <c r="B24" s="9"/>
      <c r="C24" s="9"/>
      <c r="D24" s="9" t="s">
        <v>199</v>
      </c>
      <c r="E24" s="672">
        <f>1/80</f>
        <v>1.2500000000000001E-2</v>
      </c>
      <c r="F24" s="673">
        <f>1/100</f>
        <v>0.01</v>
      </c>
      <c r="G24" s="673">
        <f>1/120</f>
        <v>8.3333333333333332E-3</v>
      </c>
      <c r="H24" s="137">
        <v>2.8055524476967926E-3</v>
      </c>
      <c r="I24" s="137">
        <v>3.2547973798216128E-3</v>
      </c>
      <c r="J24" s="137">
        <v>3.7040423119464329E-3</v>
      </c>
      <c r="K24" s="137">
        <v>6.8521584744180367E-4</v>
      </c>
      <c r="L24" s="137">
        <v>7.948008279647506E-4</v>
      </c>
      <c r="M24" s="137">
        <v>9.0438580848769797E-4</v>
      </c>
      <c r="N24" s="252">
        <f>NHHProps_SSW*AvgNHHBill_SSW*(H24+K24)</f>
        <v>571396.8806946465</v>
      </c>
      <c r="O24" s="252">
        <f>NHHProps_SSW*AvgNHHBill_SSW*(I24+L24)</f>
        <v>662870.63143613422</v>
      </c>
      <c r="P24" s="252">
        <f>NHHProps_SSW*AvgNHHBill_SSW*(J24+M24)</f>
        <v>754344.38217762206</v>
      </c>
      <c r="Q24" s="392">
        <f t="shared" si="11"/>
        <v>232.82725189595101</v>
      </c>
      <c r="R24" s="252">
        <f t="shared" si="11"/>
        <v>270.10008751217691</v>
      </c>
      <c r="S24" s="393">
        <f t="shared" si="11"/>
        <v>307.37292312840282</v>
      </c>
      <c r="T24" s="672">
        <f>1/80</f>
        <v>1.2500000000000001E-2</v>
      </c>
      <c r="U24" s="673">
        <f>1/100</f>
        <v>0.01</v>
      </c>
      <c r="V24" s="673">
        <f>1/120</f>
        <v>8.3333333333333332E-3</v>
      </c>
      <c r="W24" s="142">
        <v>5.367193553620277E-6</v>
      </c>
      <c r="X24" s="142">
        <v>9.4713974082152442E-6</v>
      </c>
      <c r="Y24" s="142">
        <v>1.3575601262810212E-5</v>
      </c>
      <c r="Z24" s="142">
        <v>3.5316956104929938E-4</v>
      </c>
      <c r="AA24" s="142">
        <v>6.2354630531377838E-4</v>
      </c>
      <c r="AB24" s="142">
        <v>8.9392304957825732E-4</v>
      </c>
      <c r="AC24" s="252">
        <f>NHHProps_CAM*AvgNHHBill_CAM*(W24+Z24)</f>
        <v>18357.081835669487</v>
      </c>
      <c r="AD24" s="252">
        <f>NHHProps_CAM*AvgNHHBill_CAM*(X24+AA24)</f>
        <v>32410.50637936607</v>
      </c>
      <c r="AE24" s="252">
        <f>NHHProps_CAM*AvgNHHBill_CAM*(Y24+AB24)</f>
        <v>46463.93092306266</v>
      </c>
      <c r="AF24" s="392">
        <f t="shared" si="12"/>
        <v>31.246096741565079</v>
      </c>
      <c r="AG24" s="252">
        <f t="shared" si="12"/>
        <v>55.166819369133727</v>
      </c>
      <c r="AH24" s="393">
        <f t="shared" si="12"/>
        <v>79.087541996702384</v>
      </c>
    </row>
    <row r="25" spans="1:34" x14ac:dyDescent="0.25">
      <c r="A25" s="128" t="s">
        <v>3</v>
      </c>
      <c r="B25" s="9" t="s">
        <v>901</v>
      </c>
      <c r="C25" s="9" t="s">
        <v>396</v>
      </c>
      <c r="D25" s="9" t="s">
        <v>910</v>
      </c>
      <c r="E25" s="140">
        <v>70.5</v>
      </c>
      <c r="F25" s="140">
        <v>52.875</v>
      </c>
      <c r="G25" s="140">
        <v>35.25</v>
      </c>
      <c r="H25" s="136">
        <v>1.1133669909056221</v>
      </c>
      <c r="I25" s="136">
        <v>1.2301339708448666</v>
      </c>
      <c r="J25" s="136">
        <v>1.3469009507841112</v>
      </c>
      <c r="K25" s="136">
        <v>0.39939968889109578</v>
      </c>
      <c r="L25" s="136">
        <v>0.44133293088857806</v>
      </c>
      <c r="M25" s="136">
        <v>0.48326617288606033</v>
      </c>
      <c r="N25" s="252">
        <f>HHProps_SSW*(H25+K25)</f>
        <v>835047.2072477882</v>
      </c>
      <c r="O25" s="252">
        <f>HHProps_SSW*(I25+L25)</f>
        <v>922649.72975686146</v>
      </c>
      <c r="P25" s="252">
        <f>HHProps_SSW*(J25+M25)</f>
        <v>1010252.2522659347</v>
      </c>
      <c r="Q25" s="392">
        <f>N25/($E25-$G25)</f>
        <v>23689.28247511456</v>
      </c>
      <c r="R25" s="252">
        <f>O25/(($E25-$G25))</f>
        <v>26174.460418634368</v>
      </c>
      <c r="S25" s="393">
        <f>P25/(($E25-$G25))</f>
        <v>28659.638362154175</v>
      </c>
      <c r="T25" s="652">
        <v>13.5</v>
      </c>
      <c r="U25" s="652">
        <v>10.125</v>
      </c>
      <c r="V25" s="652">
        <v>6.75</v>
      </c>
      <c r="W25" s="151">
        <v>2.8055796683559659</v>
      </c>
      <c r="X25" s="151">
        <v>3.1349723048319831</v>
      </c>
      <c r="Y25" s="152">
        <v>3.4643649413080002</v>
      </c>
      <c r="Z25" s="152">
        <v>4.6058366710095555E-3</v>
      </c>
      <c r="AA25" s="151">
        <v>5.1405797633106154E-3</v>
      </c>
      <c r="AB25" s="151">
        <v>5.6753228556116753E-3</v>
      </c>
      <c r="AC25" s="252">
        <f>HHProps_CAM*(W25+Z25)</f>
        <v>368134.30115853378</v>
      </c>
      <c r="AD25" s="252">
        <f>HHProps_CAM*(X25+AA25)</f>
        <v>411354.7878819835</v>
      </c>
      <c r="AE25" s="252">
        <f>HHProps_CAM*(Y25+AB25)</f>
        <v>454575.27460543317</v>
      </c>
      <c r="AF25" s="392">
        <f>AC25/($T25-$V25)</f>
        <v>54538.414986449447</v>
      </c>
      <c r="AG25" s="252">
        <f>AD25/(($T25-$V25))</f>
        <v>60941.450056590147</v>
      </c>
      <c r="AH25" s="393">
        <f>AE25/(($T25-$V25))</f>
        <v>67344.48512673084</v>
      </c>
    </row>
    <row r="26" spans="1:34" x14ac:dyDescent="0.25">
      <c r="A26" s="128"/>
      <c r="B26" s="9"/>
      <c r="C26" s="9"/>
      <c r="D26" s="9" t="s">
        <v>199</v>
      </c>
      <c r="E26" s="140">
        <v>70.5</v>
      </c>
      <c r="F26" s="140">
        <v>52.875</v>
      </c>
      <c r="G26" s="140">
        <v>35.25</v>
      </c>
      <c r="H26" s="137">
        <v>1.202561017672666E-2</v>
      </c>
      <c r="I26" s="137">
        <v>1.8366495603833657E-2</v>
      </c>
      <c r="J26" s="137">
        <v>2.4707381030940653E-2</v>
      </c>
      <c r="K26" s="137">
        <v>4.3779828845979495E-3</v>
      </c>
      <c r="L26" s="137">
        <v>6.6875105310339848E-3</v>
      </c>
      <c r="M26" s="137">
        <v>8.9970381774700237E-3</v>
      </c>
      <c r="N26" s="252">
        <f>NHHProps_SSW*AvgNHHBill_SSW*(H26+K26)</f>
        <v>2685071.3410221026</v>
      </c>
      <c r="O26" s="252">
        <f>NHHProps_SSW*AvgNHHBill_SSW*(I26+L26)</f>
        <v>4101040.1562042143</v>
      </c>
      <c r="P26" s="252">
        <f>NHHProps_SSW*AvgNHHBill_SSW*(J26+M26)</f>
        <v>5517008.9713863265</v>
      </c>
      <c r="Q26" s="392">
        <f>N26/($E26-$G26)</f>
        <v>76172.236624740501</v>
      </c>
      <c r="R26" s="252">
        <f>O26/(($E26-$G26))</f>
        <v>116341.56471501317</v>
      </c>
      <c r="S26" s="393">
        <f>P26/(($E26-$G26))</f>
        <v>156510.89280528587</v>
      </c>
      <c r="T26" s="652">
        <v>13.5</v>
      </c>
      <c r="U26" s="652">
        <v>10.125</v>
      </c>
      <c r="V26" s="652">
        <v>6.75</v>
      </c>
      <c r="W26" s="142">
        <v>6.731529552804788E-2</v>
      </c>
      <c r="X26" s="142">
        <v>7.1569068986342493E-2</v>
      </c>
      <c r="Y26" s="142">
        <v>7.5822842444637106E-2</v>
      </c>
      <c r="Z26" s="142">
        <v>2.9370006353683031E-2</v>
      </c>
      <c r="AA26" s="142">
        <v>3.5284810800562588E-2</v>
      </c>
      <c r="AB26" s="142">
        <v>4.1199615247442145E-2</v>
      </c>
      <c r="AC26" s="252">
        <f>NHHProps_CAM*AvgNHHBill_CAM*(W26+Z26)</f>
        <v>4950287.4563446231</v>
      </c>
      <c r="AD26" s="252">
        <f>NHHProps_CAM*AvgNHHBill_CAM*(X26+AA26)</f>
        <v>5470918.6450895406</v>
      </c>
      <c r="AE26" s="252">
        <f>NHHProps_CAM*AvgNHHBill_CAM*(Y26+AB26)</f>
        <v>5991549.8338344572</v>
      </c>
      <c r="AF26" s="392">
        <f>AC26/($T26-$V26)</f>
        <v>733375.91945846274</v>
      </c>
      <c r="AG26" s="252">
        <f>AD26/(($T26-$V26))</f>
        <v>810506.46593919117</v>
      </c>
      <c r="AH26" s="393">
        <f>AE26/(($T26-$V26))</f>
        <v>887637.0124199196</v>
      </c>
    </row>
    <row r="27" spans="1:34" x14ac:dyDescent="0.25">
      <c r="A27" s="9" t="s">
        <v>87</v>
      </c>
      <c r="B27" s="9" t="s">
        <v>902</v>
      </c>
      <c r="C27" s="9" t="s">
        <v>412</v>
      </c>
      <c r="D27" s="9" t="s">
        <v>910</v>
      </c>
      <c r="E27" s="675">
        <v>0.33</v>
      </c>
      <c r="F27" s="676">
        <v>0.4</v>
      </c>
      <c r="G27" s="676">
        <v>0.5</v>
      </c>
      <c r="H27" s="136">
        <v>3.6014494095149354</v>
      </c>
      <c r="I27" s="136">
        <v>3.9796847923577343</v>
      </c>
      <c r="J27" s="136">
        <v>4.3579201752005332</v>
      </c>
      <c r="K27" s="136">
        <v>0.47465145207669757</v>
      </c>
      <c r="L27" s="136">
        <v>0.52424962900217631</v>
      </c>
      <c r="M27" s="136">
        <v>0.57384780592765505</v>
      </c>
      <c r="N27" s="252">
        <f>HHProps_SSW*(H27+K27)</f>
        <v>2250007.6755985813</v>
      </c>
      <c r="O27" s="252">
        <f>HHProps_SSW*(I27+L27)</f>
        <v>2486171.8005906707</v>
      </c>
      <c r="P27" s="252">
        <f>HHProps_SSW*(J27+M27)</f>
        <v>2722335.92558276</v>
      </c>
      <c r="Q27" s="392">
        <f>-N27/(($E27-$G27)*HHProps_SSW)</f>
        <v>23.977063891715492</v>
      </c>
      <c r="R27" s="252">
        <f>-O27/(($E27-$G27)*HHProps_SSW)</f>
        <v>26.493731890352418</v>
      </c>
      <c r="S27" s="393">
        <f>-P27/(($E27-$G27)*HHProps_SSW)</f>
        <v>29.010399888989348</v>
      </c>
      <c r="T27" s="721">
        <v>0.7</v>
      </c>
      <c r="U27" s="731">
        <v>0.8</v>
      </c>
      <c r="V27" s="731">
        <v>0.95</v>
      </c>
      <c r="W27" s="161">
        <v>1.2861932377052572</v>
      </c>
      <c r="X27" s="161">
        <v>1.4360208416640492</v>
      </c>
      <c r="Y27" s="161">
        <v>1.5858484456228412</v>
      </c>
      <c r="Z27" s="161">
        <v>0.82228239805643</v>
      </c>
      <c r="AA27" s="161">
        <v>0.918140410423955</v>
      </c>
      <c r="AB27" s="161">
        <v>1.01399842279148</v>
      </c>
      <c r="AC27" s="252">
        <f>HHProps_CAM*(W27+Z27)</f>
        <v>276210.308284781</v>
      </c>
      <c r="AD27" s="252">
        <f>HHProps_CAM*(X27+AA27)</f>
        <v>308395.12402352854</v>
      </c>
      <c r="AE27" s="252">
        <f>HHProps_CAM*(Y27+AB27)</f>
        <v>340579.93976227607</v>
      </c>
      <c r="AF27" s="392">
        <f>-AC27/(($T27-$V27)*HHProps_CAM)</f>
        <v>8.4339025430467487</v>
      </c>
      <c r="AG27" s="252">
        <f>-AD27/(($T27-$V27)*HHProps_CAM)</f>
        <v>9.4166450083520168</v>
      </c>
      <c r="AH27" s="393">
        <f>-AE27/(($T27-$V27)*HHProps_CAM)</f>
        <v>10.399387473657285</v>
      </c>
    </row>
    <row r="28" spans="1:34" x14ac:dyDescent="0.25">
      <c r="A28" s="9"/>
      <c r="B28" s="651" t="s">
        <v>929</v>
      </c>
      <c r="C28" s="9"/>
      <c r="D28" s="9" t="s">
        <v>199</v>
      </c>
      <c r="E28" s="724"/>
      <c r="F28" s="725"/>
      <c r="G28" s="725"/>
      <c r="H28" s="764"/>
      <c r="I28" s="764"/>
      <c r="J28" s="764"/>
      <c r="K28" s="764"/>
      <c r="L28" s="764"/>
      <c r="M28" s="764"/>
      <c r="N28" s="252"/>
      <c r="O28" s="252"/>
      <c r="P28" s="252"/>
      <c r="Q28" s="727"/>
      <c r="R28" s="726"/>
      <c r="S28" s="728"/>
      <c r="T28" s="729"/>
      <c r="U28" s="729"/>
      <c r="V28" s="729"/>
      <c r="W28" s="730"/>
      <c r="X28" s="730"/>
      <c r="Y28" s="730"/>
      <c r="Z28" s="730"/>
      <c r="AA28" s="730"/>
      <c r="AB28" s="730"/>
      <c r="AC28" s="252"/>
      <c r="AD28" s="252"/>
      <c r="AE28" s="252"/>
      <c r="AF28" s="727"/>
      <c r="AG28" s="726"/>
      <c r="AH28" s="728"/>
    </row>
    <row r="29" spans="1:34" x14ac:dyDescent="0.25">
      <c r="A29" s="65" t="s">
        <v>414</v>
      </c>
      <c r="B29" s="62" t="s">
        <v>903</v>
      </c>
      <c r="C29" s="9" t="s">
        <v>415</v>
      </c>
      <c r="D29" s="9" t="s">
        <v>910</v>
      </c>
      <c r="E29" s="675">
        <v>0.11</v>
      </c>
      <c r="F29" s="676">
        <v>0.14000000000000001</v>
      </c>
      <c r="G29" s="676">
        <v>0.18</v>
      </c>
      <c r="H29" s="136">
        <v>0.73632440442085445</v>
      </c>
      <c r="I29" s="136">
        <v>0.81357078115486769</v>
      </c>
      <c r="J29" s="136">
        <v>0.89081715788888094</v>
      </c>
      <c r="K29" s="136">
        <v>0.76369701627435893</v>
      </c>
      <c r="L29" s="136">
        <v>0.84359983447308762</v>
      </c>
      <c r="M29" s="136">
        <v>0.9235026526718163</v>
      </c>
      <c r="N29" s="252">
        <f>HHProps_SSW*(H29+K29)</f>
        <v>828011.82422375784</v>
      </c>
      <c r="O29" s="252">
        <f>HHProps_SSW*(I29+L29)</f>
        <v>914758.17982663133</v>
      </c>
      <c r="P29" s="252">
        <f>HHProps_SSW*(J29+M29)</f>
        <v>1001504.5354295049</v>
      </c>
      <c r="Q29" s="392">
        <f t="shared" ref="Q29:S30" si="13">-(N29/($E29-$G29))/100</f>
        <v>118287.40346053684</v>
      </c>
      <c r="R29" s="252">
        <f>-(O29/($E29-$G29))/100</f>
        <v>130679.73997523305</v>
      </c>
      <c r="S29" s="393">
        <f t="shared" si="13"/>
        <v>143072.07648992928</v>
      </c>
      <c r="T29" s="675">
        <v>0.11</v>
      </c>
      <c r="U29" s="676">
        <v>0.14000000000000001</v>
      </c>
      <c r="V29" s="676">
        <v>0.18</v>
      </c>
      <c r="W29" s="161">
        <v>8.7395671526669227E-3</v>
      </c>
      <c r="X29" s="161">
        <v>9.7726891758161544E-3</v>
      </c>
      <c r="Y29" s="161">
        <v>1.0805811198965386E-2</v>
      </c>
      <c r="Z29" s="161">
        <v>0.10956559734558968</v>
      </c>
      <c r="AA29" s="161">
        <v>0.12232845270381847</v>
      </c>
      <c r="AB29" s="161">
        <v>0.13509130806204725</v>
      </c>
      <c r="AC29" s="252">
        <f>HHProps_CAM*(W29+Z29)</f>
        <v>15497.976549271616</v>
      </c>
      <c r="AD29" s="252">
        <f>HHProps_CAM*(X29+AA29)</f>
        <v>17305.249586232134</v>
      </c>
      <c r="AE29" s="252">
        <f>HHProps_CAM*(Y29+AB29)</f>
        <v>19112.522623192657</v>
      </c>
      <c r="AF29" s="392">
        <f t="shared" ref="AF29:AH30" si="14">-(AC29/($T29-$V29))/100</f>
        <v>2213.9966498959457</v>
      </c>
      <c r="AG29" s="252">
        <f t="shared" si="14"/>
        <v>2472.1785123188765</v>
      </c>
      <c r="AH29" s="393">
        <f t="shared" si="14"/>
        <v>2730.3603747418088</v>
      </c>
    </row>
    <row r="30" spans="1:34" x14ac:dyDescent="0.25">
      <c r="A30" s="62"/>
      <c r="B30" s="62"/>
      <c r="C30" s="9"/>
      <c r="D30" s="9" t="s">
        <v>199</v>
      </c>
      <c r="E30" s="675">
        <v>0.11</v>
      </c>
      <c r="F30" s="676">
        <v>0.14000000000000001</v>
      </c>
      <c r="G30" s="676">
        <v>0.18</v>
      </c>
      <c r="H30" s="137">
        <v>7.8829222949999347E-3</v>
      </c>
      <c r="I30" s="137">
        <v>1.2065378629958141E-2</v>
      </c>
      <c r="J30" s="137">
        <v>1.6247834964916347E-2</v>
      </c>
      <c r="K30" s="137">
        <v>2.5432230107452648E-3</v>
      </c>
      <c r="L30" s="137">
        <v>3.8869975294432441E-3</v>
      </c>
      <c r="M30" s="137">
        <v>5.2307720481412252E-3</v>
      </c>
      <c r="N30" s="252">
        <f>NHHProps_SSW*AvgNHHBill_SSW*(H30+K30)</f>
        <v>1706634.8728068203</v>
      </c>
      <c r="O30" s="252">
        <f>NHHProps_SSW*AvgNHHBill_SSW*(I30+L30)</f>
        <v>2611212.5487800939</v>
      </c>
      <c r="P30" s="252">
        <f>NHHProps_SSW*AvgNHHBill_SSW*(J30+M30)</f>
        <v>3515790.2247533682</v>
      </c>
      <c r="Q30" s="392">
        <f t="shared" si="13"/>
        <v>243804.98182954581</v>
      </c>
      <c r="R30" s="252">
        <f t="shared" si="13"/>
        <v>373030.36411144206</v>
      </c>
      <c r="S30" s="393">
        <f t="shared" si="13"/>
        <v>502255.74639333837</v>
      </c>
      <c r="T30" s="675">
        <v>0.11</v>
      </c>
      <c r="U30" s="676">
        <v>0.14000000000000001</v>
      </c>
      <c r="V30" s="676">
        <v>0.18</v>
      </c>
      <c r="W30" s="142">
        <v>0</v>
      </c>
      <c r="X30" s="142">
        <v>1.8975572628403961E-4</v>
      </c>
      <c r="Y30" s="142">
        <v>1.4252903078192122E-3</v>
      </c>
      <c r="Z30" s="142">
        <v>0</v>
      </c>
      <c r="AA30" s="142">
        <v>2.794830386975671E-3</v>
      </c>
      <c r="AB30" s="142">
        <v>2.0992486824614534E-2</v>
      </c>
      <c r="AC30" s="252">
        <f>NHHProps_CAM*AvgNHHBill_CAM*(W30+Z30)</f>
        <v>0</v>
      </c>
      <c r="AD30" s="252">
        <f>NHHProps_CAM*AvgNHHBill_CAM*(X30+AA30)</f>
        <v>152810.80899889718</v>
      </c>
      <c r="AE30" s="252">
        <f>NHHProps_CAM*AvgNHHBill_CAM*(Y30+AB30)</f>
        <v>1147790.1891806079</v>
      </c>
      <c r="AF30" s="392">
        <f t="shared" si="14"/>
        <v>0</v>
      </c>
      <c r="AG30" s="252">
        <f t="shared" si="14"/>
        <v>21830.115571271028</v>
      </c>
      <c r="AH30" s="393">
        <f t="shared" si="14"/>
        <v>163970.02702580116</v>
      </c>
    </row>
    <row r="31" spans="1:34" x14ac:dyDescent="0.25">
      <c r="A31" s="62" t="s">
        <v>112</v>
      </c>
      <c r="B31" s="62" t="s">
        <v>904</v>
      </c>
      <c r="C31" s="9" t="s">
        <v>397</v>
      </c>
      <c r="D31" s="9" t="s">
        <v>910</v>
      </c>
      <c r="E31" s="684">
        <v>0</v>
      </c>
      <c r="F31" s="685">
        <v>25</v>
      </c>
      <c r="G31" s="685">
        <v>50</v>
      </c>
      <c r="H31" s="136">
        <v>0.2816130727345566</v>
      </c>
      <c r="I31" s="136">
        <v>0.31132700138064179</v>
      </c>
      <c r="J31" s="136">
        <v>0.34104093002672697</v>
      </c>
      <c r="K31" s="136">
        <v>0.12019781107718563</v>
      </c>
      <c r="L31" s="136">
        <v>0.13284027031511708</v>
      </c>
      <c r="M31" s="136">
        <v>0.14548272955304853</v>
      </c>
      <c r="N31" s="252">
        <f>HHProps_SSW*(H31+K31)</f>
        <v>221799.60786408171</v>
      </c>
      <c r="O31" s="252">
        <f>HHProps_SSW*(I31+L31)</f>
        <v>245180.3339760589</v>
      </c>
      <c r="P31" s="252">
        <f>HHProps_SSW*(J31+M31)</f>
        <v>268561.06008803606</v>
      </c>
      <c r="Q31" s="392">
        <f t="shared" ref="Q31:Q36" si="15">-N31/($E31-$G31)</f>
        <v>4435.9921572816347</v>
      </c>
      <c r="R31" s="252">
        <f t="shared" ref="R31:R39" si="16">-O31/(($E31-$G31))</f>
        <v>4903.6066795211782</v>
      </c>
      <c r="S31" s="393">
        <f t="shared" ref="S31:S39" si="17">-P31/(($E31-$G31))</f>
        <v>5371.2212017607208</v>
      </c>
      <c r="T31" s="684">
        <v>0</v>
      </c>
      <c r="U31" s="685">
        <v>4</v>
      </c>
      <c r="V31" s="685">
        <v>9</v>
      </c>
      <c r="W31" s="161">
        <v>0.14796576648039658</v>
      </c>
      <c r="X31" s="161">
        <v>0.16524275196632074</v>
      </c>
      <c r="Y31" s="161">
        <v>0.1825197374522449</v>
      </c>
      <c r="Z31" s="161">
        <v>1.9833281841484279E-2</v>
      </c>
      <c r="AA31" s="161">
        <v>2.2165878650139109E-2</v>
      </c>
      <c r="AB31" s="161">
        <v>2.4498475458793939E-2</v>
      </c>
      <c r="AC31" s="252">
        <f>HHProps_CAM*(W31+Z31)</f>
        <v>21981.675330166392</v>
      </c>
      <c r="AD31" s="252">
        <f>HHProps_CAM*(X31+AA31)</f>
        <v>24550.530610756239</v>
      </c>
      <c r="AE31" s="252">
        <f>HHProps_CAM*(Y31+AB31)</f>
        <v>27119.385891346086</v>
      </c>
      <c r="AF31" s="392">
        <f t="shared" ref="AF31:AF36" si="18">-AC31/($T31-$V31)</f>
        <v>2442.4083700184879</v>
      </c>
      <c r="AG31" s="252">
        <f t="shared" ref="AG31:AG39" si="19">-AD31/(($T31-$V31))</f>
        <v>2727.836734528471</v>
      </c>
      <c r="AH31" s="393">
        <f t="shared" ref="AH31:AH39" si="20">-AE31/(($T31-$V31))</f>
        <v>3013.2650990384541</v>
      </c>
    </row>
    <row r="32" spans="1:34" x14ac:dyDescent="0.25">
      <c r="A32" s="62"/>
      <c r="B32" s="671" t="s">
        <v>905</v>
      </c>
      <c r="C32" s="9"/>
      <c r="D32" s="9" t="s">
        <v>199</v>
      </c>
      <c r="E32" s="684">
        <v>0</v>
      </c>
      <c r="F32" s="685">
        <v>25</v>
      </c>
      <c r="G32" s="685">
        <v>50</v>
      </c>
      <c r="H32" s="137">
        <v>2.3621667444002399E-4</v>
      </c>
      <c r="I32" s="137">
        <v>3.6163448555426433E-4</v>
      </c>
      <c r="J32" s="137">
        <v>4.8705229666850467E-4</v>
      </c>
      <c r="K32" s="137">
        <v>9.5856085517408911E-4</v>
      </c>
      <c r="L32" s="137">
        <v>1.464595009466312E-3</v>
      </c>
      <c r="M32" s="137">
        <v>1.9706291637585347E-3</v>
      </c>
      <c r="N32" s="252">
        <f>NHHProps_SSW*AvgNHHBill_SSW*(H32+K32)</f>
        <v>195570.74426747495</v>
      </c>
      <c r="O32" s="252">
        <f>NHHProps_SSW*AvgNHHBill_SSW*(I32+L32)</f>
        <v>298931.85358092812</v>
      </c>
      <c r="P32" s="252">
        <f>NHHProps_SSW*AvgNHHBill_SSW*(J32+M32)</f>
        <v>402292.96289438126</v>
      </c>
      <c r="Q32" s="392">
        <f t="shared" si="15"/>
        <v>3911.4148853494989</v>
      </c>
      <c r="R32" s="252">
        <f t="shared" si="16"/>
        <v>5978.637071618562</v>
      </c>
      <c r="S32" s="393">
        <f t="shared" si="17"/>
        <v>8045.8592578876251</v>
      </c>
      <c r="T32" s="684">
        <v>0</v>
      </c>
      <c r="U32" s="685">
        <v>4</v>
      </c>
      <c r="V32" s="685">
        <v>9</v>
      </c>
      <c r="W32" s="759">
        <v>0</v>
      </c>
      <c r="X32" s="759">
        <v>1.500948855436721E-2</v>
      </c>
      <c r="Y32" s="153">
        <v>0.11273902396799217</v>
      </c>
      <c r="Z32" s="153">
        <v>0</v>
      </c>
      <c r="AA32" s="759">
        <v>5.3297158206472399E-3</v>
      </c>
      <c r="AB32" s="759">
        <v>4.0032471546339612E-2</v>
      </c>
      <c r="AC32" s="252">
        <f>NHHProps_CAM*AvgNHHBill_CAM*(W32+Z32)</f>
        <v>0</v>
      </c>
      <c r="AD32" s="252">
        <f>NHHProps_CAM*AvgNHHBill_CAM*(X32+AA32)</f>
        <v>1041367.2640007398</v>
      </c>
      <c r="AE32" s="252">
        <f>NHHProps_CAM*AvgNHHBill_CAM*(Y32+AB32)</f>
        <v>7821900.5703337872</v>
      </c>
      <c r="AF32" s="392">
        <f t="shared" si="18"/>
        <v>0</v>
      </c>
      <c r="AG32" s="252">
        <f t="shared" si="19"/>
        <v>115707.47377785998</v>
      </c>
      <c r="AH32" s="393">
        <f t="shared" si="20"/>
        <v>869100.06337042083</v>
      </c>
    </row>
    <row r="33" spans="1:34" x14ac:dyDescent="0.25">
      <c r="A33" s="62" t="s">
        <v>89</v>
      </c>
      <c r="B33" s="9" t="s">
        <v>906</v>
      </c>
      <c r="C33" s="9" t="s">
        <v>908</v>
      </c>
      <c r="D33" s="9" t="s">
        <v>910</v>
      </c>
      <c r="E33" s="686">
        <v>0</v>
      </c>
      <c r="F33" s="686">
        <v>150</v>
      </c>
      <c r="G33" s="686">
        <v>200</v>
      </c>
      <c r="H33" s="136">
        <v>1.4509797654704093</v>
      </c>
      <c r="I33" s="136">
        <v>1.6031866034099231</v>
      </c>
      <c r="J33" s="136">
        <v>1.755393441349437</v>
      </c>
      <c r="K33" s="136">
        <v>0.91813211964563313</v>
      </c>
      <c r="L33" s="136">
        <v>1.0142326286036367</v>
      </c>
      <c r="M33" s="136">
        <v>1.1103331375616403</v>
      </c>
      <c r="N33" s="252">
        <f>HHProps_SSW*(H33+K33)</f>
        <v>1307749.7605840554</v>
      </c>
      <c r="O33" s="252">
        <f>HHProps_SSW*(I33+L33)</f>
        <v>1444815.416071485</v>
      </c>
      <c r="P33" s="252">
        <f>HHProps_SSW*(J33+M33)</f>
        <v>1581881.0715589146</v>
      </c>
      <c r="Q33" s="392">
        <f t="shared" si="15"/>
        <v>6538.7488029202768</v>
      </c>
      <c r="R33" s="252">
        <f t="shared" si="16"/>
        <v>7224.0770803574251</v>
      </c>
      <c r="S33" s="393">
        <f t="shared" si="17"/>
        <v>7909.4053577945733</v>
      </c>
      <c r="T33" s="684">
        <v>0</v>
      </c>
      <c r="U33" s="685">
        <v>50</v>
      </c>
      <c r="V33" s="685">
        <v>100</v>
      </c>
      <c r="W33" s="161">
        <v>0.79933212187237435</v>
      </c>
      <c r="X33" s="161">
        <v>0.89295998455831449</v>
      </c>
      <c r="Y33" s="161">
        <v>0.98658784724425463</v>
      </c>
      <c r="Z33" s="161">
        <v>0.39639006719367442</v>
      </c>
      <c r="AA33" s="161">
        <v>0.44225505143140054</v>
      </c>
      <c r="AB33" s="161">
        <v>0.48812003566912665</v>
      </c>
      <c r="AC33" s="252">
        <f>HHProps_CAM*(W33+Z33)</f>
        <v>156639.60676765238</v>
      </c>
      <c r="AD33" s="252">
        <f>HHProps_CAM*(X33+AA33)</f>
        <v>174913.16971465267</v>
      </c>
      <c r="AE33" s="252">
        <f>HHProps_CAM*(Y33+AB33)</f>
        <v>193186.73266165296</v>
      </c>
      <c r="AF33" s="392">
        <f t="shared" si="18"/>
        <v>1566.3960676765239</v>
      </c>
      <c r="AG33" s="252">
        <f t="shared" si="19"/>
        <v>1749.1316971465267</v>
      </c>
      <c r="AH33" s="393">
        <f t="shared" si="20"/>
        <v>1931.8673266165297</v>
      </c>
    </row>
    <row r="34" spans="1:34" x14ac:dyDescent="0.25">
      <c r="A34" s="62"/>
      <c r="B34" s="651" t="s">
        <v>907</v>
      </c>
      <c r="C34" s="651" t="s">
        <v>909</v>
      </c>
      <c r="D34" s="9" t="s">
        <v>199</v>
      </c>
      <c r="E34" s="686">
        <v>0</v>
      </c>
      <c r="F34" s="686">
        <v>150</v>
      </c>
      <c r="G34" s="686">
        <v>200</v>
      </c>
      <c r="H34" s="137">
        <v>3.2839172281231579E-4</v>
      </c>
      <c r="I34" s="137">
        <v>5.0168071093816241E-4</v>
      </c>
      <c r="J34" s="137">
        <v>6.7496969906400903E-4</v>
      </c>
      <c r="K34" s="137">
        <v>4.7007988948026833E-3</v>
      </c>
      <c r="L34" s="137">
        <v>7.1944373918171357E-3</v>
      </c>
      <c r="M34" s="137">
        <v>9.688075888831589E-3</v>
      </c>
      <c r="N34" s="252">
        <f>NHHProps_SSW*AvgNHHBill_SSW*(H34+K34)</f>
        <v>823218.15381616401</v>
      </c>
      <c r="O34" s="252">
        <f>NHHProps_SSW*AvgNHHBill_SSW*(I34+L34)</f>
        <v>1259762.1800038093</v>
      </c>
      <c r="P34" s="252">
        <f>NHHProps_SSW*AvgNHHBill_SSW*(J34+M34)</f>
        <v>1696306.2061914545</v>
      </c>
      <c r="Q34" s="392">
        <f t="shared" si="15"/>
        <v>4116.0907690808199</v>
      </c>
      <c r="R34" s="252">
        <f t="shared" si="16"/>
        <v>6298.8109000190461</v>
      </c>
      <c r="S34" s="393">
        <f t="shared" si="17"/>
        <v>8481.5310309572724</v>
      </c>
      <c r="T34" s="684">
        <v>0</v>
      </c>
      <c r="U34" s="685">
        <v>50</v>
      </c>
      <c r="V34" s="685">
        <v>100</v>
      </c>
      <c r="W34" s="137">
        <v>6.6197381492701629E-2</v>
      </c>
      <c r="X34" s="137">
        <v>7.0247642217123304E-2</v>
      </c>
      <c r="Y34" s="137">
        <v>7.429790294154498E-2</v>
      </c>
      <c r="Z34" s="137">
        <v>1.5343884712304412E-5</v>
      </c>
      <c r="AA34" s="137">
        <v>1.8343670792314581E-5</v>
      </c>
      <c r="AB34" s="137">
        <v>2.1343456872324751E-5</v>
      </c>
      <c r="AC34" s="252">
        <f>NHHProps_CAM*AvgNHHBill_CAM*(W34+Z34)</f>
        <v>3390091.5393235935</v>
      </c>
      <c r="AD34" s="252">
        <f>NHHProps_CAM*AvgNHHBill_CAM*(X34+AA34)</f>
        <v>3597618.4774612798</v>
      </c>
      <c r="AE34" s="252">
        <f>NHHProps_CAM*AvgNHHBill_CAM*(Y34+AB34)</f>
        <v>3805145.4155989662</v>
      </c>
      <c r="AF34" s="392">
        <f t="shared" si="18"/>
        <v>33900.915393235933</v>
      </c>
      <c r="AG34" s="252">
        <f t="shared" si="19"/>
        <v>35976.184774612797</v>
      </c>
      <c r="AH34" s="393">
        <f t="shared" si="20"/>
        <v>38051.454155989661</v>
      </c>
    </row>
    <row r="35" spans="1:34" x14ac:dyDescent="0.25">
      <c r="A35" s="162" t="s">
        <v>966</v>
      </c>
      <c r="D35" s="9" t="s">
        <v>910</v>
      </c>
      <c r="E35" s="684">
        <v>325</v>
      </c>
      <c r="F35" s="685">
        <v>400</v>
      </c>
      <c r="G35" s="685">
        <v>475</v>
      </c>
      <c r="H35" s="161">
        <v>0.27124810015665229</v>
      </c>
      <c r="I35" s="161">
        <v>0.28751420250015919</v>
      </c>
      <c r="J35" s="161">
        <v>0.30378030484366608</v>
      </c>
      <c r="K35" s="161">
        <v>1.0879889115714605</v>
      </c>
      <c r="L35" s="161">
        <v>1.1529072937934399</v>
      </c>
      <c r="M35" s="161">
        <v>1.2178256760154194</v>
      </c>
      <c r="N35" s="252">
        <f>HHProps_SSW*(H35+K35)</f>
        <v>750298.83047391823</v>
      </c>
      <c r="O35" s="252">
        <f>HHProps_SSW*(I35+L35)</f>
        <v>795112.66595406667</v>
      </c>
      <c r="P35" s="252">
        <f>HHProps_SSW*(J35+M35)</f>
        <v>839926.50143421511</v>
      </c>
      <c r="Q35" s="392">
        <f t="shared" si="15"/>
        <v>5001.9922031594551</v>
      </c>
      <c r="R35" s="252">
        <f t="shared" si="16"/>
        <v>5300.7511063604443</v>
      </c>
      <c r="S35" s="393">
        <f t="shared" si="17"/>
        <v>5599.5100095614343</v>
      </c>
      <c r="T35" s="765">
        <v>200</v>
      </c>
      <c r="U35" s="765">
        <v>225</v>
      </c>
      <c r="V35" s="765">
        <v>300</v>
      </c>
      <c r="W35" s="161">
        <v>5.0199873350307234E-2</v>
      </c>
      <c r="X35" s="161">
        <v>5.4061544184371521E-2</v>
      </c>
      <c r="Y35" s="161">
        <v>5.7923215018435809E-2</v>
      </c>
      <c r="Z35" s="161">
        <v>0.31525989949759475</v>
      </c>
      <c r="AA35" s="161">
        <v>0.33585097781762191</v>
      </c>
      <c r="AB35" s="161">
        <v>0.35644205613764912</v>
      </c>
      <c r="AC35" s="252">
        <f>HHProps_CAM*(W35+Z35)</f>
        <v>47875.230243075159</v>
      </c>
      <c r="AD35" s="252">
        <f>HHProps_CAM*(X35+AA35)</f>
        <v>51078.540382261141</v>
      </c>
      <c r="AE35" s="252">
        <f>HHProps_CAM*(Y35+AB35)</f>
        <v>54281.850521447122</v>
      </c>
      <c r="AF35" s="392">
        <f t="shared" si="18"/>
        <v>478.75230243075157</v>
      </c>
      <c r="AG35" s="252">
        <f t="shared" si="19"/>
        <v>510.78540382261139</v>
      </c>
      <c r="AH35" s="393">
        <f t="shared" si="20"/>
        <v>542.8185052144712</v>
      </c>
    </row>
    <row r="36" spans="1:34" x14ac:dyDescent="0.25">
      <c r="D36" s="9" t="s">
        <v>199</v>
      </c>
      <c r="E36" s="684">
        <v>325</v>
      </c>
      <c r="F36" s="685">
        <v>400</v>
      </c>
      <c r="G36" s="685">
        <v>475</v>
      </c>
      <c r="H36" s="142">
        <v>2.735174932810021E-3</v>
      </c>
      <c r="I36" s="142">
        <v>3.277718847688002E-3</v>
      </c>
      <c r="J36" s="142">
        <v>3.8202627625659831E-3</v>
      </c>
      <c r="K36" s="142">
        <v>1.4877798936108232E-3</v>
      </c>
      <c r="L36" s="142">
        <v>1.7821328887994677E-3</v>
      </c>
      <c r="M36" s="142">
        <v>2.0764858839881122E-3</v>
      </c>
      <c r="N36" s="252">
        <f>NHHProps_SSW*AvgNHHBill_SSW*(H36+K36)</f>
        <v>691247.02962717519</v>
      </c>
      <c r="O36" s="252">
        <f>NHHProps_SSW*AvgNHHBill_SSW*(I36+L36)</f>
        <v>828237.01104216091</v>
      </c>
      <c r="P36" s="252">
        <f>NHHProps_SSW*AvgNHHBill_SSW*(J36+M36)</f>
        <v>965226.99245714676</v>
      </c>
      <c r="Q36" s="392">
        <f t="shared" si="15"/>
        <v>4608.313530847835</v>
      </c>
      <c r="R36" s="252">
        <f t="shared" si="16"/>
        <v>5521.5800736144065</v>
      </c>
      <c r="S36" s="393">
        <f t="shared" si="17"/>
        <v>6434.846616380978</v>
      </c>
      <c r="T36" s="765">
        <v>200</v>
      </c>
      <c r="U36" s="765">
        <v>225</v>
      </c>
      <c r="V36" s="765">
        <v>300</v>
      </c>
      <c r="W36" s="142">
        <v>1.1380368328158027E-3</v>
      </c>
      <c r="X36" s="142">
        <v>1.5217633807042999E-3</v>
      </c>
      <c r="Y36" s="142">
        <v>1.9054899285927971E-3</v>
      </c>
      <c r="Z36" s="142">
        <v>7.4338850916148705E-5</v>
      </c>
      <c r="AA36" s="142">
        <v>9.9639268114638671E-5</v>
      </c>
      <c r="AB36" s="142">
        <v>1.2493968531312842E-4</v>
      </c>
      <c r="AC36" s="252">
        <f>NHHProps_CAM*AvgNHHBill_CAM*(W36+Z36)</f>
        <v>62073.635007075914</v>
      </c>
      <c r="AD36" s="252">
        <f>NHHProps_CAM*AvgNHHBill_CAM*(X36+AA36)</f>
        <v>83015.815619529647</v>
      </c>
      <c r="AE36" s="252">
        <f>NHHProps_CAM*AvgNHHBill_CAM*(Y36+AB36)</f>
        <v>103957.99623198339</v>
      </c>
      <c r="AF36" s="392">
        <f t="shared" si="18"/>
        <v>620.73635007075916</v>
      </c>
      <c r="AG36" s="252">
        <f t="shared" si="19"/>
        <v>830.15815619529644</v>
      </c>
      <c r="AH36" s="393">
        <f t="shared" si="20"/>
        <v>1039.5799623198338</v>
      </c>
    </row>
    <row r="37" spans="1:34" x14ac:dyDescent="0.25">
      <c r="A37" s="162" t="s">
        <v>967</v>
      </c>
      <c r="D37" s="9" t="s">
        <v>910</v>
      </c>
      <c r="E37" s="766">
        <f>1/5</f>
        <v>0.2</v>
      </c>
      <c r="F37" s="676">
        <f>1/4</f>
        <v>0.25</v>
      </c>
      <c r="G37" s="676">
        <f>1/3</f>
        <v>0.33333333333333331</v>
      </c>
      <c r="H37" s="767">
        <v>0.16286203927835741</v>
      </c>
      <c r="I37" s="767">
        <v>0.17275910284428261</v>
      </c>
      <c r="J37" s="767">
        <v>0.18265616641020782</v>
      </c>
      <c r="K37" s="767">
        <v>6.5430895123374189E-2</v>
      </c>
      <c r="L37" s="767">
        <v>6.9434727143626723E-2</v>
      </c>
      <c r="M37" s="767">
        <v>7.3438559163879258E-2</v>
      </c>
      <c r="N37" s="252">
        <f>HHProps_SSW*(H37+K37)</f>
        <v>126017.69978975585</v>
      </c>
      <c r="O37" s="252">
        <f>HHProps_SSW*(I37+L37)</f>
        <v>133690.99415332594</v>
      </c>
      <c r="P37" s="252">
        <f>HHProps_SSW*(J37+M37)</f>
        <v>141364.28851689608</v>
      </c>
      <c r="Q37" s="392">
        <f>-(N37/($E37-$G37))/100</f>
        <v>9451.3274842316896</v>
      </c>
      <c r="R37" s="252">
        <f t="shared" si="16"/>
        <v>1002682.4561499448</v>
      </c>
      <c r="S37" s="393">
        <f t="shared" si="17"/>
        <v>1060232.1638767209</v>
      </c>
      <c r="T37" s="770">
        <v>0.2</v>
      </c>
      <c r="U37" s="770">
        <v>0.25</v>
      </c>
      <c r="V37" s="770">
        <v>0.33333333333333331</v>
      </c>
      <c r="W37" s="161">
        <v>6.7524089825687509E-3</v>
      </c>
      <c r="X37" s="161">
        <v>7.2076611529829811E-3</v>
      </c>
      <c r="Y37" s="161">
        <v>7.6629133233972113E-3</v>
      </c>
      <c r="Z37" s="161">
        <v>0.22309966742730386</v>
      </c>
      <c r="AA37" s="161">
        <v>0.23804283382411903</v>
      </c>
      <c r="AB37" s="161">
        <v>0.2529860002209342</v>
      </c>
      <c r="AC37" s="252">
        <f>HHProps_CAM*(W37+Z37)</f>
        <v>30110.622009693314</v>
      </c>
      <c r="AD37" s="252">
        <f>HHProps_CAM*(X37+AA37)</f>
        <v>32127.814842000364</v>
      </c>
      <c r="AE37" s="252">
        <f>HHProps_CAM*(Y37+AB37)</f>
        <v>34145.00767430741</v>
      </c>
      <c r="AF37" s="392">
        <f>-(AC37/($T37-$V37))/100</f>
        <v>2258.2966507269989</v>
      </c>
      <c r="AG37" s="252">
        <f t="shared" si="19"/>
        <v>240958.61131500278</v>
      </c>
      <c r="AH37" s="393">
        <f t="shared" si="20"/>
        <v>256087.55755730564</v>
      </c>
    </row>
    <row r="38" spans="1:34" x14ac:dyDescent="0.25">
      <c r="A38" s="162"/>
      <c r="D38" s="9" t="s">
        <v>199</v>
      </c>
      <c r="E38" s="766">
        <f>1/5</f>
        <v>0.2</v>
      </c>
      <c r="F38" s="676">
        <f>1/4</f>
        <v>0.25</v>
      </c>
      <c r="G38" s="676">
        <f>1/3</f>
        <v>0.33333333333333331</v>
      </c>
      <c r="H38" s="768">
        <v>2.3934767895157907E-3</v>
      </c>
      <c r="I38" s="768">
        <v>2.8679899577491162E-3</v>
      </c>
      <c r="J38" s="768">
        <v>3.3425031259824416E-3</v>
      </c>
      <c r="K38" s="768">
        <v>4.0848320200259592E-4</v>
      </c>
      <c r="L38" s="768">
        <v>4.8949484915029266E-4</v>
      </c>
      <c r="M38" s="768">
        <v>5.7050649629798895E-4</v>
      </c>
      <c r="N38" s="252">
        <f>NHHProps_SSW*AvgNHHBill_SSW*(H38+K38)</f>
        <v>458647.22709166165</v>
      </c>
      <c r="O38" s="252">
        <f>NHHProps_SSW*AvgNHHBill_SSW*(I38+L38)</f>
        <v>549579.97307175049</v>
      </c>
      <c r="P38" s="252">
        <f>NHHProps_SSW*AvgNHHBill_SSW*(J38+M38)</f>
        <v>640512.71905183909</v>
      </c>
      <c r="Q38" s="392">
        <f>-(N38/($E38-$G38))/100</f>
        <v>34398.542031874633</v>
      </c>
      <c r="R38" s="252">
        <f t="shared" si="16"/>
        <v>4121849.7980381297</v>
      </c>
      <c r="S38" s="393">
        <f t="shared" si="17"/>
        <v>4803845.3928887947</v>
      </c>
      <c r="T38" s="770">
        <v>0.2</v>
      </c>
      <c r="U38" s="770">
        <v>0.25</v>
      </c>
      <c r="V38" s="770">
        <v>0.33333333333333331</v>
      </c>
      <c r="W38" s="142">
        <v>3.0067218761121498E-6</v>
      </c>
      <c r="X38" s="142">
        <v>4.0202151245085623E-6</v>
      </c>
      <c r="Y38" s="142">
        <v>5.0337083729049751E-6</v>
      </c>
      <c r="Z38" s="142">
        <v>6.1845977649446597E-3</v>
      </c>
      <c r="AA38" s="142">
        <v>8.2604507154419825E-3</v>
      </c>
      <c r="AB38" s="142">
        <v>1.0336303665939305E-2</v>
      </c>
      <c r="AC38" s="252">
        <f>NHHProps_CAM*AvgNHHBill_CAM*(W38+Z38)</f>
        <v>316805.34972522355</v>
      </c>
      <c r="AD38" s="252">
        <f>NHHProps_CAM*AvgNHHBill_CAM*(X38+AA38)</f>
        <v>423140.91164500435</v>
      </c>
      <c r="AE38" s="252">
        <f>NHHProps_CAM*AvgNHHBill_CAM*(Y38+AB38)</f>
        <v>529476.47356478521</v>
      </c>
      <c r="AF38" s="392">
        <f>-(AC38/($T38-$V38))/100</f>
        <v>23760.401229391773</v>
      </c>
      <c r="AG38" s="252">
        <f t="shared" si="19"/>
        <v>3173556.8373375335</v>
      </c>
      <c r="AH38" s="393">
        <f t="shared" si="20"/>
        <v>3971073.5517358901</v>
      </c>
    </row>
    <row r="39" spans="1:34" x14ac:dyDescent="0.25">
      <c r="A39" s="162" t="s">
        <v>968</v>
      </c>
      <c r="D39" s="9" t="s">
        <v>910</v>
      </c>
      <c r="E39" s="769">
        <v>11000</v>
      </c>
      <c r="F39" s="769">
        <v>14000</v>
      </c>
      <c r="G39" s="769">
        <v>16500</v>
      </c>
      <c r="H39" s="767">
        <v>1.1431291592122459</v>
      </c>
      <c r="I39" s="767">
        <v>1.2115297570478711</v>
      </c>
      <c r="J39" s="767">
        <v>1.2799303548834964</v>
      </c>
      <c r="K39" s="767">
        <v>0.99026600048322266</v>
      </c>
      <c r="L39" s="767">
        <v>1.0494819425093551</v>
      </c>
      <c r="M39" s="767">
        <v>1.1086978845354876</v>
      </c>
      <c r="N39" s="252">
        <f>HHProps_SSW*(H39+K39)</f>
        <v>1177634.1281518987</v>
      </c>
      <c r="O39" s="252">
        <f>HHProps_SSW*(I39+L39)</f>
        <v>1248078.4581555889</v>
      </c>
      <c r="P39" s="252">
        <f>HHProps_SSW*(J39+M39)</f>
        <v>1318522.7881592792</v>
      </c>
      <c r="Q39" s="392">
        <f>-N39/($E39-$G39)</f>
        <v>214.11529602761794</v>
      </c>
      <c r="R39" s="252">
        <f t="shared" si="16"/>
        <v>226.92335602828891</v>
      </c>
      <c r="S39" s="393">
        <f t="shared" si="17"/>
        <v>239.73141602895984</v>
      </c>
      <c r="T39" s="765">
        <v>750</v>
      </c>
      <c r="U39" s="765">
        <v>925</v>
      </c>
      <c r="V39" s="765">
        <v>1100</v>
      </c>
      <c r="W39" s="161">
        <v>0.3495471426667362</v>
      </c>
      <c r="X39" s="161">
        <v>0.3731539462150778</v>
      </c>
      <c r="Y39" s="161">
        <v>0.39676074976341941</v>
      </c>
      <c r="Z39" s="161">
        <v>1.0469573645903001</v>
      </c>
      <c r="AA39" s="161">
        <v>1.1169182584378281</v>
      </c>
      <c r="AB39" s="161">
        <v>1.1868791522853559</v>
      </c>
      <c r="AC39" s="252">
        <f>HHProps_CAM*(W39+Z39)</f>
        <v>182942.09045067176</v>
      </c>
      <c r="AD39" s="252">
        <f>HHProps_CAM*(X39+AA39)</f>
        <v>195199.45880953065</v>
      </c>
      <c r="AE39" s="252">
        <f>HHProps_CAM*(Y39+AB39)</f>
        <v>207456.82716838954</v>
      </c>
      <c r="AF39" s="392">
        <f>-AC39/($T39-$V39)</f>
        <v>522.69168700191938</v>
      </c>
      <c r="AG39" s="252">
        <f t="shared" si="19"/>
        <v>557.71273945580185</v>
      </c>
      <c r="AH39" s="393">
        <f t="shared" si="20"/>
        <v>592.73379190968444</v>
      </c>
    </row>
    <row r="40" spans="1:34" ht="15.75" thickBot="1" x14ac:dyDescent="0.3">
      <c r="D40" s="9" t="s">
        <v>199</v>
      </c>
      <c r="E40" s="766">
        <v>0</v>
      </c>
      <c r="F40" s="766">
        <v>0.25</v>
      </c>
      <c r="G40" s="766">
        <v>0.5</v>
      </c>
      <c r="H40" s="768">
        <v>1.4535389186447634E-2</v>
      </c>
      <c r="I40" s="768">
        <v>1.7416968825231704E-2</v>
      </c>
      <c r="J40" s="768">
        <v>2.0298548464015773E-2</v>
      </c>
      <c r="K40" s="768">
        <v>7.943588851566874E-3</v>
      </c>
      <c r="L40" s="768">
        <v>9.5197132623794402E-3</v>
      </c>
      <c r="M40" s="768">
        <v>1.109583767319201E-2</v>
      </c>
      <c r="N40" s="252">
        <f>NHHProps_SSW*AvgNHHBill_SSW*(H40+K40)</f>
        <v>3679538.9570865189</v>
      </c>
      <c r="O40" s="252">
        <f>NHHProps_SSW*AvgNHHBill_SSW*(I40+L40)</f>
        <v>4409211.6175568933</v>
      </c>
      <c r="P40" s="252">
        <f>NHHProps_SSW*AvgNHHBill_SSW*(J40+M40)</f>
        <v>5138884.2780272672</v>
      </c>
      <c r="Q40" s="801">
        <f>-N40/(($E40-$G40)*NHHProps_SSW)</f>
        <v>198.89399768035238</v>
      </c>
      <c r="R40" s="802">
        <f>-O40/(($E40-$G40)*NHHProps_SSW)</f>
        <v>238.33576311118341</v>
      </c>
      <c r="S40" s="803">
        <f>-P40/(($E40-$G40)*NHHProps_SSW)</f>
        <v>277.77752854201447</v>
      </c>
      <c r="T40" s="770">
        <v>0</v>
      </c>
      <c r="U40" s="770">
        <v>0.25</v>
      </c>
      <c r="V40" s="770">
        <v>0.5</v>
      </c>
      <c r="W40" s="142">
        <v>1.9085135106616156E-2</v>
      </c>
      <c r="X40" s="142">
        <v>2.5486953508463996E-2</v>
      </c>
      <c r="Y40" s="142">
        <v>3.1888771910311836E-2</v>
      </c>
      <c r="Z40" s="142">
        <v>1.1680058649964076E-4</v>
      </c>
      <c r="AA40" s="142">
        <v>1.5600647907211204E-4</v>
      </c>
      <c r="AB40" s="142">
        <v>1.9521237164458333E-4</v>
      </c>
      <c r="AC40" s="252">
        <f>NHHProps_CAM*AvgNHHBill_CAM*(W40+Z40)</f>
        <v>983139.10748752882</v>
      </c>
      <c r="AD40" s="252">
        <f>NHHProps_CAM*AvgNHHBill_CAM*(X40+AA40)</f>
        <v>1312919.5513618488</v>
      </c>
      <c r="AE40" s="252">
        <f>NHHProps_CAM*AvgNHHBill_CAM*(Y40+AB40)</f>
        <v>1642699.9952361686</v>
      </c>
      <c r="AF40" s="801">
        <f>-AC40/(($T40-$V40)*NHHProps_CAM)</f>
        <v>196.62782149750575</v>
      </c>
      <c r="AG40" s="802">
        <f>-AD40/(($T40-$V40)*NHHProps_CAM)</f>
        <v>262.58391027236979</v>
      </c>
      <c r="AH40" s="803">
        <f>-AE40/(($T40-$V40)*NHHProps_CAM)</f>
        <v>328.53999904723372</v>
      </c>
    </row>
    <row r="41" spans="1:34" x14ac:dyDescent="0.25">
      <c r="T41" s="765"/>
      <c r="U41" s="765"/>
      <c r="V41" s="765"/>
      <c r="W41" s="142"/>
      <c r="X41" s="142"/>
      <c r="Y41" s="142"/>
      <c r="Z41" s="142"/>
      <c r="AA41" s="142"/>
      <c r="AB41" s="142"/>
      <c r="AC41" s="252"/>
      <c r="AD41" s="252"/>
      <c r="AE41" s="252"/>
      <c r="AF41" s="252"/>
      <c r="AG41" s="252"/>
      <c r="AH41" s="252"/>
    </row>
    <row r="42" spans="1:34" x14ac:dyDescent="0.25">
      <c r="T42" s="674"/>
      <c r="U42" s="674"/>
      <c r="V42" s="674"/>
      <c r="W42" s="142"/>
      <c r="X42" s="142"/>
      <c r="Y42" s="142"/>
      <c r="Z42" s="142"/>
      <c r="AA42" s="142"/>
      <c r="AB42" s="142"/>
      <c r="AC42" s="252"/>
      <c r="AD42" s="252"/>
      <c r="AE42" s="252"/>
      <c r="AF42" s="252"/>
      <c r="AG42" s="252"/>
      <c r="AH42" s="252"/>
    </row>
    <row r="43" spans="1:34" x14ac:dyDescent="0.25">
      <c r="A43" s="60"/>
      <c r="B43" s="60"/>
      <c r="C43" s="60"/>
      <c r="D43" s="60"/>
      <c r="E43" s="60"/>
      <c r="F43" s="60"/>
      <c r="G43" s="60"/>
      <c r="H43" s="60"/>
      <c r="I43" s="60"/>
      <c r="J43" s="60"/>
      <c r="K43" s="60"/>
      <c r="L43" s="60"/>
      <c r="M43" s="60"/>
      <c r="N43" s="60"/>
      <c r="O43" s="60"/>
      <c r="P43" s="60"/>
      <c r="Q43" s="60"/>
      <c r="R43" s="60"/>
      <c r="S43" s="60"/>
      <c r="T43" s="134"/>
      <c r="U43" s="134"/>
      <c r="V43" s="134"/>
      <c r="W43" s="137"/>
      <c r="X43" s="142"/>
      <c r="Y43" s="142"/>
      <c r="Z43" s="137"/>
      <c r="AA43" s="142"/>
      <c r="AB43" s="142"/>
      <c r="AC43" s="252"/>
      <c r="AD43" s="252"/>
      <c r="AE43" s="252"/>
      <c r="AF43" s="252"/>
      <c r="AG43" s="252"/>
      <c r="AH43" s="252"/>
    </row>
    <row r="44" spans="1:34" x14ac:dyDescent="0.25">
      <c r="T44" s="674"/>
      <c r="U44" s="674"/>
      <c r="V44" s="674"/>
      <c r="W44" s="142"/>
      <c r="X44" s="142"/>
      <c r="Y44" s="142"/>
      <c r="Z44" s="142"/>
      <c r="AA44" s="142"/>
      <c r="AB44" s="142"/>
      <c r="AC44" s="252"/>
      <c r="AD44" s="252"/>
      <c r="AE44" s="252"/>
      <c r="AF44" s="252"/>
      <c r="AG44" s="252"/>
      <c r="AH44" s="252"/>
    </row>
    <row r="45" spans="1:34" s="24" customFormat="1" x14ac:dyDescent="0.25">
      <c r="A45" s="883" t="s">
        <v>939</v>
      </c>
      <c r="B45" s="883"/>
      <c r="C45" s="883"/>
      <c r="D45" s="883"/>
      <c r="T45" s="677"/>
      <c r="U45" s="677"/>
      <c r="V45" s="677"/>
      <c r="W45" s="688"/>
      <c r="X45" s="688"/>
      <c r="Y45" s="688"/>
      <c r="Z45" s="688"/>
      <c r="AA45" s="688"/>
      <c r="AB45" s="688"/>
      <c r="AC45" s="697"/>
      <c r="AD45" s="697"/>
      <c r="AE45" s="697"/>
      <c r="AF45" s="678"/>
      <c r="AG45" s="678"/>
      <c r="AH45" s="678"/>
    </row>
    <row r="46" spans="1:34" s="24" customFormat="1" x14ac:dyDescent="0.25">
      <c r="A46" s="883" t="s">
        <v>940</v>
      </c>
      <c r="B46" s="883"/>
      <c r="C46" s="883"/>
      <c r="D46" s="883"/>
      <c r="T46" s="677"/>
      <c r="U46" s="677"/>
      <c r="V46" s="677"/>
      <c r="W46" s="677"/>
      <c r="X46" s="677"/>
      <c r="Y46" s="677"/>
      <c r="Z46" s="677"/>
      <c r="AA46" s="677"/>
      <c r="AB46" s="677"/>
      <c r="AC46" s="697"/>
      <c r="AD46" s="697"/>
      <c r="AE46" s="697"/>
      <c r="AF46" s="678"/>
      <c r="AG46" s="678"/>
      <c r="AH46" s="678"/>
    </row>
    <row r="47" spans="1:34" s="24" customFormat="1" x14ac:dyDescent="0.25">
      <c r="A47" s="681"/>
      <c r="C47" s="732" t="s">
        <v>39</v>
      </c>
      <c r="D47" s="732"/>
      <c r="E47" s="732" t="s">
        <v>118</v>
      </c>
      <c r="T47" s="677"/>
      <c r="U47" s="677"/>
      <c r="V47" s="677"/>
      <c r="W47" s="677"/>
      <c r="X47" s="677"/>
      <c r="Y47" s="677"/>
      <c r="Z47" s="677"/>
      <c r="AA47" s="677"/>
      <c r="AB47" s="677"/>
      <c r="AC47" s="697"/>
      <c r="AD47" s="697"/>
      <c r="AE47" s="697"/>
      <c r="AF47" s="678"/>
      <c r="AG47" s="678"/>
      <c r="AH47" s="678"/>
    </row>
    <row r="48" spans="1:34" s="24" customFormat="1" x14ac:dyDescent="0.25">
      <c r="B48" s="680" t="s">
        <v>370</v>
      </c>
      <c r="C48" s="679" t="s">
        <v>915</v>
      </c>
      <c r="D48" s="680"/>
      <c r="E48" s="680" t="s">
        <v>926</v>
      </c>
      <c r="T48" s="698"/>
      <c r="U48" s="698"/>
      <c r="V48" s="698"/>
      <c r="W48" s="699"/>
      <c r="X48" s="700"/>
      <c r="Y48" s="701"/>
      <c r="Z48" s="702"/>
      <c r="AA48" s="699"/>
      <c r="AB48" s="700"/>
      <c r="AC48" s="697"/>
      <c r="AD48" s="697"/>
      <c r="AE48" s="697"/>
      <c r="AF48" s="689"/>
      <c r="AG48" s="689"/>
      <c r="AH48" s="689"/>
    </row>
    <row r="49" spans="1:34" s="24" customFormat="1" x14ac:dyDescent="0.25">
      <c r="B49" s="680" t="s">
        <v>25</v>
      </c>
      <c r="C49" s="679" t="s">
        <v>914</v>
      </c>
      <c r="D49" s="680"/>
      <c r="E49" s="680" t="s">
        <v>927</v>
      </c>
      <c r="T49" s="674"/>
      <c r="U49" s="674"/>
      <c r="V49" s="674"/>
      <c r="W49" s="161"/>
      <c r="X49" s="161"/>
      <c r="Y49" s="161"/>
      <c r="Z49" s="161"/>
      <c r="AA49" s="161"/>
      <c r="AB49" s="161"/>
      <c r="AC49" s="252"/>
      <c r="AD49" s="252"/>
      <c r="AE49" s="252"/>
      <c r="AF49" s="252"/>
      <c r="AG49" s="252"/>
      <c r="AH49" s="252"/>
    </row>
    <row r="50" spans="1:34" s="24" customFormat="1" x14ac:dyDescent="0.25">
      <c r="B50" s="680" t="s">
        <v>912</v>
      </c>
      <c r="C50" s="680" t="s">
        <v>913</v>
      </c>
      <c r="D50" s="680"/>
      <c r="E50" s="680" t="s">
        <v>928</v>
      </c>
      <c r="T50" s="674"/>
      <c r="U50" s="674"/>
      <c r="V50" s="674"/>
      <c r="W50" s="161"/>
      <c r="X50" s="161"/>
      <c r="Y50" s="161"/>
      <c r="Z50" s="161"/>
      <c r="AA50" s="161"/>
      <c r="AB50" s="161"/>
      <c r="AC50" s="252"/>
      <c r="AD50" s="252"/>
      <c r="AE50" s="252"/>
      <c r="AF50" s="252"/>
      <c r="AG50" s="252"/>
      <c r="AH50" s="252"/>
    </row>
    <row r="51" spans="1:34" s="24" customFormat="1" x14ac:dyDescent="0.25">
      <c r="B51" s="680" t="s">
        <v>83</v>
      </c>
      <c r="C51" s="680" t="s">
        <v>919</v>
      </c>
      <c r="D51" s="680"/>
      <c r="E51" s="680" t="s">
        <v>930</v>
      </c>
      <c r="T51" s="674"/>
      <c r="U51" s="674"/>
      <c r="V51" s="674"/>
      <c r="W51" s="142"/>
      <c r="X51" s="142"/>
      <c r="Y51" s="142"/>
      <c r="Z51" s="142"/>
      <c r="AA51" s="142"/>
      <c r="AB51" s="142"/>
      <c r="AC51" s="252"/>
      <c r="AD51" s="252"/>
      <c r="AE51" s="252"/>
      <c r="AF51" s="252"/>
      <c r="AG51" s="252"/>
      <c r="AH51" s="252"/>
    </row>
    <row r="52" spans="1:34" s="24" customFormat="1" x14ac:dyDescent="0.25">
      <c r="B52" s="680" t="s">
        <v>28</v>
      </c>
      <c r="C52" s="680" t="s">
        <v>931</v>
      </c>
      <c r="D52" s="680"/>
      <c r="E52" s="680" t="s">
        <v>932</v>
      </c>
      <c r="T52" s="674"/>
      <c r="U52" s="674"/>
      <c r="V52" s="674"/>
      <c r="W52" s="142"/>
      <c r="X52" s="142"/>
      <c r="Y52" s="142"/>
      <c r="Z52" s="142"/>
      <c r="AA52" s="142"/>
      <c r="AB52" s="142"/>
      <c r="AC52" s="252"/>
      <c r="AD52" s="252"/>
      <c r="AE52" s="252"/>
      <c r="AF52" s="252"/>
      <c r="AG52" s="252"/>
      <c r="AH52" s="252"/>
    </row>
    <row r="53" spans="1:34" s="24" customFormat="1" x14ac:dyDescent="0.25">
      <c r="B53" s="680" t="s">
        <v>85</v>
      </c>
      <c r="C53" s="680" t="s">
        <v>920</v>
      </c>
      <c r="D53" s="680"/>
      <c r="E53" s="680" t="s">
        <v>933</v>
      </c>
      <c r="F53" s="680"/>
      <c r="T53" s="677"/>
      <c r="U53" s="677"/>
      <c r="V53" s="677"/>
      <c r="W53" s="688"/>
      <c r="X53" s="688"/>
      <c r="Y53" s="688"/>
      <c r="Z53" s="688"/>
      <c r="AA53" s="688"/>
      <c r="AB53" s="688"/>
      <c r="AC53" s="697"/>
      <c r="AD53" s="697"/>
      <c r="AE53" s="697"/>
      <c r="AF53" s="678"/>
      <c r="AG53" s="678"/>
      <c r="AH53" s="678"/>
    </row>
    <row r="54" spans="1:34" s="24" customFormat="1" x14ac:dyDescent="0.25">
      <c r="B54" s="680" t="s">
        <v>84</v>
      </c>
      <c r="C54" s="680" t="s">
        <v>921</v>
      </c>
      <c r="D54" s="680"/>
      <c r="E54" s="680" t="s">
        <v>934</v>
      </c>
      <c r="T54" s="677"/>
      <c r="U54" s="677"/>
      <c r="V54" s="677"/>
      <c r="W54" s="677"/>
      <c r="X54" s="677"/>
      <c r="Y54" s="677"/>
      <c r="Z54" s="677"/>
      <c r="AA54" s="677"/>
      <c r="AB54" s="677"/>
      <c r="AC54" s="697"/>
      <c r="AD54" s="697"/>
      <c r="AE54" s="697"/>
      <c r="AF54" s="678"/>
      <c r="AG54" s="678"/>
      <c r="AH54" s="678"/>
    </row>
    <row r="55" spans="1:34" s="24" customFormat="1" x14ac:dyDescent="0.25">
      <c r="A55" s="883" t="s">
        <v>916</v>
      </c>
      <c r="C55" s="732" t="s">
        <v>39</v>
      </c>
      <c r="D55" s="732"/>
      <c r="E55" s="732" t="s">
        <v>118</v>
      </c>
      <c r="T55" s="698"/>
      <c r="U55" s="698"/>
      <c r="V55" s="698"/>
      <c r="W55" s="699"/>
      <c r="X55" s="700"/>
      <c r="Y55" s="701"/>
      <c r="Z55" s="702"/>
      <c r="AA55" s="699"/>
      <c r="AB55" s="700"/>
      <c r="AC55" s="697"/>
      <c r="AD55" s="697"/>
      <c r="AE55" s="697"/>
      <c r="AF55" s="689"/>
      <c r="AG55" s="689"/>
      <c r="AH55" s="689"/>
    </row>
    <row r="56" spans="1:34" s="24" customFormat="1" x14ac:dyDescent="0.25">
      <c r="B56" s="680" t="s">
        <v>81</v>
      </c>
      <c r="C56" s="682" t="s">
        <v>917</v>
      </c>
      <c r="D56" s="680"/>
      <c r="E56" s="682" t="s">
        <v>917</v>
      </c>
      <c r="T56" s="674"/>
      <c r="U56" s="674"/>
      <c r="V56" s="674"/>
      <c r="W56" s="161"/>
      <c r="X56" s="161"/>
      <c r="Y56" s="161"/>
      <c r="Z56" s="161"/>
      <c r="AA56" s="161"/>
      <c r="AB56" s="161"/>
      <c r="AC56" s="252"/>
      <c r="AD56" s="252"/>
      <c r="AE56" s="252"/>
      <c r="AF56" s="252"/>
      <c r="AG56" s="252"/>
      <c r="AH56" s="252"/>
    </row>
    <row r="57" spans="1:34" s="24" customFormat="1" x14ac:dyDescent="0.25">
      <c r="B57" s="680" t="s">
        <v>82</v>
      </c>
      <c r="C57" s="682" t="s">
        <v>918</v>
      </c>
      <c r="D57" s="680"/>
      <c r="E57" s="682" t="s">
        <v>918</v>
      </c>
      <c r="T57" s="674"/>
      <c r="U57" s="674"/>
      <c r="V57" s="674"/>
      <c r="W57" s="161"/>
      <c r="X57" s="161"/>
      <c r="Y57" s="161"/>
      <c r="Z57" s="161"/>
      <c r="AA57" s="161"/>
      <c r="AB57" s="161"/>
      <c r="AC57" s="252"/>
      <c r="AD57" s="252"/>
      <c r="AE57" s="252"/>
      <c r="AF57" s="252"/>
      <c r="AG57" s="252"/>
      <c r="AH57" s="252"/>
    </row>
    <row r="58" spans="1:34" s="24" customFormat="1" x14ac:dyDescent="0.25">
      <c r="B58" s="680" t="s">
        <v>3</v>
      </c>
      <c r="C58" s="680" t="s">
        <v>922</v>
      </c>
      <c r="E58" s="680" t="s">
        <v>935</v>
      </c>
      <c r="T58" s="674"/>
      <c r="U58" s="674"/>
      <c r="V58" s="674"/>
      <c r="W58" s="142"/>
      <c r="X58" s="142"/>
      <c r="Y58" s="142"/>
      <c r="Z58" s="142"/>
      <c r="AA58" s="142"/>
      <c r="AB58" s="142"/>
      <c r="AC58" s="252"/>
      <c r="AD58" s="252"/>
      <c r="AE58" s="252"/>
      <c r="AF58" s="252"/>
      <c r="AG58" s="252"/>
      <c r="AH58" s="252"/>
    </row>
    <row r="59" spans="1:34" s="24" customFormat="1" x14ac:dyDescent="0.25">
      <c r="B59" s="680" t="s">
        <v>324</v>
      </c>
      <c r="C59" s="680" t="s">
        <v>923</v>
      </c>
      <c r="E59" s="680" t="s">
        <v>936</v>
      </c>
      <c r="T59" s="674"/>
      <c r="U59" s="674"/>
      <c r="V59" s="674"/>
      <c r="W59" s="142"/>
      <c r="X59" s="142"/>
      <c r="Y59" s="142"/>
      <c r="Z59" s="142"/>
      <c r="AA59" s="142"/>
      <c r="AB59" s="142"/>
      <c r="AC59" s="252"/>
      <c r="AD59" s="252"/>
      <c r="AE59" s="252"/>
      <c r="AF59" s="252"/>
      <c r="AG59" s="252"/>
      <c r="AH59" s="252"/>
    </row>
    <row r="60" spans="1:34" s="24" customFormat="1" x14ac:dyDescent="0.25">
      <c r="B60" s="680" t="s">
        <v>414</v>
      </c>
      <c r="C60" s="680" t="s">
        <v>924</v>
      </c>
      <c r="E60" s="680" t="s">
        <v>924</v>
      </c>
      <c r="T60" s="677"/>
      <c r="U60" s="677"/>
      <c r="V60" s="677"/>
      <c r="W60" s="688"/>
      <c r="X60" s="688"/>
      <c r="Y60" s="688"/>
      <c r="Z60" s="688"/>
      <c r="AA60" s="688"/>
      <c r="AB60" s="688"/>
      <c r="AC60" s="697"/>
      <c r="AD60" s="697"/>
      <c r="AE60" s="697"/>
      <c r="AF60" s="678"/>
      <c r="AG60" s="678"/>
      <c r="AH60" s="678"/>
    </row>
    <row r="61" spans="1:34" s="24" customFormat="1" x14ac:dyDescent="0.25">
      <c r="B61" s="683" t="s">
        <v>112</v>
      </c>
      <c r="C61" s="680" t="s">
        <v>925</v>
      </c>
      <c r="E61" s="680" t="s">
        <v>937</v>
      </c>
      <c r="T61" s="677"/>
      <c r="U61" s="677"/>
      <c r="V61" s="677"/>
      <c r="W61" s="677"/>
      <c r="X61" s="677"/>
      <c r="Y61" s="677"/>
      <c r="Z61" s="677"/>
      <c r="AA61" s="677"/>
      <c r="AB61" s="677"/>
      <c r="AC61" s="697"/>
      <c r="AD61" s="697"/>
      <c r="AE61" s="697"/>
      <c r="AF61" s="678"/>
      <c r="AG61" s="678"/>
      <c r="AH61" s="678"/>
    </row>
    <row r="62" spans="1:34" s="24" customFormat="1" x14ac:dyDescent="0.25">
      <c r="B62" s="733" t="s">
        <v>89</v>
      </c>
      <c r="C62" s="687" t="s">
        <v>938</v>
      </c>
      <c r="T62" s="698"/>
      <c r="U62" s="698"/>
      <c r="V62" s="698"/>
      <c r="W62" s="699"/>
      <c r="X62" s="700"/>
      <c r="Y62" s="701"/>
      <c r="Z62" s="702"/>
      <c r="AA62" s="699"/>
      <c r="AB62" s="700"/>
      <c r="AC62" s="697"/>
      <c r="AD62" s="697"/>
      <c r="AE62" s="697"/>
      <c r="AF62" s="689"/>
      <c r="AG62" s="689"/>
      <c r="AH62" s="689"/>
    </row>
    <row r="63" spans="1:34" x14ac:dyDescent="0.25">
      <c r="T63" s="674"/>
      <c r="U63" s="674"/>
      <c r="V63" s="703"/>
      <c r="W63" s="161"/>
      <c r="X63" s="161"/>
      <c r="Y63" s="704"/>
      <c r="Z63" s="704"/>
      <c r="AA63" s="161"/>
      <c r="AB63" s="161"/>
      <c r="AC63" s="252"/>
      <c r="AD63" s="252"/>
      <c r="AE63" s="252"/>
      <c r="AF63" s="252"/>
      <c r="AG63" s="252"/>
      <c r="AH63" s="252"/>
    </row>
    <row r="64" spans="1:34" x14ac:dyDescent="0.25">
      <c r="T64" s="674"/>
      <c r="U64" s="674"/>
      <c r="V64" s="703"/>
      <c r="W64" s="161"/>
      <c r="X64" s="161"/>
      <c r="Y64" s="704"/>
      <c r="Z64" s="704"/>
      <c r="AA64" s="161"/>
      <c r="AB64" s="161"/>
      <c r="AC64" s="252"/>
      <c r="AD64" s="252"/>
      <c r="AE64" s="252"/>
      <c r="AF64" s="252"/>
      <c r="AG64" s="252"/>
      <c r="AH64" s="252"/>
    </row>
    <row r="65" spans="1:39" s="175" customFormat="1" x14ac:dyDescent="0.25">
      <c r="A65" s="60"/>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row>
    <row r="66" spans="1:39" s="176" customFormat="1" ht="15.75" thickBot="1" x14ac:dyDescent="0.3">
      <c r="A66" s="63" t="s">
        <v>250</v>
      </c>
      <c r="B66" s="60"/>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row>
    <row r="67" spans="1:39" s="176" customFormat="1" ht="30" customHeight="1" x14ac:dyDescent="0.25">
      <c r="E67" s="249" t="s">
        <v>400</v>
      </c>
      <c r="F67" s="249"/>
      <c r="G67" s="249"/>
      <c r="H67" s="249"/>
      <c r="I67" s="1017" t="s">
        <v>497</v>
      </c>
      <c r="J67" s="1015" t="s">
        <v>403</v>
      </c>
      <c r="U67" s="249" t="s">
        <v>400</v>
      </c>
      <c r="V67" s="249"/>
      <c r="W67" s="249"/>
      <c r="X67" s="249"/>
      <c r="Y67" s="1017" t="s">
        <v>497</v>
      </c>
      <c r="Z67" s="1015" t="s">
        <v>403</v>
      </c>
      <c r="AA67" s="146"/>
      <c r="AB67" s="146"/>
      <c r="AC67" s="146"/>
      <c r="AD67" s="146"/>
      <c r="AK67" s="9"/>
      <c r="AL67" s="9"/>
      <c r="AM67" s="9"/>
    </row>
    <row r="68" spans="1:39" s="176" customFormat="1" x14ac:dyDescent="0.25">
      <c r="A68" s="61" t="s">
        <v>382</v>
      </c>
      <c r="B68" s="61" t="s">
        <v>251</v>
      </c>
      <c r="E68" s="250" t="s">
        <v>191</v>
      </c>
      <c r="F68" s="250" t="s">
        <v>194</v>
      </c>
      <c r="G68" s="250" t="s">
        <v>401</v>
      </c>
      <c r="H68" s="250"/>
      <c r="I68" s="1017"/>
      <c r="J68" s="1016"/>
      <c r="K68" s="9"/>
      <c r="L68" s="9"/>
      <c r="M68" s="9"/>
      <c r="N68" s="9"/>
      <c r="O68" s="9"/>
      <c r="P68" s="9"/>
      <c r="Q68" s="9"/>
      <c r="R68" s="9"/>
      <c r="S68" s="9"/>
      <c r="T68" s="9"/>
      <c r="U68" s="250" t="s">
        <v>191</v>
      </c>
      <c r="V68" s="250" t="s">
        <v>194</v>
      </c>
      <c r="W68" s="250" t="s">
        <v>401</v>
      </c>
      <c r="X68" s="250"/>
      <c r="Y68" s="1017"/>
      <c r="Z68" s="1016"/>
      <c r="AA68" s="145"/>
      <c r="AB68" s="145"/>
      <c r="AC68" s="145"/>
      <c r="AD68" s="145"/>
      <c r="AE68" s="9"/>
      <c r="AF68" s="9"/>
      <c r="AG68" s="9"/>
      <c r="AH68" s="9"/>
      <c r="AI68" s="9"/>
      <c r="AJ68" s="9"/>
      <c r="AK68" s="9"/>
      <c r="AL68" s="9"/>
      <c r="AM68" s="9"/>
    </row>
    <row r="69" spans="1:39" s="176" customFormat="1" x14ac:dyDescent="0.25">
      <c r="A69" s="9" t="str">
        <f>'WTP core_DCE'!A77</f>
        <v>Leakage</v>
      </c>
      <c r="B69" s="9" t="s">
        <v>71</v>
      </c>
      <c r="E69" s="118">
        <f ca="1">INDEX(INDIRECT("SSW_WTPCore2_"&amp;$A69&amp;"_LevelValues"),1,MATCH(E$68,WTPCore2_LevelValues,0))</f>
        <v>1.2301339708448666</v>
      </c>
      <c r="F69" s="118">
        <f ca="1">INDEX(INDIRECT("SSW_WTPCore2_"&amp;$A69&amp;"_LevelValues"),1,MATCH(F$68,WTPCore2_LevelValues,0))</f>
        <v>0.44133293088857806</v>
      </c>
      <c r="G69" s="118">
        <f ca="1">E69+F69</f>
        <v>1.6714669017334447</v>
      </c>
      <c r="H69" s="118"/>
      <c r="I69" s="562">
        <f ca="1">(G69*100/G$72)/SSW_bill_impact_leakage</f>
        <v>1.2397792288509077</v>
      </c>
      <c r="J69" s="565">
        <f ca="1">(I69/$I$72)*100</f>
        <v>8.7073707369940188</v>
      </c>
      <c r="U69" s="118">
        <f ca="1">INDEX(INDIRECT("CAM_WTPCore2_"&amp;$A69&amp;"_LevelValues"),1,MATCH(U$68,WTPCore2_LevelValues,0))</f>
        <v>3.1349723048319831</v>
      </c>
      <c r="V69" s="118">
        <f ca="1">INDEX(INDIRECT("CAM_WTPCore2_"&amp;$A69&amp;"_LevelValues"),1,MATCH(V$68,WTPCore2_LevelValues,0))</f>
        <v>5.1405797633106154E-3</v>
      </c>
      <c r="W69" s="118">
        <f ca="1">U69+V69</f>
        <v>3.1401128845952937</v>
      </c>
      <c r="X69" s="118"/>
      <c r="Y69" s="562">
        <f ca="1">(W69*100/W$72)/CAM_bill_impact_leakage</f>
        <v>3.0147177852722229</v>
      </c>
      <c r="Z69" s="379">
        <f ca="1">(Y69/$Y$72)*100</f>
        <v>2.8090869739092903</v>
      </c>
      <c r="AA69" s="145"/>
      <c r="AB69" s="145"/>
      <c r="AC69" s="145"/>
      <c r="AD69" s="145"/>
      <c r="AK69" s="9"/>
      <c r="AL69" s="9"/>
      <c r="AM69" s="9"/>
    </row>
    <row r="70" spans="1:39" s="176" customFormat="1" x14ac:dyDescent="0.25">
      <c r="A70" s="9" t="s">
        <v>318</v>
      </c>
      <c r="B70" s="9" t="s">
        <v>246</v>
      </c>
      <c r="E70" s="118">
        <f ca="1">INDEX(INDIRECT("SSW_WTPCore2_"&amp;$A70&amp;"_LevelValues"),1,MATCH(E$68,WTPCore2_LevelValues,0))</f>
        <v>3.9796847923577343</v>
      </c>
      <c r="F70" s="118">
        <f ca="1">INDEX(INDIRECT("SSW_WTPCore2_"&amp;$A70&amp;"_LevelValues"),1,MATCH(F$68,WTPCore2_LevelValues,0))</f>
        <v>0.52424962900217631</v>
      </c>
      <c r="G70" s="118">
        <f ca="1">E70+F70</f>
        <v>4.5039344213599106</v>
      </c>
      <c r="H70" s="118"/>
      <c r="I70" s="562">
        <f ca="1">(G70*100/G$72)/SSW_bill_impact_metering</f>
        <v>11.836866234962541</v>
      </c>
      <c r="J70" s="565">
        <f ca="1">(I70/$I$72)*100</f>
        <v>83.134142171065562</v>
      </c>
      <c r="U70" s="118">
        <f ca="1">INDEX(INDIRECT("CAM_WTPCore2_"&amp;$A70&amp;"_LevelValues"),1,MATCH(U$68,WTPCore2_LevelValues,0))</f>
        <v>1.4360208416640492</v>
      </c>
      <c r="V70" s="118">
        <f ca="1">INDEX(INDIRECT("CAM_WTPCore2_"&amp;$A70&amp;"_LevelValues"),1,MATCH(V$68,WTPCore2_LevelValues,0))</f>
        <v>0.918140410423955</v>
      </c>
      <c r="W70" s="118">
        <f ca="1">U70+V70</f>
        <v>2.3541612520880042</v>
      </c>
      <c r="X70" s="118"/>
      <c r="Y70" s="562">
        <f ca="1">(W70*100/W$72)/CAM_bill_impact_metering</f>
        <v>46.752549105408313</v>
      </c>
      <c r="Z70" s="379">
        <f ca="1">(Y70/$Y$72)*100</f>
        <v>43.563605631894312</v>
      </c>
      <c r="AA70" s="146"/>
      <c r="AB70" s="146"/>
      <c r="AC70" s="146"/>
      <c r="AD70" s="146"/>
      <c r="AK70" s="9"/>
      <c r="AL70" s="9"/>
      <c r="AM70" s="9"/>
    </row>
    <row r="71" spans="1:39" s="176" customFormat="1" x14ac:dyDescent="0.25">
      <c r="A71" s="9" t="s">
        <v>402</v>
      </c>
      <c r="B71" s="9" t="s">
        <v>74</v>
      </c>
      <c r="E71" s="118">
        <f ca="1">INDEX(INDIRECT("SSW_WTPCore_DCE_"&amp;$A71&amp;"_LevelValues"),MATCH("COMBINED-HH",WTPCore_Group,0),MATCH(E$68,WTPCore_LevelValues,0))</f>
        <v>8.5999999999999993E-2</v>
      </c>
      <c r="F71" s="118">
        <f ca="1">INDEX(INDIRECT("SSW_WTPCore_DCE_"&amp;$A71&amp;"_LevelValues"),MATCH("COMBINED-HH",WTPCore_Group,0),MATCH(F$68,WTPCore_LevelValues,0))</f>
        <v>0.35599999999999998</v>
      </c>
      <c r="G71" s="118">
        <f ca="1">E71+F71</f>
        <v>0.44199999999999995</v>
      </c>
      <c r="H71" s="118"/>
      <c r="I71" s="562">
        <f ca="1">(G71*100/G$72)/SSW_bill_impact_metering</f>
        <v>1.1616276762470561</v>
      </c>
      <c r="J71" s="565">
        <f ca="1">(I71/$I$72)*100</f>
        <v>8.1584870919404189</v>
      </c>
      <c r="U71" s="118">
        <f ca="1">INDEX(INDIRECT("CAM_WTPCore_"&amp;$A71&amp;"_LevelValues"),MATCH("COMBINED-HH",WTPCore_Group,0),MATCH(U$68,WTPCore_LevelValues,0))</f>
        <v>1.133</v>
      </c>
      <c r="V71" s="118">
        <f ca="1">INDEX(INDIRECT("CAM_WTPCore_"&amp;$A71&amp;"_LevelValues"),MATCH("COMBINED-HH",WTPCore_Group,0),MATCH(V$68,WTPCore_LevelValues,0))</f>
        <v>1.7649999999999999</v>
      </c>
      <c r="W71" s="118">
        <f ca="1">U71+V71</f>
        <v>2.8979999999999997</v>
      </c>
      <c r="X71" s="118"/>
      <c r="Y71" s="562">
        <f ca="1">(W71*100/W$72)/CAM_bill_impact_metering</f>
        <v>57.552934059764382</v>
      </c>
      <c r="Z71" s="379">
        <f ca="1">(Y71/$Y$72)*100</f>
        <v>53.6273073941964</v>
      </c>
      <c r="AA71" s="146"/>
      <c r="AB71" s="146"/>
      <c r="AC71" s="146"/>
      <c r="AD71" s="146"/>
      <c r="AK71" s="9"/>
      <c r="AL71" s="9"/>
      <c r="AM71" s="9"/>
    </row>
    <row r="72" spans="1:39" s="176" customFormat="1" ht="15.75" thickBot="1" x14ac:dyDescent="0.3">
      <c r="E72" s="251">
        <f ca="1">SUM(E69:E71)</f>
        <v>5.2958187632026013</v>
      </c>
      <c r="F72" s="251">
        <f ca="1">SUM(F69:F71)</f>
        <v>1.3215825598907545</v>
      </c>
      <c r="G72" s="251">
        <f ca="1">SUM(G69:G71)</f>
        <v>6.6174013230933557</v>
      </c>
      <c r="H72" s="251"/>
      <c r="I72" s="563">
        <f ca="1">SUM(I69:I71)</f>
        <v>14.238273140060505</v>
      </c>
      <c r="J72" s="564">
        <f ca="1">(I72/$I$72)*100</f>
        <v>100</v>
      </c>
      <c r="U72" s="251">
        <f ca="1">SUM(U69:U71)</f>
        <v>5.7039931464960327</v>
      </c>
      <c r="V72" s="251">
        <f ca="1">SUM(V69:V71)</f>
        <v>2.6882809901872653</v>
      </c>
      <c r="W72" s="251">
        <f ca="1">SUM(W69:W71)</f>
        <v>8.392274136683298</v>
      </c>
      <c r="X72" s="251"/>
      <c r="Y72" s="563">
        <f ca="1">SUM(Y69:Y71)</f>
        <v>107.32020095044493</v>
      </c>
      <c r="Z72" s="566">
        <f ca="1">(Y72/$Y$72)*100</f>
        <v>100</v>
      </c>
      <c r="AA72" s="146"/>
      <c r="AB72" s="146"/>
      <c r="AC72" s="146"/>
      <c r="AD72" s="146"/>
      <c r="AK72" s="9"/>
      <c r="AL72" s="9"/>
      <c r="AM72" s="9"/>
    </row>
    <row r="73" spans="1:39" s="176" customFormat="1" x14ac:dyDescent="0.25">
      <c r="A73" s="9" t="s">
        <v>499</v>
      </c>
      <c r="U73" s="146"/>
      <c r="V73" s="146"/>
      <c r="W73" s="146"/>
      <c r="X73" s="146"/>
      <c r="Y73" s="146"/>
      <c r="Z73" s="146"/>
      <c r="AA73" s="146"/>
      <c r="AB73" s="146"/>
      <c r="AC73" s="146"/>
      <c r="AD73" s="146"/>
      <c r="AK73" s="9"/>
      <c r="AL73" s="9"/>
      <c r="AM73" s="9"/>
    </row>
    <row r="74" spans="1:39" x14ac:dyDescent="0.25">
      <c r="A74" s="9" t="s">
        <v>1011</v>
      </c>
      <c r="T74" s="677"/>
      <c r="U74" s="677"/>
      <c r="V74" s="677"/>
      <c r="W74" s="688"/>
      <c r="X74" s="688"/>
      <c r="Y74" s="688"/>
      <c r="Z74" s="688"/>
      <c r="AA74" s="688"/>
      <c r="AB74" s="688"/>
      <c r="AC74" s="697"/>
      <c r="AD74" s="697"/>
      <c r="AE74" s="697"/>
      <c r="AF74" s="678"/>
      <c r="AG74" s="678"/>
      <c r="AH74" s="678"/>
    </row>
    <row r="75" spans="1:39" x14ac:dyDescent="0.25">
      <c r="T75" s="677"/>
      <c r="U75" s="677"/>
      <c r="V75" s="677"/>
      <c r="W75" s="677"/>
      <c r="X75" s="677"/>
      <c r="Y75" s="677"/>
      <c r="Z75" s="677"/>
      <c r="AA75" s="677"/>
      <c r="AB75" s="677"/>
      <c r="AC75" s="697"/>
      <c r="AD75" s="697"/>
      <c r="AE75" s="697"/>
      <c r="AF75" s="678"/>
      <c r="AG75" s="678"/>
      <c r="AH75" s="678"/>
    </row>
    <row r="76" spans="1:39" x14ac:dyDescent="0.25">
      <c r="T76" s="698"/>
      <c r="U76" s="698"/>
      <c r="V76" s="698"/>
      <c r="W76" s="699"/>
      <c r="X76" s="700"/>
      <c r="Y76" s="701"/>
      <c r="Z76" s="702"/>
      <c r="AA76" s="699"/>
      <c r="AB76" s="700"/>
      <c r="AC76" s="697"/>
      <c r="AD76" s="697"/>
      <c r="AE76" s="697"/>
      <c r="AF76" s="689"/>
      <c r="AG76" s="689"/>
      <c r="AH76" s="689"/>
    </row>
    <row r="77" spans="1:39" x14ac:dyDescent="0.25">
      <c r="T77" s="674"/>
      <c r="U77" s="674"/>
      <c r="V77" s="674"/>
      <c r="W77" s="161"/>
      <c r="X77" s="161"/>
      <c r="Y77" s="161"/>
      <c r="Z77" s="161"/>
      <c r="AA77" s="161"/>
      <c r="AB77" s="161"/>
      <c r="AC77" s="252"/>
      <c r="AD77" s="252"/>
      <c r="AE77" s="252"/>
      <c r="AF77" s="252"/>
      <c r="AG77" s="252"/>
      <c r="AH77" s="252"/>
    </row>
    <row r="78" spans="1:39" x14ac:dyDescent="0.25">
      <c r="T78" s="674"/>
      <c r="U78" s="674"/>
      <c r="V78" s="674"/>
      <c r="W78" s="161"/>
      <c r="X78" s="161"/>
      <c r="Y78" s="161"/>
      <c r="Z78" s="161"/>
      <c r="AA78" s="161"/>
      <c r="AB78" s="161"/>
      <c r="AC78" s="252"/>
      <c r="AD78" s="252"/>
      <c r="AE78" s="252"/>
      <c r="AF78" s="252"/>
      <c r="AG78" s="252"/>
      <c r="AH78" s="252"/>
    </row>
    <row r="79" spans="1:39" x14ac:dyDescent="0.25">
      <c r="T79" s="674"/>
      <c r="U79" s="674"/>
      <c r="V79" s="674"/>
      <c r="W79" s="142"/>
      <c r="X79" s="142"/>
      <c r="Y79" s="142"/>
      <c r="Z79" s="142"/>
      <c r="AA79" s="142"/>
      <c r="AB79" s="142"/>
      <c r="AC79" s="252"/>
      <c r="AD79" s="252"/>
      <c r="AE79" s="252"/>
      <c r="AF79" s="252"/>
      <c r="AG79" s="252"/>
      <c r="AH79" s="252"/>
    </row>
    <row r="80" spans="1:39" x14ac:dyDescent="0.25">
      <c r="T80" s="674"/>
      <c r="U80" s="674"/>
      <c r="V80" s="674"/>
      <c r="W80" s="142"/>
      <c r="X80" s="142"/>
      <c r="Y80" s="142"/>
      <c r="Z80" s="142"/>
      <c r="AA80" s="142"/>
      <c r="AB80" s="142"/>
      <c r="AC80" s="252"/>
      <c r="AD80" s="252"/>
      <c r="AE80" s="252"/>
      <c r="AF80" s="252"/>
      <c r="AG80" s="252"/>
      <c r="AH80" s="252"/>
    </row>
    <row r="81" spans="20:34" x14ac:dyDescent="0.25">
      <c r="T81" s="677"/>
      <c r="U81" s="677"/>
      <c r="V81" s="677"/>
      <c r="W81" s="688"/>
      <c r="X81" s="688"/>
      <c r="Y81" s="688"/>
      <c r="Z81" s="688"/>
      <c r="AA81" s="688"/>
      <c r="AB81" s="688"/>
      <c r="AC81" s="697"/>
      <c r="AD81" s="697"/>
      <c r="AE81" s="697"/>
      <c r="AF81" s="678"/>
      <c r="AG81" s="678"/>
      <c r="AH81" s="678"/>
    </row>
    <row r="82" spans="20:34" hidden="1" x14ac:dyDescent="0.25">
      <c r="T82" s="677"/>
      <c r="U82" s="677"/>
      <c r="V82" s="677"/>
      <c r="W82" s="677"/>
      <c r="X82" s="677"/>
      <c r="Y82" s="677"/>
      <c r="Z82" s="677"/>
      <c r="AA82" s="677"/>
      <c r="AB82" s="677"/>
      <c r="AC82" s="697"/>
      <c r="AD82" s="697"/>
      <c r="AE82" s="697"/>
      <c r="AF82" s="678"/>
      <c r="AG82" s="678"/>
      <c r="AH82" s="678"/>
    </row>
    <row r="83" spans="20:34" hidden="1" x14ac:dyDescent="0.25">
      <c r="T83" s="698"/>
      <c r="U83" s="698"/>
      <c r="V83" s="698"/>
      <c r="W83" s="699"/>
      <c r="X83" s="700"/>
      <c r="Y83" s="701"/>
      <c r="Z83" s="702"/>
      <c r="AA83" s="699"/>
      <c r="AB83" s="700"/>
      <c r="AC83" s="697"/>
      <c r="AD83" s="697"/>
      <c r="AE83" s="697"/>
      <c r="AF83" s="689"/>
      <c r="AG83" s="689"/>
      <c r="AH83" s="689"/>
    </row>
    <row r="84" spans="20:34" hidden="1" x14ac:dyDescent="0.25">
      <c r="T84" s="690"/>
      <c r="U84" s="690"/>
      <c r="V84" s="690"/>
      <c r="W84" s="161"/>
      <c r="X84" s="161"/>
      <c r="Y84" s="161"/>
      <c r="Z84" s="161"/>
      <c r="AA84" s="161"/>
      <c r="AB84" s="161"/>
      <c r="AC84" s="252"/>
      <c r="AD84" s="252"/>
      <c r="AE84" s="252"/>
      <c r="AF84" s="252"/>
      <c r="AG84" s="252"/>
      <c r="AH84" s="252"/>
    </row>
    <row r="85" spans="20:34" hidden="1" x14ac:dyDescent="0.25">
      <c r="T85" s="690"/>
      <c r="U85" s="690"/>
      <c r="V85" s="690"/>
      <c r="W85" s="161"/>
      <c r="X85" s="161"/>
      <c r="Y85" s="161"/>
      <c r="Z85" s="161"/>
      <c r="AA85" s="161"/>
      <c r="AB85" s="161"/>
      <c r="AC85" s="252"/>
      <c r="AD85" s="252"/>
      <c r="AE85" s="252"/>
      <c r="AF85" s="252"/>
      <c r="AG85" s="252"/>
      <c r="AH85" s="252"/>
    </row>
    <row r="86" spans="20:34" hidden="1" x14ac:dyDescent="0.25">
      <c r="T86" s="690"/>
      <c r="U86" s="690"/>
      <c r="V86" s="690"/>
      <c r="W86" s="142"/>
      <c r="X86" s="142"/>
      <c r="Y86" s="142"/>
      <c r="Z86" s="142"/>
      <c r="AA86" s="142"/>
      <c r="AB86" s="142"/>
      <c r="AC86" s="252"/>
      <c r="AD86" s="252"/>
      <c r="AE86" s="252"/>
      <c r="AF86" s="252"/>
      <c r="AG86" s="252"/>
      <c r="AH86" s="252"/>
    </row>
    <row r="87" spans="20:34" hidden="1" x14ac:dyDescent="0.25">
      <c r="T87" s="690"/>
      <c r="U87" s="690"/>
      <c r="V87" s="690"/>
      <c r="W87" s="142"/>
      <c r="X87" s="142"/>
      <c r="Y87" s="142"/>
      <c r="Z87" s="142"/>
      <c r="AA87" s="142"/>
      <c r="AB87" s="142"/>
      <c r="AC87" s="252"/>
      <c r="AD87" s="252"/>
      <c r="AE87" s="252"/>
      <c r="AF87" s="252"/>
      <c r="AG87" s="252"/>
      <c r="AH87" s="252"/>
    </row>
    <row r="88" spans="20:34" hidden="1" x14ac:dyDescent="0.25">
      <c r="T88" s="709"/>
      <c r="U88" s="709"/>
      <c r="V88" s="709"/>
      <c r="W88" s="688"/>
      <c r="X88" s="688"/>
      <c r="Y88" s="688"/>
      <c r="Z88" s="688"/>
      <c r="AA88" s="688"/>
      <c r="AB88" s="688"/>
      <c r="AC88" s="697"/>
      <c r="AD88" s="697"/>
      <c r="AE88" s="697"/>
      <c r="AF88" s="678"/>
      <c r="AG88" s="678"/>
      <c r="AH88" s="678"/>
    </row>
    <row r="89" spans="20:34" hidden="1" x14ac:dyDescent="0.25">
      <c r="T89" s="709"/>
      <c r="U89" s="709"/>
      <c r="V89" s="709"/>
      <c r="W89" s="677"/>
      <c r="X89" s="677"/>
      <c r="Y89" s="677"/>
      <c r="Z89" s="677"/>
      <c r="AA89" s="677"/>
      <c r="AB89" s="677"/>
      <c r="AC89" s="697"/>
      <c r="AD89" s="697"/>
      <c r="AE89" s="697"/>
      <c r="AF89" s="678"/>
      <c r="AG89" s="678"/>
      <c r="AH89" s="678"/>
    </row>
    <row r="90" spans="20:34" hidden="1" x14ac:dyDescent="0.25">
      <c r="T90" s="698"/>
      <c r="U90" s="698"/>
      <c r="V90" s="698"/>
      <c r="W90" s="699"/>
      <c r="X90" s="700"/>
      <c r="Y90" s="701"/>
      <c r="Z90" s="702"/>
      <c r="AA90" s="699"/>
      <c r="AB90" s="700"/>
      <c r="AC90" s="697"/>
      <c r="AD90" s="697"/>
      <c r="AE90" s="697"/>
      <c r="AF90" s="689"/>
      <c r="AG90" s="689"/>
      <c r="AH90" s="689"/>
    </row>
    <row r="91" spans="20:34" hidden="1" x14ac:dyDescent="0.25">
      <c r="T91" s="674"/>
      <c r="U91" s="674"/>
      <c r="V91" s="674"/>
      <c r="W91" s="161"/>
      <c r="X91" s="161"/>
      <c r="Y91" s="161"/>
      <c r="Z91" s="161"/>
      <c r="AA91" s="161"/>
      <c r="AB91" s="161"/>
      <c r="AC91" s="252"/>
      <c r="AD91" s="252"/>
      <c r="AE91" s="252"/>
      <c r="AF91" s="255"/>
      <c r="AG91" s="255"/>
      <c r="AH91" s="255"/>
    </row>
    <row r="92" spans="20:34" hidden="1" x14ac:dyDescent="0.25">
      <c r="T92" s="674"/>
      <c r="U92" s="674"/>
      <c r="V92" s="674"/>
      <c r="W92" s="161"/>
      <c r="X92" s="161"/>
      <c r="Y92" s="161"/>
      <c r="Z92" s="161"/>
      <c r="AA92" s="161"/>
      <c r="AB92" s="161"/>
      <c r="AC92" s="252"/>
      <c r="AD92" s="252"/>
      <c r="AE92" s="252"/>
      <c r="AF92" s="255"/>
      <c r="AG92" s="255"/>
      <c r="AH92" s="255"/>
    </row>
    <row r="93" spans="20:34" hidden="1" x14ac:dyDescent="0.25">
      <c r="W93" s="710"/>
      <c r="X93" s="711"/>
      <c r="Y93" s="712"/>
      <c r="Z93" s="713"/>
      <c r="AA93" s="710"/>
      <c r="AB93" s="711"/>
      <c r="AC93" s="252"/>
      <c r="AD93" s="252"/>
      <c r="AE93" s="252"/>
      <c r="AF93" s="255"/>
      <c r="AG93" s="255"/>
      <c r="AH93" s="255"/>
    </row>
    <row r="94" spans="20:34" hidden="1" x14ac:dyDescent="0.25">
      <c r="W94" s="710"/>
      <c r="X94" s="711"/>
      <c r="Y94" s="712"/>
      <c r="Z94" s="713"/>
      <c r="AA94" s="710"/>
      <c r="AB94" s="711"/>
      <c r="AC94" s="252"/>
      <c r="AD94" s="252"/>
      <c r="AE94" s="252"/>
      <c r="AF94" s="255"/>
      <c r="AG94" s="255"/>
      <c r="AH94" s="255"/>
    </row>
    <row r="95" spans="20:34" hidden="1" x14ac:dyDescent="0.25">
      <c r="T95" s="677"/>
      <c r="U95" s="677"/>
      <c r="V95" s="677"/>
      <c r="W95" s="688"/>
      <c r="X95" s="688"/>
      <c r="Y95" s="688"/>
      <c r="Z95" s="688"/>
      <c r="AA95" s="688"/>
      <c r="AB95" s="688"/>
      <c r="AC95" s="697"/>
      <c r="AD95" s="697"/>
      <c r="AE95" s="697"/>
      <c r="AF95" s="688"/>
      <c r="AG95" s="688"/>
      <c r="AH95" s="688"/>
    </row>
    <row r="96" spans="20:34" hidden="1" x14ac:dyDescent="0.25">
      <c r="T96" s="677"/>
      <c r="U96" s="677"/>
      <c r="V96" s="677"/>
      <c r="W96" s="677"/>
      <c r="X96" s="677"/>
      <c r="Y96" s="677"/>
      <c r="Z96" s="677"/>
      <c r="AA96" s="677"/>
      <c r="AB96" s="677"/>
      <c r="AC96" s="697"/>
      <c r="AD96" s="697"/>
      <c r="AE96" s="697"/>
      <c r="AF96" s="678"/>
      <c r="AG96" s="678"/>
      <c r="AH96" s="678"/>
    </row>
    <row r="97" spans="20:34" hidden="1" x14ac:dyDescent="0.25">
      <c r="T97" s="698"/>
      <c r="U97" s="698"/>
      <c r="V97" s="698"/>
      <c r="W97" s="699"/>
      <c r="X97" s="700"/>
      <c r="Y97" s="701"/>
      <c r="Z97" s="702"/>
      <c r="AA97" s="699"/>
      <c r="AB97" s="700"/>
      <c r="AC97" s="697"/>
      <c r="AD97" s="697"/>
      <c r="AE97" s="697"/>
      <c r="AF97" s="691"/>
      <c r="AG97" s="691"/>
      <c r="AH97" s="691"/>
    </row>
    <row r="98" spans="20:34" hidden="1" x14ac:dyDescent="0.25">
      <c r="T98" s="714"/>
      <c r="U98" s="714"/>
      <c r="V98" s="714"/>
      <c r="W98" s="161"/>
      <c r="X98" s="161"/>
      <c r="Y98" s="161"/>
      <c r="Z98" s="161"/>
      <c r="AA98" s="161"/>
      <c r="AB98" s="161"/>
      <c r="AC98" s="252"/>
      <c r="AD98" s="252"/>
      <c r="AE98" s="252"/>
      <c r="AF98" s="255"/>
      <c r="AG98" s="255"/>
      <c r="AH98" s="255"/>
    </row>
    <row r="99" spans="20:34" hidden="1" x14ac:dyDescent="0.25">
      <c r="T99" s="714"/>
      <c r="U99" s="714"/>
      <c r="V99" s="714"/>
      <c r="W99" s="161"/>
      <c r="X99" s="161"/>
      <c r="Y99" s="161"/>
      <c r="Z99" s="161"/>
      <c r="AA99" s="161"/>
      <c r="AB99" s="161"/>
      <c r="AC99" s="252"/>
      <c r="AD99" s="252"/>
      <c r="AE99" s="252"/>
      <c r="AF99" s="255"/>
      <c r="AG99" s="255"/>
      <c r="AH99" s="255"/>
    </row>
    <row r="100" spans="20:34" hidden="1" x14ac:dyDescent="0.25">
      <c r="T100" s="698"/>
      <c r="U100" s="698"/>
      <c r="V100" s="698"/>
      <c r="W100" s="161"/>
      <c r="X100" s="161"/>
      <c r="Y100" s="161"/>
      <c r="Z100" s="161"/>
      <c r="AA100" s="161"/>
      <c r="AB100" s="161"/>
      <c r="AC100" s="252"/>
      <c r="AD100" s="252"/>
      <c r="AE100" s="252"/>
      <c r="AF100" s="255"/>
      <c r="AG100" s="255"/>
      <c r="AH100" s="255"/>
    </row>
    <row r="101" spans="20:34" hidden="1" x14ac:dyDescent="0.25">
      <c r="T101" s="698"/>
      <c r="U101" s="698"/>
      <c r="V101" s="698"/>
      <c r="W101" s="161"/>
      <c r="X101" s="161"/>
      <c r="Y101" s="161"/>
      <c r="Z101" s="161"/>
      <c r="AA101" s="161"/>
      <c r="AB101" s="161"/>
      <c r="AC101" s="252"/>
      <c r="AD101" s="252"/>
      <c r="AE101" s="252"/>
      <c r="AF101" s="255"/>
      <c r="AG101" s="255"/>
      <c r="AH101" s="255"/>
    </row>
    <row r="102" spans="20:34" hidden="1" x14ac:dyDescent="0.25">
      <c r="T102" s="677"/>
      <c r="U102" s="677"/>
      <c r="V102" s="677"/>
      <c r="W102" s="688"/>
      <c r="X102" s="688"/>
      <c r="Y102" s="688"/>
      <c r="Z102" s="688"/>
      <c r="AA102" s="688"/>
      <c r="AB102" s="688"/>
      <c r="AC102" s="697"/>
      <c r="AD102" s="697"/>
      <c r="AE102" s="697"/>
      <c r="AF102" s="688"/>
      <c r="AG102" s="688"/>
      <c r="AH102" s="688"/>
    </row>
    <row r="103" spans="20:34" hidden="1" x14ac:dyDescent="0.25">
      <c r="T103" s="698"/>
      <c r="U103" s="698"/>
      <c r="V103" s="698"/>
      <c r="W103" s="699"/>
      <c r="X103" s="700"/>
      <c r="Y103" s="701"/>
      <c r="Z103" s="702"/>
      <c r="AA103" s="699"/>
      <c r="AB103" s="700"/>
      <c r="AC103" s="697"/>
      <c r="AD103" s="697"/>
      <c r="AE103" s="697"/>
      <c r="AF103" s="688"/>
      <c r="AG103" s="688"/>
      <c r="AH103" s="688"/>
    </row>
    <row r="104" spans="20:34" hidden="1" x14ac:dyDescent="0.25">
      <c r="T104" s="698"/>
      <c r="U104" s="698"/>
      <c r="V104" s="698"/>
      <c r="W104" s="699"/>
      <c r="X104" s="700"/>
      <c r="Y104" s="701"/>
      <c r="Z104" s="702"/>
      <c r="AA104" s="699"/>
      <c r="AB104" s="700"/>
      <c r="AC104" s="697"/>
      <c r="AD104" s="697"/>
      <c r="AE104" s="697"/>
      <c r="AF104" s="691"/>
      <c r="AG104" s="691"/>
      <c r="AH104" s="691"/>
    </row>
    <row r="105" spans="20:34" hidden="1" x14ac:dyDescent="0.25">
      <c r="T105" s="692"/>
      <c r="U105" s="692"/>
      <c r="V105" s="692"/>
      <c r="W105" s="161"/>
      <c r="X105" s="161"/>
      <c r="Y105" s="161"/>
      <c r="Z105" s="161"/>
      <c r="AA105" s="161"/>
      <c r="AB105" s="161"/>
      <c r="AC105" s="252"/>
      <c r="AD105" s="252"/>
      <c r="AE105" s="252"/>
      <c r="AF105" s="252"/>
      <c r="AG105" s="252"/>
      <c r="AH105" s="252"/>
    </row>
    <row r="106" spans="20:34" hidden="1" x14ac:dyDescent="0.25">
      <c r="T106" s="692"/>
      <c r="U106" s="692"/>
      <c r="V106" s="692"/>
      <c r="W106" s="161"/>
      <c r="X106" s="161"/>
      <c r="Y106" s="161"/>
      <c r="Z106" s="161"/>
      <c r="AA106" s="161"/>
      <c r="AB106" s="161"/>
      <c r="AC106" s="252"/>
      <c r="AD106" s="252"/>
      <c r="AE106" s="252"/>
      <c r="AF106" s="252"/>
      <c r="AG106" s="252"/>
      <c r="AH106" s="252"/>
    </row>
    <row r="107" spans="20:34" hidden="1" x14ac:dyDescent="0.25">
      <c r="T107" s="692"/>
      <c r="U107" s="692"/>
      <c r="V107" s="692"/>
      <c r="W107" s="142"/>
      <c r="X107" s="142"/>
      <c r="Y107" s="142"/>
      <c r="Z107" s="142"/>
      <c r="AA107" s="142"/>
      <c r="AB107" s="142"/>
      <c r="AC107" s="252"/>
      <c r="AD107" s="252"/>
      <c r="AE107" s="252"/>
      <c r="AF107" s="252"/>
      <c r="AG107" s="252"/>
      <c r="AH107" s="252"/>
    </row>
    <row r="108" spans="20:34" hidden="1" x14ac:dyDescent="0.25">
      <c r="T108" s="692"/>
      <c r="U108" s="692"/>
      <c r="V108" s="692"/>
      <c r="W108" s="142"/>
      <c r="X108" s="142"/>
      <c r="Y108" s="142"/>
      <c r="Z108" s="142"/>
      <c r="AA108" s="142"/>
      <c r="AB108" s="142"/>
      <c r="AC108" s="252"/>
      <c r="AD108" s="252"/>
      <c r="AE108" s="252"/>
      <c r="AF108" s="252"/>
      <c r="AG108" s="252"/>
      <c r="AH108" s="252"/>
    </row>
    <row r="109" spans="20:34" hidden="1" x14ac:dyDescent="0.25">
      <c r="T109" s="708"/>
      <c r="U109" s="708"/>
      <c r="V109" s="708"/>
      <c r="W109" s="688"/>
      <c r="X109" s="688"/>
      <c r="Y109" s="688"/>
      <c r="Z109" s="688"/>
      <c r="AA109" s="688"/>
      <c r="AB109" s="688"/>
      <c r="AC109" s="697"/>
      <c r="AD109" s="697"/>
      <c r="AE109" s="697"/>
      <c r="AF109" s="678"/>
      <c r="AG109" s="678"/>
      <c r="AH109" s="678"/>
    </row>
    <row r="110" spans="20:34" hidden="1" x14ac:dyDescent="0.25">
      <c r="T110" s="708"/>
      <c r="U110" s="708"/>
      <c r="V110" s="708"/>
      <c r="W110" s="677"/>
      <c r="X110" s="677"/>
      <c r="Y110" s="677"/>
      <c r="Z110" s="677"/>
      <c r="AA110" s="677"/>
      <c r="AB110" s="677"/>
      <c r="AC110" s="697"/>
      <c r="AD110" s="697"/>
      <c r="AE110" s="697"/>
      <c r="AF110" s="678"/>
      <c r="AG110" s="678"/>
      <c r="AH110" s="678"/>
    </row>
    <row r="111" spans="20:34" hidden="1" x14ac:dyDescent="0.25">
      <c r="T111" s="698"/>
      <c r="U111" s="698"/>
      <c r="V111" s="698"/>
      <c r="W111" s="699"/>
      <c r="X111" s="700"/>
      <c r="Y111" s="701"/>
      <c r="Z111" s="702"/>
      <c r="AA111" s="699"/>
      <c r="AB111" s="700"/>
      <c r="AC111" s="697"/>
      <c r="AD111" s="697"/>
      <c r="AE111" s="697"/>
      <c r="AF111" s="689"/>
      <c r="AG111" s="689"/>
      <c r="AH111" s="689"/>
    </row>
    <row r="112" spans="20:34" hidden="1" x14ac:dyDescent="0.25">
      <c r="T112" s="693"/>
      <c r="U112" s="693"/>
      <c r="V112" s="693"/>
      <c r="W112" s="161"/>
      <c r="X112" s="161"/>
      <c r="Y112" s="161"/>
      <c r="Z112" s="161"/>
      <c r="AA112" s="161"/>
      <c r="AB112" s="161"/>
      <c r="AC112" s="252"/>
      <c r="AD112" s="252"/>
      <c r="AE112" s="252"/>
      <c r="AF112" s="252"/>
      <c r="AG112" s="252"/>
      <c r="AH112" s="252"/>
    </row>
    <row r="113" spans="20:34" hidden="1" x14ac:dyDescent="0.25">
      <c r="T113" s="693"/>
      <c r="U113" s="693"/>
      <c r="V113" s="693"/>
      <c r="W113" s="161"/>
      <c r="X113" s="161"/>
      <c r="Y113" s="161"/>
      <c r="Z113" s="161"/>
      <c r="AA113" s="161"/>
      <c r="AB113" s="161"/>
      <c r="AC113" s="252"/>
      <c r="AD113" s="252"/>
      <c r="AE113" s="252"/>
      <c r="AF113" s="252"/>
      <c r="AG113" s="252"/>
      <c r="AH113" s="252"/>
    </row>
    <row r="114" spans="20:34" hidden="1" x14ac:dyDescent="0.25">
      <c r="T114" s="693"/>
      <c r="U114" s="693"/>
      <c r="V114" s="693"/>
      <c r="W114" s="142"/>
      <c r="X114" s="142"/>
      <c r="Y114" s="142"/>
      <c r="Z114" s="142"/>
      <c r="AA114" s="142"/>
      <c r="AB114" s="142"/>
      <c r="AC114" s="252"/>
      <c r="AD114" s="252"/>
      <c r="AE114" s="252"/>
      <c r="AF114" s="252"/>
      <c r="AG114" s="252"/>
      <c r="AH114" s="252"/>
    </row>
    <row r="115" spans="20:34" hidden="1" x14ac:dyDescent="0.25">
      <c r="T115" s="693"/>
      <c r="U115" s="693"/>
      <c r="V115" s="693"/>
      <c r="W115" s="142"/>
      <c r="X115" s="142"/>
      <c r="Y115" s="142"/>
      <c r="Z115" s="142"/>
      <c r="AA115" s="142"/>
      <c r="AB115" s="142"/>
      <c r="AC115" s="252"/>
      <c r="AD115" s="252"/>
      <c r="AE115" s="252"/>
      <c r="AF115" s="252"/>
      <c r="AG115" s="252"/>
      <c r="AH115" s="252"/>
    </row>
    <row r="116" spans="20:34" hidden="1" x14ac:dyDescent="0.25">
      <c r="T116" s="709"/>
      <c r="U116" s="709"/>
      <c r="V116" s="709"/>
      <c r="W116" s="688"/>
      <c r="X116" s="688"/>
      <c r="Y116" s="688"/>
      <c r="Z116" s="688"/>
      <c r="AA116" s="688"/>
      <c r="AB116" s="688"/>
      <c r="AC116" s="697"/>
      <c r="AD116" s="697"/>
      <c r="AE116" s="697"/>
      <c r="AF116" s="678"/>
      <c r="AG116" s="678"/>
      <c r="AH116" s="678"/>
    </row>
    <row r="117" spans="20:34" hidden="1" x14ac:dyDescent="0.25">
      <c r="T117" s="709"/>
      <c r="U117" s="709"/>
      <c r="V117" s="709"/>
      <c r="W117" s="677"/>
      <c r="X117" s="677"/>
      <c r="Y117" s="677"/>
      <c r="Z117" s="677"/>
      <c r="AA117" s="677"/>
      <c r="AB117" s="677"/>
      <c r="AC117" s="697"/>
      <c r="AD117" s="697"/>
      <c r="AE117" s="697"/>
      <c r="AF117" s="678"/>
      <c r="AG117" s="678"/>
      <c r="AH117" s="678"/>
    </row>
    <row r="118" spans="20:34" hidden="1" x14ac:dyDescent="0.25">
      <c r="T118" s="698"/>
      <c r="U118" s="698"/>
      <c r="V118" s="698"/>
      <c r="W118" s="699"/>
      <c r="X118" s="700"/>
      <c r="Y118" s="701"/>
      <c r="Z118" s="702"/>
      <c r="AA118" s="699"/>
      <c r="AB118" s="700"/>
      <c r="AC118" s="697"/>
      <c r="AD118" s="697"/>
      <c r="AE118" s="697"/>
      <c r="AF118" s="689"/>
      <c r="AG118" s="689"/>
      <c r="AH118" s="689"/>
    </row>
    <row r="119" spans="20:34" hidden="1" x14ac:dyDescent="0.25">
      <c r="T119" s="693"/>
      <c r="U119" s="693"/>
      <c r="V119" s="693"/>
      <c r="W119" s="161"/>
      <c r="X119" s="161"/>
      <c r="Y119" s="161"/>
      <c r="Z119" s="161"/>
      <c r="AA119" s="161"/>
      <c r="AB119" s="161"/>
      <c r="AC119" s="252"/>
      <c r="AD119" s="252"/>
      <c r="AE119" s="252"/>
      <c r="AF119" s="252"/>
      <c r="AG119" s="252"/>
      <c r="AH119" s="252"/>
    </row>
    <row r="120" spans="20:34" hidden="1" x14ac:dyDescent="0.25">
      <c r="T120" s="693"/>
      <c r="U120" s="693"/>
      <c r="V120" s="693"/>
      <c r="W120" s="161"/>
      <c r="X120" s="161"/>
      <c r="Y120" s="161"/>
      <c r="Z120" s="161"/>
      <c r="AA120" s="161"/>
      <c r="AB120" s="161"/>
      <c r="AC120" s="252"/>
      <c r="AD120" s="252"/>
      <c r="AE120" s="252"/>
      <c r="AF120" s="252"/>
      <c r="AG120" s="252"/>
      <c r="AH120" s="252"/>
    </row>
    <row r="121" spans="20:34" hidden="1" x14ac:dyDescent="0.25">
      <c r="T121" s="693"/>
      <c r="U121" s="693"/>
      <c r="V121" s="693"/>
      <c r="W121" s="142"/>
      <c r="X121" s="142"/>
      <c r="Y121" s="142"/>
      <c r="Z121" s="142"/>
      <c r="AA121" s="142"/>
      <c r="AB121" s="142"/>
      <c r="AC121" s="252"/>
      <c r="AD121" s="252"/>
      <c r="AE121" s="252"/>
      <c r="AF121" s="252"/>
      <c r="AG121" s="252"/>
      <c r="AH121" s="252"/>
    </row>
    <row r="122" spans="20:34" hidden="1" x14ac:dyDescent="0.25">
      <c r="T122" s="693"/>
      <c r="U122" s="693"/>
      <c r="V122" s="693"/>
      <c r="W122" s="142"/>
      <c r="X122" s="142"/>
      <c r="Y122" s="142"/>
      <c r="Z122" s="142"/>
      <c r="AA122" s="142"/>
      <c r="AB122" s="142"/>
      <c r="AC122" s="252"/>
      <c r="AD122" s="252"/>
      <c r="AE122" s="252"/>
      <c r="AF122" s="252"/>
      <c r="AG122" s="252"/>
      <c r="AH122" s="252"/>
    </row>
    <row r="123" spans="20:34" hidden="1" x14ac:dyDescent="0.25">
      <c r="T123" s="709"/>
      <c r="U123" s="709"/>
      <c r="V123" s="709"/>
      <c r="W123" s="688"/>
      <c r="X123" s="688"/>
      <c r="Y123" s="688"/>
      <c r="Z123" s="688"/>
      <c r="AA123" s="688"/>
      <c r="AB123" s="688"/>
      <c r="AC123" s="697"/>
      <c r="AD123" s="697"/>
      <c r="AE123" s="697"/>
      <c r="AF123" s="678"/>
      <c r="AG123" s="678"/>
      <c r="AH123" s="678"/>
    </row>
    <row r="124" spans="20:34" hidden="1" x14ac:dyDescent="0.25">
      <c r="T124" s="709"/>
      <c r="U124" s="709"/>
      <c r="V124" s="709"/>
      <c r="W124" s="677"/>
      <c r="X124" s="677"/>
      <c r="Y124" s="677"/>
      <c r="Z124" s="677"/>
      <c r="AA124" s="677"/>
      <c r="AB124" s="677"/>
      <c r="AC124" s="697"/>
      <c r="AD124" s="697"/>
      <c r="AE124" s="697"/>
      <c r="AF124" s="678"/>
      <c r="AG124" s="678"/>
      <c r="AH124" s="678"/>
    </row>
    <row r="125" spans="20:34" hidden="1" x14ac:dyDescent="0.25">
      <c r="T125" s="698"/>
      <c r="U125" s="698"/>
      <c r="V125" s="698"/>
      <c r="W125" s="715"/>
      <c r="X125" s="698"/>
      <c r="Y125" s="701"/>
      <c r="Z125" s="698"/>
      <c r="AA125" s="698"/>
      <c r="AB125" s="698"/>
      <c r="AC125" s="697"/>
      <c r="AD125" s="697"/>
      <c r="AE125" s="697"/>
      <c r="AF125" s="689"/>
      <c r="AG125" s="689"/>
      <c r="AH125" s="689"/>
    </row>
    <row r="126" spans="20:34" hidden="1" x14ac:dyDescent="0.25">
      <c r="T126" s="693"/>
      <c r="U126" s="693"/>
      <c r="V126" s="693"/>
      <c r="W126" s="161"/>
      <c r="X126" s="161"/>
      <c r="Y126" s="161"/>
      <c r="Z126" s="161"/>
      <c r="AA126" s="161"/>
      <c r="AB126" s="161"/>
      <c r="AC126" s="252"/>
      <c r="AD126" s="252"/>
      <c r="AE126" s="252"/>
      <c r="AF126" s="252"/>
      <c r="AG126" s="252"/>
      <c r="AH126" s="252"/>
    </row>
    <row r="127" spans="20:34" hidden="1" x14ac:dyDescent="0.25">
      <c r="T127" s="694"/>
      <c r="U127" s="694"/>
      <c r="V127" s="694"/>
      <c r="W127" s="161"/>
      <c r="X127" s="161"/>
      <c r="Y127" s="161"/>
      <c r="Z127" s="161"/>
      <c r="AA127" s="161"/>
      <c r="AB127" s="161"/>
      <c r="AC127" s="252"/>
      <c r="AD127" s="252"/>
      <c r="AE127" s="252"/>
      <c r="AF127" s="252"/>
      <c r="AG127" s="252"/>
      <c r="AH127" s="252"/>
    </row>
    <row r="128" spans="20:34" hidden="1" x14ac:dyDescent="0.25">
      <c r="T128" s="693"/>
      <c r="U128" s="693"/>
      <c r="V128" s="693"/>
      <c r="W128" s="142"/>
      <c r="X128" s="142"/>
      <c r="Y128" s="142"/>
      <c r="Z128" s="142"/>
      <c r="AA128" s="142"/>
      <c r="AB128" s="142"/>
      <c r="AC128" s="252"/>
      <c r="AD128" s="252"/>
      <c r="AE128" s="252"/>
      <c r="AF128" s="252"/>
      <c r="AG128" s="252"/>
      <c r="AH128" s="252"/>
    </row>
    <row r="129" spans="20:34" hidden="1" x14ac:dyDescent="0.25">
      <c r="T129" s="694"/>
      <c r="U129" s="694"/>
      <c r="V129" s="694"/>
      <c r="W129" s="142"/>
      <c r="X129" s="142"/>
      <c r="Y129" s="142"/>
      <c r="Z129" s="142"/>
      <c r="AA129" s="142"/>
      <c r="AB129" s="142"/>
      <c r="AC129" s="252"/>
      <c r="AD129" s="252"/>
      <c r="AE129" s="252"/>
      <c r="AF129" s="252"/>
      <c r="AG129" s="252"/>
      <c r="AH129" s="252"/>
    </row>
    <row r="130" spans="20:34" hidden="1" x14ac:dyDescent="0.25">
      <c r="T130" s="716"/>
      <c r="U130" s="716"/>
      <c r="V130" s="716"/>
      <c r="W130" s="688"/>
      <c r="X130" s="688"/>
      <c r="Y130" s="688"/>
      <c r="Z130" s="688"/>
      <c r="AA130" s="688"/>
      <c r="AB130" s="688"/>
      <c r="AC130" s="697"/>
      <c r="AD130" s="697"/>
      <c r="AE130" s="697"/>
      <c r="AF130" s="678"/>
      <c r="AG130" s="678"/>
      <c r="AH130" s="678"/>
    </row>
    <row r="131" spans="20:34" hidden="1" x14ac:dyDescent="0.25">
      <c r="T131" s="716"/>
      <c r="U131" s="716"/>
      <c r="V131" s="716"/>
      <c r="W131" s="677"/>
      <c r="X131" s="677"/>
      <c r="Y131" s="677"/>
      <c r="Z131" s="677"/>
      <c r="AA131" s="677"/>
      <c r="AB131" s="677"/>
      <c r="AC131" s="697"/>
      <c r="AD131" s="697"/>
      <c r="AE131" s="697"/>
      <c r="AF131" s="678"/>
      <c r="AG131" s="678"/>
      <c r="AH131" s="678"/>
    </row>
    <row r="132" spans="20:34" hidden="1" x14ac:dyDescent="0.25">
      <c r="T132" s="698"/>
      <c r="U132" s="698"/>
      <c r="V132" s="698"/>
      <c r="W132" s="699"/>
      <c r="X132" s="700"/>
      <c r="Y132" s="701"/>
      <c r="Z132" s="702"/>
      <c r="AA132" s="699"/>
      <c r="AB132" s="700"/>
      <c r="AC132" s="697"/>
      <c r="AD132" s="697"/>
      <c r="AE132" s="697"/>
      <c r="AF132" s="689"/>
      <c r="AG132" s="689"/>
      <c r="AH132" s="689"/>
    </row>
    <row r="133" spans="20:34" hidden="1" x14ac:dyDescent="0.25">
      <c r="T133" s="717"/>
      <c r="U133" s="717"/>
      <c r="V133" s="717"/>
      <c r="W133" s="717"/>
      <c r="X133" s="717"/>
      <c r="Y133" s="717"/>
      <c r="Z133" s="717"/>
      <c r="AA133" s="717"/>
      <c r="AB133" s="717"/>
    </row>
    <row r="134" spans="20:34" hidden="1" x14ac:dyDescent="0.25">
      <c r="T134" s="717"/>
      <c r="U134" s="717"/>
      <c r="V134" s="717"/>
      <c r="W134" s="717"/>
      <c r="X134" s="717"/>
      <c r="Y134" s="717"/>
      <c r="Z134" s="717"/>
      <c r="AA134" s="717"/>
      <c r="AB134" s="717"/>
      <c r="AC134" s="128"/>
      <c r="AD134" s="128"/>
      <c r="AE134" s="128"/>
      <c r="AF134" s="128"/>
      <c r="AG134" s="128"/>
      <c r="AH134" s="128"/>
    </row>
    <row r="135" spans="20:34" hidden="1" x14ac:dyDescent="0.25">
      <c r="AC135" s="128"/>
      <c r="AD135" s="128"/>
      <c r="AE135" s="128"/>
      <c r="AF135" s="128"/>
      <c r="AG135" s="128"/>
      <c r="AH135" s="128"/>
    </row>
    <row r="136" spans="20:34" hidden="1" x14ac:dyDescent="0.25">
      <c r="T136" s="718"/>
      <c r="U136" s="718"/>
      <c r="V136" s="718"/>
      <c r="W136" s="718"/>
      <c r="X136" s="718"/>
      <c r="Y136" s="718"/>
      <c r="Z136" s="718"/>
      <c r="AA136" s="718"/>
      <c r="AB136" s="718"/>
      <c r="AC136" s="718"/>
      <c r="AD136" s="718"/>
      <c r="AE136" s="718"/>
      <c r="AF136" s="718"/>
      <c r="AG136" s="718"/>
      <c r="AH136" s="718"/>
    </row>
    <row r="137" spans="20:34" hidden="1" x14ac:dyDescent="0.25">
      <c r="T137" s="718"/>
      <c r="U137" s="718"/>
      <c r="V137" s="718"/>
      <c r="W137" s="1017"/>
      <c r="X137" s="1017"/>
      <c r="Y137" s="717"/>
      <c r="Z137" s="717"/>
      <c r="AA137" s="717"/>
      <c r="AB137" s="717"/>
    </row>
    <row r="138" spans="20:34" hidden="1" x14ac:dyDescent="0.25">
      <c r="T138" s="250"/>
      <c r="U138" s="250"/>
      <c r="V138" s="250"/>
      <c r="W138" s="1017"/>
      <c r="X138" s="1017"/>
      <c r="Y138" s="717"/>
      <c r="Z138" s="717"/>
      <c r="AA138" s="717"/>
      <c r="AB138" s="717"/>
      <c r="AC138" s="128"/>
      <c r="AD138" s="128"/>
      <c r="AE138" s="128"/>
      <c r="AF138" s="128"/>
      <c r="AG138" s="128"/>
      <c r="AH138" s="128"/>
    </row>
    <row r="139" spans="20:34" hidden="1" x14ac:dyDescent="0.25">
      <c r="T139" s="699"/>
      <c r="U139" s="699"/>
      <c r="V139" s="699"/>
      <c r="W139" s="695"/>
      <c r="X139" s="695"/>
      <c r="Y139" s="717"/>
      <c r="Z139" s="717"/>
      <c r="AA139" s="717"/>
      <c r="AB139" s="717"/>
    </row>
    <row r="140" spans="20:34" hidden="1" x14ac:dyDescent="0.25">
      <c r="T140" s="699"/>
      <c r="U140" s="699"/>
      <c r="V140" s="699"/>
      <c r="W140" s="695"/>
      <c r="X140" s="695"/>
      <c r="Y140" s="717"/>
      <c r="Z140" s="717"/>
      <c r="AA140" s="717"/>
      <c r="AB140" s="717"/>
    </row>
    <row r="141" spans="20:34" hidden="1" x14ac:dyDescent="0.25">
      <c r="T141" s="699"/>
      <c r="U141" s="699"/>
      <c r="V141" s="699"/>
      <c r="W141" s="695"/>
      <c r="X141" s="695"/>
      <c r="Y141" s="717"/>
      <c r="Z141" s="717"/>
      <c r="AA141" s="717"/>
      <c r="AB141" s="717"/>
    </row>
    <row r="142" spans="20:34" hidden="1" x14ac:dyDescent="0.25">
      <c r="T142" s="719"/>
      <c r="U142" s="719"/>
      <c r="V142" s="719"/>
      <c r="W142" s="696"/>
      <c r="X142" s="720"/>
      <c r="Y142" s="717"/>
      <c r="Z142" s="717"/>
      <c r="AA142" s="717"/>
      <c r="AB142" s="717"/>
    </row>
    <row r="143" spans="20:34" hidden="1" x14ac:dyDescent="0.25">
      <c r="T143" s="717"/>
      <c r="U143" s="717"/>
      <c r="V143" s="717"/>
      <c r="W143" s="717"/>
      <c r="X143" s="717"/>
      <c r="Y143" s="717"/>
      <c r="Z143" s="717"/>
      <c r="AA143" s="717"/>
      <c r="AB143" s="717"/>
    </row>
    <row r="144" spans="20:34" hidden="1" x14ac:dyDescent="0.25">
      <c r="T144" s="717"/>
      <c r="U144" s="717"/>
      <c r="V144" s="717"/>
      <c r="W144" s="717"/>
      <c r="X144" s="717"/>
      <c r="Y144" s="717"/>
      <c r="Z144" s="717"/>
      <c r="AA144" s="717"/>
      <c r="AB144" s="717"/>
    </row>
    <row r="145" spans="20:28" hidden="1" x14ac:dyDescent="0.25">
      <c r="T145" s="717"/>
      <c r="U145" s="717"/>
      <c r="V145" s="717"/>
      <c r="W145" s="717"/>
      <c r="X145" s="717"/>
      <c r="Y145" s="717"/>
      <c r="Z145" s="717"/>
      <c r="AA145" s="717"/>
      <c r="AB145" s="717"/>
    </row>
    <row r="146" spans="20:28" hidden="1" x14ac:dyDescent="0.25">
      <c r="T146" s="717"/>
      <c r="U146" s="717"/>
      <c r="V146" s="717"/>
      <c r="W146" s="717"/>
      <c r="X146" s="717"/>
      <c r="Y146" s="717"/>
      <c r="Z146" s="717"/>
      <c r="AA146" s="717"/>
      <c r="AB146" s="717"/>
    </row>
    <row r="147" spans="20:28" hidden="1" x14ac:dyDescent="0.25">
      <c r="T147" s="717"/>
      <c r="U147" s="717"/>
      <c r="V147" s="717"/>
      <c r="W147" s="717"/>
      <c r="X147" s="717"/>
      <c r="Y147" s="717"/>
      <c r="Z147" s="717"/>
      <c r="AA147" s="717"/>
      <c r="AB147" s="717"/>
    </row>
    <row r="148" spans="20:28" hidden="1" x14ac:dyDescent="0.25"/>
    <row r="149" spans="20:28" hidden="1" x14ac:dyDescent="0.25"/>
    <row r="150" spans="20:28" hidden="1" x14ac:dyDescent="0.25"/>
    <row r="151" spans="20:28" hidden="1" x14ac:dyDescent="0.25"/>
    <row r="152" spans="20:28" hidden="1" x14ac:dyDescent="0.25"/>
    <row r="153" spans="20:28" hidden="1" x14ac:dyDescent="0.25"/>
    <row r="154" spans="20:28" hidden="1" x14ac:dyDescent="0.25"/>
    <row r="155" spans="20:28" hidden="1" x14ac:dyDescent="0.25"/>
    <row r="156" spans="20:28" hidden="1" x14ac:dyDescent="0.25"/>
    <row r="157" spans="20:28" hidden="1" x14ac:dyDescent="0.25"/>
    <row r="158" spans="20:28" hidden="1" x14ac:dyDescent="0.25"/>
    <row r="159" spans="20:28" hidden="1" x14ac:dyDescent="0.25"/>
    <row r="160" spans="20:28"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sheetData>
  <mergeCells count="6">
    <mergeCell ref="Z67:Z68"/>
    <mergeCell ref="W137:W138"/>
    <mergeCell ref="X137:X138"/>
    <mergeCell ref="I67:I68"/>
    <mergeCell ref="Y67:Y68"/>
    <mergeCell ref="J67:J68"/>
  </mergeCells>
  <pageMargins left="0.7" right="0.7" top="0.75" bottom="0.75" header="0.3" footer="0.3"/>
  <pageSetup paperSize="9" orientation="portrait" r:id="rId1"/>
  <ignoredErrors>
    <ignoredError sqref="E18:G18" formula="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AH109"/>
  <sheetViews>
    <sheetView zoomScale="70" zoomScaleNormal="70" workbookViewId="0">
      <pane xSplit="4" ySplit="6" topLeftCell="E7" activePane="bottomRight" state="frozen"/>
      <selection pane="topRight" activeCell="E1" sqref="E1"/>
      <selection pane="bottomLeft" activeCell="A7" sqref="A7"/>
      <selection pane="bottomRight"/>
    </sheetView>
  </sheetViews>
  <sheetFormatPr defaultRowHeight="15" x14ac:dyDescent="0.25"/>
  <cols>
    <col min="1" max="1" width="27.7109375" style="176" customWidth="1"/>
    <col min="2" max="2" width="44" style="176" customWidth="1"/>
    <col min="3" max="3" width="22.42578125" style="176" customWidth="1"/>
    <col min="4" max="4" width="19.42578125" style="176" customWidth="1"/>
    <col min="5" max="19" width="14.140625" style="176" customWidth="1"/>
    <col min="20" max="28" width="14.140625" style="128" customWidth="1"/>
    <col min="29" max="34" width="14.140625" style="698" customWidth="1"/>
  </cols>
  <sheetData>
    <row r="1" spans="1:34" ht="28.5" x14ac:dyDescent="0.45">
      <c r="A1" s="102" t="s">
        <v>983</v>
      </c>
      <c r="B1" s="103"/>
      <c r="C1" s="103"/>
      <c r="D1" s="103"/>
      <c r="E1" s="103"/>
      <c r="F1" s="103"/>
      <c r="G1" s="103"/>
      <c r="H1" s="102"/>
      <c r="I1" s="102"/>
      <c r="J1" s="102"/>
      <c r="K1" s="102"/>
      <c r="L1" s="102"/>
      <c r="M1" s="102"/>
      <c r="N1" s="102"/>
      <c r="O1" s="102"/>
      <c r="P1" s="102"/>
      <c r="Q1" s="102"/>
      <c r="R1" s="102"/>
      <c r="S1" s="102"/>
      <c r="T1" s="103"/>
      <c r="U1" s="103"/>
      <c r="V1" s="103"/>
      <c r="W1" s="103"/>
      <c r="X1" s="102"/>
      <c r="Y1" s="102"/>
      <c r="Z1" s="102"/>
      <c r="AA1" s="102"/>
      <c r="AB1" s="102"/>
      <c r="AC1" s="102"/>
      <c r="AD1" s="102"/>
      <c r="AE1" s="102"/>
      <c r="AF1" s="102"/>
      <c r="AG1" s="102"/>
      <c r="AH1" s="102"/>
    </row>
    <row r="2" spans="1:34" ht="21.75" thickBot="1" x14ac:dyDescent="0.4">
      <c r="A2" s="112"/>
      <c r="B2" s="112"/>
      <c r="C2" s="112"/>
      <c r="D2" s="112"/>
      <c r="E2" s="166" t="s">
        <v>252</v>
      </c>
      <c r="F2" s="166"/>
      <c r="G2" s="166"/>
      <c r="H2" s="166"/>
      <c r="I2" s="166"/>
      <c r="J2" s="166"/>
      <c r="K2" s="166"/>
      <c r="L2" s="166"/>
      <c r="M2" s="166"/>
      <c r="N2" s="166"/>
      <c r="O2" s="166"/>
      <c r="P2" s="166"/>
      <c r="Q2" s="166"/>
      <c r="R2" s="166"/>
      <c r="S2" s="166"/>
      <c r="T2" s="304" t="s">
        <v>253</v>
      </c>
      <c r="U2" s="164"/>
      <c r="V2" s="164"/>
      <c r="W2" s="164"/>
      <c r="X2" s="164"/>
      <c r="Y2" s="164"/>
      <c r="Z2" s="164"/>
      <c r="AA2" s="164"/>
      <c r="AB2" s="164"/>
      <c r="AC2" s="164"/>
      <c r="AD2" s="164"/>
      <c r="AE2" s="164"/>
      <c r="AF2" s="164"/>
      <c r="AG2" s="164"/>
      <c r="AH2" s="164"/>
    </row>
    <row r="3" spans="1:34" ht="19.5" x14ac:dyDescent="0.3">
      <c r="A3" s="112"/>
      <c r="B3" s="112"/>
      <c r="C3" s="112"/>
      <c r="D3" s="112"/>
      <c r="E3" s="112"/>
      <c r="F3" s="112"/>
      <c r="G3" s="112"/>
      <c r="H3" s="112"/>
      <c r="I3" s="112"/>
      <c r="J3" s="112"/>
      <c r="K3" s="112"/>
      <c r="L3" s="112"/>
      <c r="M3" s="112"/>
      <c r="N3" s="112"/>
      <c r="O3" s="112"/>
      <c r="P3" s="112"/>
      <c r="Q3" s="381"/>
      <c r="R3" s="382"/>
      <c r="S3" s="383"/>
      <c r="T3" s="112"/>
      <c r="U3" s="112"/>
      <c r="V3" s="112"/>
      <c r="W3" s="112"/>
      <c r="X3" s="112"/>
      <c r="Y3" s="112"/>
      <c r="Z3" s="112"/>
      <c r="AA3" s="112"/>
      <c r="AB3" s="112"/>
      <c r="AC3" s="112"/>
      <c r="AD3" s="112"/>
      <c r="AE3" s="112"/>
      <c r="AF3" s="381"/>
      <c r="AG3" s="382"/>
      <c r="AH3" s="383"/>
    </row>
    <row r="4" spans="1:34" x14ac:dyDescent="0.25">
      <c r="A4" s="63"/>
      <c r="B4" s="63"/>
      <c r="C4" s="63"/>
      <c r="D4" s="63"/>
      <c r="E4" s="63" t="s">
        <v>5</v>
      </c>
      <c r="F4" s="63"/>
      <c r="G4" s="63"/>
      <c r="H4" s="63" t="s">
        <v>377</v>
      </c>
      <c r="I4" s="63"/>
      <c r="J4" s="63"/>
      <c r="K4" s="63"/>
      <c r="L4" s="63"/>
      <c r="M4" s="63"/>
      <c r="N4" s="253" t="s">
        <v>405</v>
      </c>
      <c r="O4" s="129"/>
      <c r="P4" s="253"/>
      <c r="Q4" s="384" t="s">
        <v>404</v>
      </c>
      <c r="R4" s="385"/>
      <c r="S4" s="386"/>
      <c r="T4" s="63" t="s">
        <v>5</v>
      </c>
      <c r="U4" s="63"/>
      <c r="V4" s="63"/>
      <c r="W4" s="63" t="s">
        <v>377</v>
      </c>
      <c r="X4" s="63"/>
      <c r="Y4" s="63"/>
      <c r="Z4" s="63"/>
      <c r="AA4" s="63"/>
      <c r="AB4" s="63"/>
      <c r="AC4" s="253" t="s">
        <v>405</v>
      </c>
      <c r="AD4" s="129"/>
      <c r="AE4" s="253"/>
      <c r="AF4" s="384" t="s">
        <v>404</v>
      </c>
      <c r="AG4" s="385"/>
      <c r="AH4" s="386"/>
    </row>
    <row r="5" spans="1:34" x14ac:dyDescent="0.25">
      <c r="A5" s="63" t="s">
        <v>24</v>
      </c>
      <c r="B5" s="63" t="s">
        <v>187</v>
      </c>
      <c r="C5" s="63" t="s">
        <v>4</v>
      </c>
      <c r="D5" s="63" t="s">
        <v>204</v>
      </c>
      <c r="E5" s="108" t="s">
        <v>1014</v>
      </c>
      <c r="F5" s="177"/>
      <c r="G5" s="177"/>
      <c r="H5" s="108"/>
      <c r="I5" s="177"/>
      <c r="J5" s="177"/>
      <c r="K5" s="177"/>
      <c r="L5" s="177"/>
      <c r="M5" s="177"/>
      <c r="N5" s="66"/>
      <c r="O5" s="177"/>
      <c r="P5" s="66"/>
      <c r="Q5" s="387"/>
      <c r="R5" s="388"/>
      <c r="S5" s="389"/>
      <c r="T5" s="108"/>
      <c r="U5" s="177"/>
      <c r="V5" s="177"/>
      <c r="W5" s="108"/>
      <c r="X5" s="177"/>
      <c r="Y5" s="177"/>
      <c r="Z5" s="177"/>
      <c r="AA5" s="177"/>
      <c r="AB5" s="177"/>
      <c r="AC5" s="66"/>
      <c r="AD5" s="177"/>
      <c r="AE5" s="66"/>
      <c r="AF5" s="387"/>
      <c r="AG5" s="388"/>
      <c r="AH5" s="389"/>
    </row>
    <row r="6" spans="1:34" x14ac:dyDescent="0.25">
      <c r="A6" s="177"/>
      <c r="B6" s="168" t="s">
        <v>893</v>
      </c>
      <c r="C6" s="177"/>
      <c r="D6" s="177"/>
      <c r="E6" s="113" t="s">
        <v>259</v>
      </c>
      <c r="F6" s="169" t="s">
        <v>260</v>
      </c>
      <c r="G6" s="170" t="s">
        <v>261</v>
      </c>
      <c r="H6" s="171" t="s">
        <v>190</v>
      </c>
      <c r="I6" s="171" t="s">
        <v>191</v>
      </c>
      <c r="J6" s="171" t="s">
        <v>192</v>
      </c>
      <c r="K6" s="171" t="s">
        <v>193</v>
      </c>
      <c r="L6" s="171" t="s">
        <v>194</v>
      </c>
      <c r="M6" s="171" t="s">
        <v>195</v>
      </c>
      <c r="N6" s="171" t="s">
        <v>196</v>
      </c>
      <c r="O6" s="171" t="s">
        <v>197</v>
      </c>
      <c r="P6" s="171" t="s">
        <v>198</v>
      </c>
      <c r="Q6" s="390" t="s">
        <v>196</v>
      </c>
      <c r="R6" s="171" t="s">
        <v>197</v>
      </c>
      <c r="S6" s="391" t="s">
        <v>198</v>
      </c>
      <c r="T6" s="113" t="s">
        <v>259</v>
      </c>
      <c r="U6" s="169" t="s">
        <v>260</v>
      </c>
      <c r="V6" s="170" t="s">
        <v>261</v>
      </c>
      <c r="W6" s="171" t="s">
        <v>190</v>
      </c>
      <c r="X6" s="171" t="s">
        <v>191</v>
      </c>
      <c r="Y6" s="171" t="s">
        <v>192</v>
      </c>
      <c r="Z6" s="171" t="s">
        <v>193</v>
      </c>
      <c r="AA6" s="171" t="s">
        <v>194</v>
      </c>
      <c r="AB6" s="171" t="s">
        <v>195</v>
      </c>
      <c r="AC6" s="171" t="s">
        <v>196</v>
      </c>
      <c r="AD6" s="171" t="s">
        <v>197</v>
      </c>
      <c r="AE6" s="171" t="s">
        <v>198</v>
      </c>
      <c r="AF6" s="390" t="s">
        <v>196</v>
      </c>
      <c r="AG6" s="171" t="s">
        <v>197</v>
      </c>
      <c r="AH6" s="391" t="s">
        <v>198</v>
      </c>
    </row>
    <row r="7" spans="1:34" x14ac:dyDescent="0.25">
      <c r="A7" s="64" t="s">
        <v>370</v>
      </c>
      <c r="B7" s="64" t="s">
        <v>894</v>
      </c>
      <c r="C7" s="9" t="s">
        <v>26</v>
      </c>
      <c r="D7" s="9" t="s">
        <v>910</v>
      </c>
      <c r="E7" s="722">
        <f>1/80</f>
        <v>1.2500000000000001E-2</v>
      </c>
      <c r="F7" s="722">
        <f>1/100</f>
        <v>0.01</v>
      </c>
      <c r="G7" s="722">
        <f>1/120</f>
        <v>8.3333333333333332E-3</v>
      </c>
      <c r="H7" s="762">
        <v>0.86839860984493344</v>
      </c>
      <c r="I7" s="762">
        <v>0.92465088478175872</v>
      </c>
      <c r="J7" s="762">
        <v>0.98090315971858399</v>
      </c>
      <c r="K7" s="762">
        <v>0.14606571486559838</v>
      </c>
      <c r="L7" s="762">
        <v>0.15547666995603393</v>
      </c>
      <c r="M7" s="762">
        <v>0.16488762504646948</v>
      </c>
      <c r="N7" s="252">
        <f t="shared" ref="N7:N20" si="0">HHProps_SSW*(H7+K7)</f>
        <v>559984.30724021362</v>
      </c>
      <c r="O7" s="252">
        <f t="shared" ref="O7:O20" si="1">HHProps_SSW*(I7+L7)</f>
        <v>596230.41021526151</v>
      </c>
      <c r="P7" s="252">
        <f t="shared" ref="P7:P20" si="2">HHProps_SSW*(J7+M7)</f>
        <v>632476.51319030952</v>
      </c>
      <c r="Q7" s="392">
        <f t="shared" ref="Q7:S12" si="3">N7/(($E7-$G7)*AllProps_SSW)</f>
        <v>228.17696729652164</v>
      </c>
      <c r="R7" s="252">
        <f t="shared" si="3"/>
        <v>242.94617733728819</v>
      </c>
      <c r="S7" s="393">
        <f t="shared" si="3"/>
        <v>257.7153873780548</v>
      </c>
      <c r="T7" s="672">
        <f>1/80</f>
        <v>1.2500000000000001E-2</v>
      </c>
      <c r="U7" s="673">
        <f>1/100</f>
        <v>0.01</v>
      </c>
      <c r="V7" s="673">
        <f>1/120</f>
        <v>8.3333333333333332E-3</v>
      </c>
      <c r="W7" s="762">
        <v>1.0503336029715431</v>
      </c>
      <c r="X7" s="762">
        <v>1.2201738153952471</v>
      </c>
      <c r="Y7" s="762">
        <v>1.390014027818951</v>
      </c>
      <c r="Z7" s="762">
        <v>0.46006518051068857</v>
      </c>
      <c r="AA7" s="762">
        <v>0.53388149301201038</v>
      </c>
      <c r="AB7" s="762">
        <v>0.60769780551333219</v>
      </c>
      <c r="AC7" s="252">
        <f t="shared" ref="AC7:AC20" si="4">HHProps_CAM*(W7+Z7)</f>
        <v>197862.24063617236</v>
      </c>
      <c r="AD7" s="252">
        <f t="shared" ref="AD7:AD20" si="5">HHProps_CAM*(X7+AA7)</f>
        <v>229781.24540135072</v>
      </c>
      <c r="AE7" s="252">
        <f t="shared" ref="AE7:AE20" si="6">HHProps_CAM*(Y7+AB7)</f>
        <v>261700.25016652909</v>
      </c>
      <c r="AF7" s="392">
        <f t="shared" ref="AF7:AH12" si="7">AC7/(($T7-$V7)*AllProps_CAM)</f>
        <v>336.78679257220818</v>
      </c>
      <c r="AG7" s="252">
        <f t="shared" si="7"/>
        <v>391.11701344910756</v>
      </c>
      <c r="AH7" s="393">
        <f t="shared" si="7"/>
        <v>445.44723432600688</v>
      </c>
    </row>
    <row r="8" spans="1:34" x14ac:dyDescent="0.25">
      <c r="A8" s="64" t="s">
        <v>25</v>
      </c>
      <c r="B8" s="64" t="s">
        <v>91</v>
      </c>
      <c r="C8" s="9" t="s">
        <v>26</v>
      </c>
      <c r="D8" s="9" t="s">
        <v>910</v>
      </c>
      <c r="E8" s="674">
        <f>1/15</f>
        <v>6.6666666666666666E-2</v>
      </c>
      <c r="F8" s="674">
        <f>1/20</f>
        <v>0.05</v>
      </c>
      <c r="G8" s="674">
        <f>1/25</f>
        <v>0.04</v>
      </c>
      <c r="H8" s="762">
        <v>2.3617312773824533</v>
      </c>
      <c r="I8" s="762">
        <v>2.5136208805568678</v>
      </c>
      <c r="J8" s="762">
        <v>2.6655104837312824</v>
      </c>
      <c r="K8" s="762">
        <v>0.38175903942216927</v>
      </c>
      <c r="L8" s="762">
        <v>0.40607903025206316</v>
      </c>
      <c r="M8" s="762">
        <v>0.43039902108195704</v>
      </c>
      <c r="N8" s="252">
        <f t="shared" si="0"/>
        <v>1514406.6548761516</v>
      </c>
      <c r="O8" s="252">
        <f t="shared" si="1"/>
        <v>1611674.3507665298</v>
      </c>
      <c r="P8" s="252">
        <f t="shared" si="2"/>
        <v>1708942.0466569082</v>
      </c>
      <c r="Q8" s="392">
        <f t="shared" si="3"/>
        <v>96.418080743388259</v>
      </c>
      <c r="R8" s="252">
        <f t="shared" si="3"/>
        <v>102.61084576187584</v>
      </c>
      <c r="S8" s="393">
        <f t="shared" si="3"/>
        <v>108.80361078036343</v>
      </c>
      <c r="T8" s="672">
        <f>1/45</f>
        <v>2.2222222222222223E-2</v>
      </c>
      <c r="U8" s="673">
        <f>1/55</f>
        <v>1.8181818181818181E-2</v>
      </c>
      <c r="V8" s="673">
        <f>1/65</f>
        <v>1.5384615384615385E-2</v>
      </c>
      <c r="W8" s="136">
        <v>2.7963538801752339</v>
      </c>
      <c r="X8" s="136">
        <v>3.2470267228202889</v>
      </c>
      <c r="Y8" s="136">
        <v>3.697699565465344</v>
      </c>
      <c r="Z8" s="136">
        <v>1.2813259857945285</v>
      </c>
      <c r="AA8" s="136">
        <v>1.4876598814855271</v>
      </c>
      <c r="AB8" s="136">
        <v>1.6939937771765257</v>
      </c>
      <c r="AC8" s="252">
        <f t="shared" si="4"/>
        <v>534176.06244203891</v>
      </c>
      <c r="AD8" s="252">
        <f t="shared" si="5"/>
        <v>620243.94516406185</v>
      </c>
      <c r="AE8" s="252">
        <f t="shared" si="6"/>
        <v>706311.82788608491</v>
      </c>
      <c r="AF8" s="392">
        <f t="shared" si="7"/>
        <v>554.06559668190209</v>
      </c>
      <c r="AG8" s="252">
        <f t="shared" si="7"/>
        <v>643.33813461165994</v>
      </c>
      <c r="AH8" s="393">
        <f t="shared" si="7"/>
        <v>732.6106725414179</v>
      </c>
    </row>
    <row r="9" spans="1:34" x14ac:dyDescent="0.25">
      <c r="A9" s="128" t="s">
        <v>117</v>
      </c>
      <c r="B9" s="9" t="s">
        <v>90</v>
      </c>
      <c r="C9" s="9" t="s">
        <v>26</v>
      </c>
      <c r="D9" s="9" t="s">
        <v>910</v>
      </c>
      <c r="E9" s="674">
        <f>1/60</f>
        <v>1.6666666666666666E-2</v>
      </c>
      <c r="F9" s="674">
        <f>1/75</f>
        <v>1.3333333333333334E-2</v>
      </c>
      <c r="G9" s="674">
        <f>1/90</f>
        <v>1.1111111111111112E-2</v>
      </c>
      <c r="H9" s="762">
        <v>0.212091117265852</v>
      </c>
      <c r="I9" s="762">
        <v>0.2257441775394235</v>
      </c>
      <c r="J9" s="762">
        <v>0.23939723781299499</v>
      </c>
      <c r="K9" s="762">
        <v>8.6048658035659809E-2</v>
      </c>
      <c r="L9" s="762">
        <v>9.1574277888642142E-2</v>
      </c>
      <c r="M9" s="762">
        <v>9.7099897741624475E-2</v>
      </c>
      <c r="N9" s="252">
        <f t="shared" si="0"/>
        <v>164573.15596643451</v>
      </c>
      <c r="O9" s="252">
        <f t="shared" si="1"/>
        <v>175159.78739629223</v>
      </c>
      <c r="P9" s="252">
        <f t="shared" si="2"/>
        <v>185746.41882614995</v>
      </c>
      <c r="Q9" s="392">
        <f t="shared" si="3"/>
        <v>50.294003521151474</v>
      </c>
      <c r="R9" s="252">
        <f t="shared" si="3"/>
        <v>53.529306844367753</v>
      </c>
      <c r="S9" s="393">
        <f t="shared" si="3"/>
        <v>56.764610167584031</v>
      </c>
      <c r="T9" s="672">
        <f>1/70</f>
        <v>1.4285714285714285E-2</v>
      </c>
      <c r="U9" s="673">
        <f>1/85</f>
        <v>1.1764705882352941E-2</v>
      </c>
      <c r="V9" s="673">
        <f>1/100</f>
        <v>0.01</v>
      </c>
      <c r="W9" s="161">
        <v>0.212091117265852</v>
      </c>
      <c r="X9" s="161">
        <v>0.2257441775394235</v>
      </c>
      <c r="Y9" s="161">
        <v>0.23939723781299499</v>
      </c>
      <c r="Z9" s="161">
        <v>8.6048658035659809E-2</v>
      </c>
      <c r="AA9" s="161">
        <v>9.1574277888642142E-2</v>
      </c>
      <c r="AB9" s="161">
        <v>9.7099897741624475E-2</v>
      </c>
      <c r="AC9" s="252">
        <f t="shared" si="4"/>
        <v>39056.310564498046</v>
      </c>
      <c r="AD9" s="252">
        <f t="shared" si="5"/>
        <v>41568.717661076596</v>
      </c>
      <c r="AE9" s="252">
        <f t="shared" si="6"/>
        <v>44081.124757655147</v>
      </c>
      <c r="AF9" s="392">
        <f t="shared" si="7"/>
        <v>64.632192423519228</v>
      </c>
      <c r="AG9" s="252">
        <f t="shared" si="7"/>
        <v>68.789840101072386</v>
      </c>
      <c r="AH9" s="393">
        <f t="shared" si="7"/>
        <v>72.947487778625543</v>
      </c>
    </row>
    <row r="10" spans="1:34" x14ac:dyDescent="0.25">
      <c r="A10" s="9" t="s">
        <v>81</v>
      </c>
      <c r="B10" s="9" t="s">
        <v>895</v>
      </c>
      <c r="C10" s="9" t="s">
        <v>26</v>
      </c>
      <c r="D10" s="9" t="s">
        <v>910</v>
      </c>
      <c r="E10" s="674">
        <f>1/3</f>
        <v>0.33333333333333331</v>
      </c>
      <c r="F10" s="674">
        <f>1/4</f>
        <v>0.25</v>
      </c>
      <c r="G10" s="674">
        <f>1/5</f>
        <v>0.2</v>
      </c>
      <c r="H10" s="762">
        <v>1.6482786604438375</v>
      </c>
      <c r="I10" s="762">
        <v>1.7542649682968712</v>
      </c>
      <c r="J10" s="762">
        <v>1.8602512761499048</v>
      </c>
      <c r="K10" s="762">
        <v>0.95729924398477473</v>
      </c>
      <c r="L10" s="762">
        <v>1.0183486804525086</v>
      </c>
      <c r="M10" s="762">
        <v>1.0793981169202425</v>
      </c>
      <c r="N10" s="252">
        <f t="shared" si="0"/>
        <v>1438279.003244594</v>
      </c>
      <c r="O10" s="252">
        <f t="shared" si="1"/>
        <v>1530482.7341096576</v>
      </c>
      <c r="P10" s="252">
        <f t="shared" si="2"/>
        <v>1622686.4649747212</v>
      </c>
      <c r="Q10" s="392">
        <f t="shared" si="3"/>
        <v>18.314248767970216</v>
      </c>
      <c r="R10" s="252">
        <f t="shared" si="3"/>
        <v>19.488320043841146</v>
      </c>
      <c r="S10" s="393">
        <f t="shared" si="3"/>
        <v>20.662391319712075</v>
      </c>
      <c r="T10" s="672">
        <f>1/3</f>
        <v>0.33333333333333331</v>
      </c>
      <c r="U10" s="673">
        <f>1/4</f>
        <v>0.25</v>
      </c>
      <c r="V10" s="673">
        <f>1/5</f>
        <v>0.2</v>
      </c>
      <c r="W10" s="161">
        <v>0.44034925189778279</v>
      </c>
      <c r="X10" s="161">
        <v>0.5115909580488055</v>
      </c>
      <c r="Y10" s="704">
        <v>0.58283266419982827</v>
      </c>
      <c r="Z10" s="704">
        <v>0.21358974381955781</v>
      </c>
      <c r="AA10" s="161">
        <v>0.24798757130584426</v>
      </c>
      <c r="AB10" s="161">
        <v>0.28238539879213065</v>
      </c>
      <c r="AC10" s="252">
        <f t="shared" si="4"/>
        <v>85666.008438971621</v>
      </c>
      <c r="AD10" s="252">
        <f t="shared" si="5"/>
        <v>99504.787345459117</v>
      </c>
      <c r="AE10" s="252">
        <f t="shared" si="6"/>
        <v>113343.56625194661</v>
      </c>
      <c r="AF10" s="392">
        <f t="shared" si="7"/>
        <v>4.5567025765410447</v>
      </c>
      <c r="AG10" s="252">
        <f t="shared" si="7"/>
        <v>5.2928078375244221</v>
      </c>
      <c r="AH10" s="393">
        <f t="shared" si="7"/>
        <v>6.0289130985077994</v>
      </c>
    </row>
    <row r="11" spans="1:34" x14ac:dyDescent="0.25">
      <c r="A11" s="9" t="s">
        <v>82</v>
      </c>
      <c r="B11" s="9" t="s">
        <v>896</v>
      </c>
      <c r="C11" s="9" t="s">
        <v>26</v>
      </c>
      <c r="D11" s="9" t="s">
        <v>910</v>
      </c>
      <c r="E11" s="765">
        <v>0</v>
      </c>
      <c r="F11" s="765">
        <v>2000</v>
      </c>
      <c r="G11" s="765">
        <v>4000</v>
      </c>
      <c r="H11" s="136">
        <v>3.9029849484083794</v>
      </c>
      <c r="I11" s="136">
        <v>4.153353131791846</v>
      </c>
      <c r="J11" s="136">
        <v>4.4037213151753125</v>
      </c>
      <c r="K11" s="136">
        <v>0.44164778847653796</v>
      </c>
      <c r="L11" s="136">
        <v>0.47000218421636397</v>
      </c>
      <c r="M11" s="136">
        <v>0.49835657995618998</v>
      </c>
      <c r="N11" s="252">
        <f t="shared" si="0"/>
        <v>2398237.2707604743</v>
      </c>
      <c r="O11" s="252">
        <f t="shared" si="1"/>
        <v>2552092.1344365319</v>
      </c>
      <c r="P11" s="252">
        <f t="shared" si="2"/>
        <v>2705946.9981125896</v>
      </c>
      <c r="Q11" s="392">
        <f>-N11/(($E11-$G11))</f>
        <v>599.55931769011852</v>
      </c>
      <c r="R11" s="252">
        <f>-O11/(($E11-$G11))</f>
        <v>638.02303360913299</v>
      </c>
      <c r="S11" s="393">
        <f>-P11/(($E11-$G11))</f>
        <v>676.48674952814736</v>
      </c>
      <c r="T11" s="780">
        <v>0</v>
      </c>
      <c r="U11" s="781">
        <v>650</v>
      </c>
      <c r="V11" s="781">
        <v>1350</v>
      </c>
      <c r="W11" s="161">
        <v>2.737100373360374</v>
      </c>
      <c r="X11" s="161">
        <v>3.1786545007378098</v>
      </c>
      <c r="Y11" s="161">
        <v>3.6202086281152455</v>
      </c>
      <c r="Z11" s="161">
        <v>0.44823716253780965</v>
      </c>
      <c r="AA11" s="161">
        <v>0.51999377335493691</v>
      </c>
      <c r="AB11" s="161">
        <v>0.59175038417206371</v>
      </c>
      <c r="AC11" s="252">
        <f t="shared" si="4"/>
        <v>417279.21720266208</v>
      </c>
      <c r="AD11" s="252">
        <f t="shared" si="5"/>
        <v>484522.92390614981</v>
      </c>
      <c r="AE11" s="252">
        <f t="shared" si="6"/>
        <v>551766.63060963748</v>
      </c>
      <c r="AF11" s="392">
        <f>-AC11/(($T11-$V11))</f>
        <v>309.09571644641636</v>
      </c>
      <c r="AG11" s="252">
        <f>-AD11/(($T11-$V11))</f>
        <v>358.90586956011094</v>
      </c>
      <c r="AH11" s="393">
        <f>-AE11/(($T11-$V11))</f>
        <v>408.71602267380553</v>
      </c>
    </row>
    <row r="12" spans="1:34" x14ac:dyDescent="0.25">
      <c r="A12" s="9" t="s">
        <v>205</v>
      </c>
      <c r="B12" s="9" t="s">
        <v>900</v>
      </c>
      <c r="C12" s="9" t="s">
        <v>26</v>
      </c>
      <c r="D12" s="9" t="s">
        <v>910</v>
      </c>
      <c r="E12" s="722">
        <f>1/70</f>
        <v>1.4285714285714285E-2</v>
      </c>
      <c r="F12" s="722">
        <f>1/90</f>
        <v>1.1111111111111112E-2</v>
      </c>
      <c r="G12" s="722">
        <f>1/105</f>
        <v>9.5238095238095247E-3</v>
      </c>
      <c r="H12" s="136">
        <v>0.32049016150798193</v>
      </c>
      <c r="I12" s="136">
        <v>0.34402464861444743</v>
      </c>
      <c r="J12" s="136">
        <v>0.36755913572091292</v>
      </c>
      <c r="K12" s="136">
        <v>0.2822993992913011</v>
      </c>
      <c r="L12" s="136">
        <v>0.30285567277211028</v>
      </c>
      <c r="M12" s="136">
        <v>0.32341194625291947</v>
      </c>
      <c r="N12" s="252">
        <f t="shared" si="0"/>
        <v>332739.83756120421</v>
      </c>
      <c r="O12" s="252">
        <f t="shared" si="1"/>
        <v>357077.93740537984</v>
      </c>
      <c r="P12" s="252">
        <f t="shared" si="2"/>
        <v>381416.03724955546</v>
      </c>
      <c r="Q12" s="392">
        <f t="shared" si="3"/>
        <v>118.6338979420253</v>
      </c>
      <c r="R12" s="252">
        <f t="shared" si="3"/>
        <v>127.31131893909981</v>
      </c>
      <c r="S12" s="393">
        <f t="shared" si="3"/>
        <v>135.98873993617431</v>
      </c>
      <c r="T12" s="722">
        <f>1/40</f>
        <v>2.5000000000000001E-2</v>
      </c>
      <c r="U12" s="722">
        <f>1/50</f>
        <v>0.02</v>
      </c>
      <c r="V12" s="722">
        <f>1/60</f>
        <v>1.6666666666666666E-2</v>
      </c>
      <c r="W12" s="161">
        <v>4.5496902843383438E-2</v>
      </c>
      <c r="X12" s="161">
        <v>5.1566374153082802E-2</v>
      </c>
      <c r="Y12" s="161">
        <v>5.7635845462782165E-2</v>
      </c>
      <c r="Z12" s="161">
        <v>0.55866271520717981</v>
      </c>
      <c r="AA12" s="161">
        <v>0.63452935581753855</v>
      </c>
      <c r="AB12" s="161">
        <v>0.71039599642789741</v>
      </c>
      <c r="AC12" s="252">
        <f t="shared" si="4"/>
        <v>79144.909964623788</v>
      </c>
      <c r="AD12" s="252">
        <f t="shared" si="5"/>
        <v>89878.5406261514</v>
      </c>
      <c r="AE12" s="252">
        <f t="shared" si="6"/>
        <v>100612.17128767901</v>
      </c>
      <c r="AF12" s="392">
        <f t="shared" si="7"/>
        <v>67.357370182658528</v>
      </c>
      <c r="AG12" s="252">
        <f t="shared" si="7"/>
        <v>76.492375000979905</v>
      </c>
      <c r="AH12" s="393">
        <f t="shared" si="7"/>
        <v>85.627379819301268</v>
      </c>
    </row>
    <row r="13" spans="1:34" x14ac:dyDescent="0.25">
      <c r="A13" s="9" t="s">
        <v>28</v>
      </c>
      <c r="B13" s="9" t="s">
        <v>98</v>
      </c>
      <c r="C13" s="9" t="s">
        <v>26</v>
      </c>
      <c r="D13" s="9" t="s">
        <v>910</v>
      </c>
      <c r="E13" s="722">
        <f>1/40</f>
        <v>2.5000000000000001E-2</v>
      </c>
      <c r="F13" s="722">
        <f>1/50</f>
        <v>0.02</v>
      </c>
      <c r="G13" s="722">
        <f>1/65</f>
        <v>1.5384615384615385E-2</v>
      </c>
      <c r="H13" s="136">
        <v>0.25523142668690374</v>
      </c>
      <c r="I13" s="136">
        <v>0.27397052805780353</v>
      </c>
      <c r="J13" s="136">
        <v>0.29270962942870332</v>
      </c>
      <c r="K13" s="136">
        <v>0.28890912191447543</v>
      </c>
      <c r="L13" s="136">
        <v>0.31012333824297222</v>
      </c>
      <c r="M13" s="136">
        <v>0.33133755457146902</v>
      </c>
      <c r="N13" s="252">
        <f t="shared" si="0"/>
        <v>300365.58282796131</v>
      </c>
      <c r="O13" s="252">
        <f t="shared" si="1"/>
        <v>322419.81419802824</v>
      </c>
      <c r="P13" s="252">
        <f t="shared" si="2"/>
        <v>344474.04556809511</v>
      </c>
      <c r="Q13" s="392">
        <f>N13/(($E13-$G13)*100)</f>
        <v>312380.20614107978</v>
      </c>
      <c r="R13" s="252">
        <f>O13/(($E13-$G13)*100)</f>
        <v>335316.60676594934</v>
      </c>
      <c r="S13" s="393">
        <f>P13/(($E13-$G13)*100)</f>
        <v>358253.00739081891</v>
      </c>
      <c r="T13" s="672">
        <f>1/20</f>
        <v>0.05</v>
      </c>
      <c r="U13" s="673">
        <f>1/25</f>
        <v>0.04</v>
      </c>
      <c r="V13" s="673">
        <f>1/30</f>
        <v>3.3333333333333333E-2</v>
      </c>
      <c r="W13" s="161">
        <v>0.13022873785438305</v>
      </c>
      <c r="X13" s="161">
        <v>0.14752418103788892</v>
      </c>
      <c r="Y13" s="161">
        <v>0.16481962422139479</v>
      </c>
      <c r="Z13" s="161">
        <v>0.38379976436482821</v>
      </c>
      <c r="AA13" s="161">
        <v>0.4352645054001234</v>
      </c>
      <c r="AB13" s="161">
        <v>0.48672924643541854</v>
      </c>
      <c r="AC13" s="252">
        <f t="shared" si="4"/>
        <v>67337.73379071668</v>
      </c>
      <c r="AD13" s="252">
        <f t="shared" si="5"/>
        <v>76345.317923379611</v>
      </c>
      <c r="AE13" s="252">
        <f t="shared" si="6"/>
        <v>85352.902056042542</v>
      </c>
      <c r="AF13" s="392">
        <f>AC13/(($T13-$V13)*100)</f>
        <v>40402.640274429999</v>
      </c>
      <c r="AG13" s="252">
        <f>AD13/(($T13-$V13)*100)</f>
        <v>45807.190754027761</v>
      </c>
      <c r="AH13" s="393">
        <f>AE13/(($T13-$V13)*100)</f>
        <v>51211.741233625515</v>
      </c>
    </row>
    <row r="14" spans="1:34" x14ac:dyDescent="0.25">
      <c r="A14" s="9" t="s">
        <v>85</v>
      </c>
      <c r="B14" s="64" t="s">
        <v>96</v>
      </c>
      <c r="C14" s="9" t="s">
        <v>26</v>
      </c>
      <c r="D14" s="9" t="s">
        <v>910</v>
      </c>
      <c r="E14" s="134">
        <f>1/10</f>
        <v>0.1</v>
      </c>
      <c r="F14" s="134">
        <f>1/12</f>
        <v>8.3333333333333329E-2</v>
      </c>
      <c r="G14" s="134">
        <f>1/15</f>
        <v>6.6666666666666666E-2</v>
      </c>
      <c r="H14" s="136">
        <v>0.6248317807666105</v>
      </c>
      <c r="I14" s="136">
        <v>0.67048359883499642</v>
      </c>
      <c r="J14" s="136">
        <v>0.71613541690338234</v>
      </c>
      <c r="K14" s="136">
        <v>0.31901593912766424</v>
      </c>
      <c r="L14" s="136">
        <v>0.34223714271060324</v>
      </c>
      <c r="M14" s="136">
        <v>0.36545834629354224</v>
      </c>
      <c r="N14" s="252">
        <f t="shared" si="0"/>
        <v>521003.94138163968</v>
      </c>
      <c r="O14" s="252">
        <f t="shared" si="1"/>
        <v>559021.84933317103</v>
      </c>
      <c r="P14" s="252">
        <f t="shared" si="2"/>
        <v>597039.75728470238</v>
      </c>
      <c r="Q14" s="392">
        <f t="shared" ref="Q14:S15" si="8">N14/(($E14-$G14)*AllProps_SSW)</f>
        <v>26.536703296178587</v>
      </c>
      <c r="R14" s="252">
        <f t="shared" si="8"/>
        <v>28.473099286918725</v>
      </c>
      <c r="S14" s="393">
        <f t="shared" si="8"/>
        <v>30.409495277658863</v>
      </c>
      <c r="T14" s="672">
        <f>1/11</f>
        <v>9.0909090909090912E-2</v>
      </c>
      <c r="U14" s="673">
        <f>1/13</f>
        <v>7.6923076923076927E-2</v>
      </c>
      <c r="V14" s="673">
        <f>1/15</f>
        <v>6.6666666666666666E-2</v>
      </c>
      <c r="W14" s="161">
        <v>1.8458569412240895</v>
      </c>
      <c r="X14" s="161">
        <v>2.0915775159019629</v>
      </c>
      <c r="Y14" s="161">
        <v>2.3372980905798366</v>
      </c>
      <c r="Z14" s="161">
        <v>0.62477641289128028</v>
      </c>
      <c r="AA14" s="161">
        <v>0.70742929864721038</v>
      </c>
      <c r="AB14" s="161">
        <v>0.79008218440314026</v>
      </c>
      <c r="AC14" s="252">
        <f t="shared" si="4"/>
        <v>323652.96938911342</v>
      </c>
      <c r="AD14" s="252">
        <f t="shared" si="5"/>
        <v>366669.89270594169</v>
      </c>
      <c r="AE14" s="252">
        <f t="shared" si="6"/>
        <v>409686.81602276996</v>
      </c>
      <c r="AF14" s="392">
        <f t="shared" ref="AF14:AH15" si="9">AC14/(($T14-$V14)*AllProps_CAM)</f>
        <v>94.685709129793807</v>
      </c>
      <c r="AG14" s="252">
        <f t="shared" si="9"/>
        <v>107.27044733418506</v>
      </c>
      <c r="AH14" s="393">
        <f t="shared" si="9"/>
        <v>119.85518553857631</v>
      </c>
    </row>
    <row r="15" spans="1:34" x14ac:dyDescent="0.25">
      <c r="A15" s="9" t="s">
        <v>84</v>
      </c>
      <c r="B15" s="9" t="s">
        <v>95</v>
      </c>
      <c r="C15" s="9" t="s">
        <v>26</v>
      </c>
      <c r="D15" s="9" t="s">
        <v>910</v>
      </c>
      <c r="E15" s="722">
        <f>1/80</f>
        <v>1.2500000000000001E-2</v>
      </c>
      <c r="F15" s="722">
        <f>1/100</f>
        <v>0.01</v>
      </c>
      <c r="G15" s="722">
        <f>1/120</f>
        <v>8.3333333333333332E-3</v>
      </c>
      <c r="H15" s="136">
        <v>1.5444751877640055</v>
      </c>
      <c r="I15" s="136">
        <v>1.6572869394532252</v>
      </c>
      <c r="J15" s="136">
        <v>1.770098691142445</v>
      </c>
      <c r="K15" s="136">
        <v>0.18974223020913872</v>
      </c>
      <c r="L15" s="136">
        <v>0.2035858675115032</v>
      </c>
      <c r="M15" s="136">
        <v>0.21742950481386769</v>
      </c>
      <c r="N15" s="252">
        <f t="shared" si="0"/>
        <v>957288.01472117566</v>
      </c>
      <c r="O15" s="252">
        <f t="shared" si="1"/>
        <v>1027201.7894445301</v>
      </c>
      <c r="P15" s="252">
        <f t="shared" si="2"/>
        <v>1097115.5641678846</v>
      </c>
      <c r="Q15" s="392">
        <f t="shared" si="8"/>
        <v>390.06642365548748</v>
      </c>
      <c r="R15" s="252">
        <f t="shared" si="8"/>
        <v>418.55420962086112</v>
      </c>
      <c r="S15" s="393">
        <f t="shared" si="8"/>
        <v>447.04199558623475</v>
      </c>
      <c r="T15" s="672">
        <f>1/80</f>
        <v>1.2500000000000001E-2</v>
      </c>
      <c r="U15" s="673">
        <f>1/100</f>
        <v>0.01</v>
      </c>
      <c r="V15" s="673">
        <f>1/120</f>
        <v>8.3333333333333332E-3</v>
      </c>
      <c r="W15" s="161">
        <v>1.3856801648113932</v>
      </c>
      <c r="X15" s="161">
        <v>1.5718864020952983</v>
      </c>
      <c r="Y15" s="161">
        <v>1.7580926393792033</v>
      </c>
      <c r="Z15" s="161">
        <v>0.41442051474239161</v>
      </c>
      <c r="AA15" s="161">
        <v>0.46870323002607583</v>
      </c>
      <c r="AB15" s="161">
        <v>0.52298594530976006</v>
      </c>
      <c r="AC15" s="252">
        <f t="shared" si="4"/>
        <v>235813.18902154581</v>
      </c>
      <c r="AD15" s="252">
        <f t="shared" si="5"/>
        <v>267317.24180790002</v>
      </c>
      <c r="AE15" s="252">
        <f t="shared" si="6"/>
        <v>298821.29459425423</v>
      </c>
      <c r="AF15" s="392">
        <f t="shared" si="9"/>
        <v>401.38415152603534</v>
      </c>
      <c r="AG15" s="252">
        <f t="shared" si="9"/>
        <v>455.00807116238292</v>
      </c>
      <c r="AH15" s="393">
        <f t="shared" si="9"/>
        <v>508.6319907987305</v>
      </c>
    </row>
    <row r="16" spans="1:34" x14ac:dyDescent="0.25">
      <c r="A16" s="128" t="s">
        <v>3</v>
      </c>
      <c r="B16" s="9" t="s">
        <v>901</v>
      </c>
      <c r="C16" s="9" t="s">
        <v>396</v>
      </c>
      <c r="D16" s="9" t="s">
        <v>910</v>
      </c>
      <c r="E16" s="140">
        <v>70.5</v>
      </c>
      <c r="F16" s="140">
        <v>52.875</v>
      </c>
      <c r="G16" s="140">
        <v>35.25</v>
      </c>
      <c r="H16" s="136">
        <v>0.53692729750756707</v>
      </c>
      <c r="I16" s="136">
        <v>0.56822271657079115</v>
      </c>
      <c r="J16" s="136">
        <v>0.59951813563401524</v>
      </c>
      <c r="K16" s="136">
        <v>0.10117059294318953</v>
      </c>
      <c r="L16" s="136">
        <v>0.10712289168414013</v>
      </c>
      <c r="M16" s="136">
        <v>0.11307519042509073</v>
      </c>
      <c r="N16" s="252">
        <f t="shared" si="0"/>
        <v>352230.03552881762</v>
      </c>
      <c r="O16" s="252">
        <f t="shared" si="1"/>
        <v>372790.77575672208</v>
      </c>
      <c r="P16" s="252">
        <f t="shared" si="2"/>
        <v>393351.51598462649</v>
      </c>
      <c r="Q16" s="392">
        <f>N16/($E16-$G16)</f>
        <v>9992.3414334416339</v>
      </c>
      <c r="R16" s="252">
        <f>O16/(($E16-$G16))</f>
        <v>10575.624844162328</v>
      </c>
      <c r="S16" s="393">
        <f>P16/(($E16-$G16))</f>
        <v>11158.908254883021</v>
      </c>
      <c r="T16" s="652">
        <v>13.5</v>
      </c>
      <c r="U16" s="652">
        <v>10.125</v>
      </c>
      <c r="V16" s="652">
        <v>6.75</v>
      </c>
      <c r="W16" s="151">
        <v>2.0162165515961492</v>
      </c>
      <c r="X16" s="151">
        <v>2.2194117609254933</v>
      </c>
      <c r="Y16" s="152">
        <v>2.4226069702548374</v>
      </c>
      <c r="Z16" s="152">
        <v>5.5612094090440323E-3</v>
      </c>
      <c r="AA16" s="151">
        <v>6.1213637153003653E-3</v>
      </c>
      <c r="AB16" s="151">
        <v>6.6815180215566983E-3</v>
      </c>
      <c r="AC16" s="252">
        <f t="shared" si="4"/>
        <v>264852.88669168029</v>
      </c>
      <c r="AD16" s="252">
        <f t="shared" si="5"/>
        <v>291544.83932794398</v>
      </c>
      <c r="AE16" s="252">
        <f t="shared" si="6"/>
        <v>318236.7919642076</v>
      </c>
      <c r="AF16" s="392">
        <f>AC16/($T16-$V16)</f>
        <v>39237.464695063747</v>
      </c>
      <c r="AG16" s="252">
        <f>AD16/(($T16-$V16))</f>
        <v>43191.828048584292</v>
      </c>
      <c r="AH16" s="393">
        <f>AE16/(($T16-$V16))</f>
        <v>47146.191402104829</v>
      </c>
    </row>
    <row r="17" spans="1:34" x14ac:dyDescent="0.25">
      <c r="A17" s="9" t="s">
        <v>87</v>
      </c>
      <c r="B17" s="9" t="s">
        <v>902</v>
      </c>
      <c r="C17" s="9" t="s">
        <v>412</v>
      </c>
      <c r="D17" s="9" t="s">
        <v>910</v>
      </c>
      <c r="E17" s="804">
        <v>0.33</v>
      </c>
      <c r="F17" s="804">
        <v>0.4</v>
      </c>
      <c r="G17" s="804">
        <v>0.5</v>
      </c>
      <c r="H17" s="136">
        <v>3.3492614671281653</v>
      </c>
      <c r="I17" s="136">
        <v>3.5444878382368952</v>
      </c>
      <c r="J17" s="136">
        <v>3.739714209345625</v>
      </c>
      <c r="K17" s="136">
        <v>0.35334632250035281</v>
      </c>
      <c r="L17" s="136">
        <v>0.37386701240178821</v>
      </c>
      <c r="M17" s="136">
        <v>0.39438770230322406</v>
      </c>
      <c r="N17" s="252">
        <f t="shared" si="0"/>
        <v>2043839.499874942</v>
      </c>
      <c r="O17" s="252">
        <f t="shared" si="1"/>
        <v>2162931.8775525531</v>
      </c>
      <c r="P17" s="252">
        <f t="shared" si="2"/>
        <v>2282024.2552301646</v>
      </c>
      <c r="Q17" s="392">
        <f>-N17/(($E17-$G17)*HHProps_SSW)</f>
        <v>21.780045821344228</v>
      </c>
      <c r="R17" s="252">
        <f>-O17/(($E17-$G17)*HHProps_SSW)</f>
        <v>23.049146180227552</v>
      </c>
      <c r="S17" s="393">
        <f>-P17/(($E17-$G17)*HHProps_SSW)</f>
        <v>24.318246539110881</v>
      </c>
      <c r="T17" s="721">
        <v>0.7</v>
      </c>
      <c r="U17" s="731">
        <v>0.8</v>
      </c>
      <c r="V17" s="731">
        <v>0.95</v>
      </c>
      <c r="W17" s="161">
        <v>1.2820899564124602</v>
      </c>
      <c r="X17" s="161">
        <v>1.4118429400613834</v>
      </c>
      <c r="Y17" s="161">
        <v>1.5415959237103067</v>
      </c>
      <c r="Z17" s="161">
        <v>0.87565203637910405</v>
      </c>
      <c r="AA17" s="161">
        <v>0.96420064774362579</v>
      </c>
      <c r="AB17" s="161">
        <v>1.0527492591081475</v>
      </c>
      <c r="AC17" s="252">
        <f t="shared" si="4"/>
        <v>282664.2010556949</v>
      </c>
      <c r="AD17" s="252">
        <f t="shared" si="5"/>
        <v>311261.71000245621</v>
      </c>
      <c r="AE17" s="252">
        <f t="shared" si="6"/>
        <v>339859.21894921752</v>
      </c>
      <c r="AF17" s="392">
        <f>-AC17/(($T17-$V17)*HHProps_CAM)</f>
        <v>8.6309679711662568</v>
      </c>
      <c r="AG17" s="252">
        <f>-AD17/(($T17-$V17)*HHProps_CAM)</f>
        <v>9.504174351220037</v>
      </c>
      <c r="AH17" s="393">
        <f>-AE17/(($T17-$V17)*HHProps_CAM)</f>
        <v>10.377380731273817</v>
      </c>
    </row>
    <row r="18" spans="1:34" x14ac:dyDescent="0.25">
      <c r="A18" s="65" t="s">
        <v>414</v>
      </c>
      <c r="B18" s="62" t="s">
        <v>903</v>
      </c>
      <c r="C18" s="9" t="s">
        <v>415</v>
      </c>
      <c r="D18" s="9" t="s">
        <v>910</v>
      </c>
      <c r="E18" s="804">
        <v>0.11</v>
      </c>
      <c r="F18" s="804">
        <v>0.14000000000000001</v>
      </c>
      <c r="G18" s="804">
        <v>0.18</v>
      </c>
      <c r="H18" s="136">
        <v>0.57613529468230551</v>
      </c>
      <c r="I18" s="136">
        <v>0.60967273665288491</v>
      </c>
      <c r="J18" s="136">
        <v>0.6432101786234643</v>
      </c>
      <c r="K18" s="136">
        <v>0.43340016017983807</v>
      </c>
      <c r="L18" s="136">
        <v>0.45855153546034511</v>
      </c>
      <c r="M18" s="136">
        <v>0.48370291074085214</v>
      </c>
      <c r="N18" s="252">
        <f t="shared" si="0"/>
        <v>557263.57108390331</v>
      </c>
      <c r="O18" s="252">
        <f t="shared" si="1"/>
        <v>589659.79820650292</v>
      </c>
      <c r="P18" s="252">
        <f t="shared" si="2"/>
        <v>622056.02532910265</v>
      </c>
      <c r="Q18" s="392">
        <f>-(N18/($E18-$G18))/100</f>
        <v>79609.081583414765</v>
      </c>
      <c r="R18" s="252">
        <f>-(O18/($E18-$G18))/100</f>
        <v>84237.11402950043</v>
      </c>
      <c r="S18" s="393">
        <f>-(P18/($E18-$G18))/100</f>
        <v>88865.146475586109</v>
      </c>
      <c r="T18" s="675">
        <v>0.11</v>
      </c>
      <c r="U18" s="676">
        <v>0.14000000000000001</v>
      </c>
      <c r="V18" s="676">
        <v>0.18</v>
      </c>
      <c r="W18" s="161">
        <v>4.1329132937852189E-2</v>
      </c>
      <c r="X18" s="161">
        <v>4.5853444855321578E-2</v>
      </c>
      <c r="Y18" s="161">
        <v>5.0377756772790966E-2</v>
      </c>
      <c r="Z18" s="161">
        <v>0.13721887961892149</v>
      </c>
      <c r="AA18" s="161">
        <v>0.15097209367993022</v>
      </c>
      <c r="AB18" s="161">
        <v>0.16472530774093899</v>
      </c>
      <c r="AC18" s="252">
        <f t="shared" si="4"/>
        <v>23389.789644937351</v>
      </c>
      <c r="AD18" s="252">
        <f t="shared" si="5"/>
        <v>25784.145548117987</v>
      </c>
      <c r="AE18" s="252">
        <f t="shared" si="6"/>
        <v>28178.501451298624</v>
      </c>
      <c r="AF18" s="392">
        <f>-(AC18/($T18-$V18))/100</f>
        <v>3341.3985207053361</v>
      </c>
      <c r="AG18" s="252">
        <f>-(AD18/($T18-$V18))/100</f>
        <v>3683.4493640168557</v>
      </c>
      <c r="AH18" s="393">
        <f>-(AE18/($T18-$V18))/100</f>
        <v>4025.5002073283749</v>
      </c>
    </row>
    <row r="19" spans="1:34" x14ac:dyDescent="0.25">
      <c r="A19" s="62" t="s">
        <v>112</v>
      </c>
      <c r="B19" s="62" t="s">
        <v>904</v>
      </c>
      <c r="C19" s="9" t="s">
        <v>397</v>
      </c>
      <c r="D19" s="9" t="s">
        <v>910</v>
      </c>
      <c r="E19" s="765">
        <v>0</v>
      </c>
      <c r="F19" s="765">
        <v>25</v>
      </c>
      <c r="G19" s="765">
        <v>50</v>
      </c>
      <c r="H19" s="136">
        <v>0.22565666465283934</v>
      </c>
      <c r="I19" s="136">
        <v>0.23881727402060113</v>
      </c>
      <c r="J19" s="136">
        <v>0.25197788338836291</v>
      </c>
      <c r="K19" s="136">
        <v>9.8784237357482374E-2</v>
      </c>
      <c r="L19" s="136">
        <v>0.10453367829161606</v>
      </c>
      <c r="M19" s="136">
        <v>0.11028311922574974</v>
      </c>
      <c r="N19" s="252">
        <f t="shared" si="0"/>
        <v>179091.37790969759</v>
      </c>
      <c r="O19" s="252">
        <f t="shared" si="1"/>
        <v>189529.72567634389</v>
      </c>
      <c r="P19" s="252">
        <f t="shared" si="2"/>
        <v>199968.07344299019</v>
      </c>
      <c r="Q19" s="392">
        <f>-N19/($E19-$G19)</f>
        <v>3581.827558193952</v>
      </c>
      <c r="R19" s="252">
        <f>-O19/(($E19-$G19))</f>
        <v>3790.594513526878</v>
      </c>
      <c r="S19" s="393">
        <f>-P19/(($E19-$G19))</f>
        <v>3999.3614688598041</v>
      </c>
      <c r="T19" s="684">
        <v>0</v>
      </c>
      <c r="U19" s="685">
        <v>4</v>
      </c>
      <c r="V19" s="685">
        <v>9</v>
      </c>
      <c r="W19" s="161">
        <v>0.13035930997863945</v>
      </c>
      <c r="X19" s="161">
        <v>0.14355201966517483</v>
      </c>
      <c r="Y19" s="161">
        <v>0.15674472935171022</v>
      </c>
      <c r="Z19" s="161">
        <v>0.10454116950154874</v>
      </c>
      <c r="AA19" s="161">
        <v>0.11546889686885592</v>
      </c>
      <c r="AB19" s="161">
        <v>0.12639662423616307</v>
      </c>
      <c r="AC19" s="252">
        <f t="shared" si="4"/>
        <v>30771.962811904654</v>
      </c>
      <c r="AD19" s="252">
        <f t="shared" si="5"/>
        <v>33931.740065958031</v>
      </c>
      <c r="AE19" s="252">
        <f t="shared" si="6"/>
        <v>37091.5173200114</v>
      </c>
      <c r="AF19" s="392">
        <f>-AC19/($T19-$V19)</f>
        <v>3419.106979100517</v>
      </c>
      <c r="AG19" s="252">
        <f>-AD19/(($T19-$V19))</f>
        <v>3770.1933406620033</v>
      </c>
      <c r="AH19" s="393">
        <f>-AE19/(($T19-$V19))</f>
        <v>4121.279702223489</v>
      </c>
    </row>
    <row r="20" spans="1:34" ht="15.75" thickBot="1" x14ac:dyDescent="0.3">
      <c r="A20" s="62" t="s">
        <v>89</v>
      </c>
      <c r="B20" s="9" t="s">
        <v>906</v>
      </c>
      <c r="C20" s="9" t="s">
        <v>908</v>
      </c>
      <c r="D20" s="9" t="s">
        <v>910</v>
      </c>
      <c r="E20" s="686">
        <v>0</v>
      </c>
      <c r="F20" s="686">
        <v>150</v>
      </c>
      <c r="G20" s="686">
        <v>200</v>
      </c>
      <c r="H20" s="136">
        <v>0.67868817477670962</v>
      </c>
      <c r="I20" s="136">
        <v>0.71820939918391491</v>
      </c>
      <c r="J20" s="136">
        <v>0.7577306235911202</v>
      </c>
      <c r="K20" s="136">
        <v>0.79638048273943129</v>
      </c>
      <c r="L20" s="136">
        <v>0.84266983820983188</v>
      </c>
      <c r="M20" s="136">
        <v>0.88895919368023246</v>
      </c>
      <c r="N20" s="252">
        <f t="shared" si="0"/>
        <v>814237.89894890983</v>
      </c>
      <c r="O20" s="252">
        <f t="shared" si="1"/>
        <v>861605.3390413482</v>
      </c>
      <c r="P20" s="252">
        <f t="shared" si="2"/>
        <v>908972.77913378668</v>
      </c>
      <c r="Q20" s="801">
        <f>-N20/($E20-$G20)</f>
        <v>4071.1894947445489</v>
      </c>
      <c r="R20" s="802">
        <f>-O20/(($E20-$G20))</f>
        <v>4308.0266952067414</v>
      </c>
      <c r="S20" s="803">
        <f>-P20/(($E20-$G20))</f>
        <v>4544.8638956689338</v>
      </c>
      <c r="T20" s="684">
        <v>0</v>
      </c>
      <c r="U20" s="685">
        <v>50</v>
      </c>
      <c r="V20" s="685">
        <v>100</v>
      </c>
      <c r="W20" s="161">
        <v>0.59499429049272146</v>
      </c>
      <c r="X20" s="161">
        <v>0.65516716642647532</v>
      </c>
      <c r="Y20" s="161">
        <v>0.71534004236022919</v>
      </c>
      <c r="Z20" s="161">
        <v>0.42751701631232564</v>
      </c>
      <c r="AA20" s="161">
        <v>0.47047991169920778</v>
      </c>
      <c r="AB20" s="161">
        <v>0.51344280708608991</v>
      </c>
      <c r="AC20" s="252">
        <f t="shared" si="4"/>
        <v>133948.98119146118</v>
      </c>
      <c r="AD20" s="252">
        <f t="shared" si="5"/>
        <v>147459.7672344645</v>
      </c>
      <c r="AE20" s="252">
        <f t="shared" si="6"/>
        <v>160970.55327746781</v>
      </c>
      <c r="AF20" s="801">
        <f>-AC20/($T20-$V20)</f>
        <v>1339.4898119146119</v>
      </c>
      <c r="AG20" s="802">
        <f>-AD20/(($T20-$V20))</f>
        <v>1474.5976723446449</v>
      </c>
      <c r="AH20" s="803">
        <f>-AE20/(($T20-$V20))</f>
        <v>1609.7055327746782</v>
      </c>
    </row>
    <row r="21" spans="1:34" x14ac:dyDescent="0.25">
      <c r="E21" s="805"/>
      <c r="F21" s="805"/>
      <c r="G21" s="805"/>
      <c r="T21" s="765"/>
      <c r="U21" s="765"/>
      <c r="V21" s="765"/>
      <c r="W21" s="142"/>
      <c r="X21" s="142"/>
      <c r="Y21" s="142"/>
      <c r="Z21" s="142"/>
      <c r="AA21" s="142"/>
      <c r="AB21" s="142"/>
      <c r="AC21" s="252"/>
      <c r="AD21" s="252"/>
      <c r="AE21" s="252"/>
      <c r="AF21" s="252"/>
      <c r="AG21" s="252"/>
      <c r="AH21" s="252"/>
    </row>
    <row r="22" spans="1:34" x14ac:dyDescent="0.25">
      <c r="T22" s="674"/>
      <c r="U22" s="674"/>
      <c r="V22" s="674"/>
      <c r="W22" s="142"/>
      <c r="X22" s="142"/>
      <c r="Y22" s="142"/>
      <c r="Z22" s="142"/>
      <c r="AA22" s="142"/>
      <c r="AB22" s="142"/>
      <c r="AC22" s="252"/>
      <c r="AD22" s="252"/>
      <c r="AE22" s="252"/>
      <c r="AF22" s="252"/>
      <c r="AG22" s="252"/>
      <c r="AH22" s="252"/>
    </row>
    <row r="23" spans="1:34" x14ac:dyDescent="0.25">
      <c r="A23" s="60"/>
      <c r="B23" s="60"/>
      <c r="C23" s="60"/>
      <c r="D23" s="60"/>
      <c r="E23" s="60"/>
      <c r="F23" s="60"/>
      <c r="G23" s="60"/>
      <c r="H23" s="60"/>
      <c r="I23" s="60"/>
      <c r="J23" s="60"/>
      <c r="K23" s="60"/>
      <c r="L23" s="60"/>
      <c r="M23" s="60"/>
      <c r="N23" s="60"/>
      <c r="O23" s="60"/>
      <c r="P23" s="60"/>
      <c r="Q23" s="60"/>
      <c r="R23" s="60"/>
      <c r="S23" s="60"/>
      <c r="T23" s="134"/>
      <c r="U23" s="134"/>
      <c r="V23" s="134"/>
      <c r="W23" s="137"/>
      <c r="X23" s="142"/>
      <c r="Y23" s="142"/>
      <c r="Z23" s="137"/>
      <c r="AA23" s="142"/>
      <c r="AB23" s="142"/>
      <c r="AC23" s="252"/>
      <c r="AD23" s="252"/>
      <c r="AE23" s="252"/>
      <c r="AF23" s="252"/>
      <c r="AG23" s="252"/>
      <c r="AH23" s="252"/>
    </row>
    <row r="24" spans="1:34" x14ac:dyDescent="0.25">
      <c r="T24" s="674"/>
      <c r="U24" s="674"/>
      <c r="V24" s="674"/>
      <c r="W24" s="142"/>
      <c r="X24" s="142"/>
      <c r="Y24" s="142"/>
      <c r="Z24" s="142"/>
      <c r="AA24" s="142"/>
      <c r="AB24" s="142"/>
      <c r="AC24" s="252"/>
      <c r="AD24" s="252"/>
      <c r="AE24" s="252"/>
      <c r="AF24" s="252"/>
      <c r="AG24" s="252"/>
      <c r="AH24" s="252"/>
    </row>
    <row r="25" spans="1:34" x14ac:dyDescent="0.25">
      <c r="T25" s="674"/>
      <c r="U25" s="674"/>
      <c r="V25" s="703"/>
      <c r="W25" s="161"/>
      <c r="X25" s="161"/>
      <c r="Y25" s="704"/>
      <c r="Z25" s="704"/>
      <c r="AA25" s="161"/>
      <c r="AB25" s="161"/>
      <c r="AC25" s="252"/>
      <c r="AD25" s="252"/>
      <c r="AE25" s="252"/>
      <c r="AF25" s="252"/>
      <c r="AG25" s="252"/>
      <c r="AH25" s="252"/>
    </row>
    <row r="26" spans="1:34" x14ac:dyDescent="0.25">
      <c r="T26" s="674"/>
      <c r="U26" s="674"/>
      <c r="V26" s="703"/>
      <c r="W26" s="161"/>
      <c r="X26" s="161"/>
      <c r="Y26" s="704"/>
      <c r="Z26" s="704"/>
      <c r="AA26" s="161"/>
      <c r="AB26" s="161"/>
      <c r="AC26" s="252"/>
      <c r="AD26" s="252"/>
      <c r="AE26" s="252"/>
      <c r="AF26" s="252"/>
      <c r="AG26" s="252"/>
      <c r="AH26" s="252"/>
    </row>
    <row r="27" spans="1:34" x14ac:dyDescent="0.25">
      <c r="T27" s="674"/>
      <c r="U27" s="674"/>
      <c r="V27" s="703"/>
      <c r="W27" s="705"/>
      <c r="X27" s="705"/>
      <c r="Y27" s="705"/>
      <c r="Z27" s="703"/>
      <c r="AA27" s="705"/>
      <c r="AB27" s="705"/>
      <c r="AC27" s="252"/>
      <c r="AD27" s="252"/>
      <c r="AE27" s="252"/>
      <c r="AF27" s="252"/>
      <c r="AG27" s="252"/>
      <c r="AH27" s="252"/>
    </row>
    <row r="28" spans="1:34" x14ac:dyDescent="0.25">
      <c r="T28" s="674"/>
      <c r="U28" s="674"/>
      <c r="V28" s="703"/>
      <c r="W28" s="705"/>
      <c r="X28" s="705"/>
      <c r="Y28" s="705"/>
      <c r="Z28" s="703"/>
      <c r="AA28" s="705"/>
      <c r="AB28" s="705"/>
      <c r="AC28" s="252"/>
      <c r="AD28" s="252"/>
      <c r="AE28" s="252"/>
      <c r="AF28" s="252"/>
      <c r="AG28" s="252"/>
      <c r="AH28" s="252"/>
    </row>
    <row r="29" spans="1:34" x14ac:dyDescent="0.25">
      <c r="T29" s="677"/>
      <c r="U29" s="677"/>
      <c r="V29" s="677"/>
      <c r="W29" s="688"/>
      <c r="X29" s="688"/>
      <c r="Y29" s="688"/>
      <c r="Z29" s="688"/>
      <c r="AA29" s="688"/>
      <c r="AB29" s="688"/>
      <c r="AC29" s="697"/>
      <c r="AD29" s="697"/>
      <c r="AE29" s="697"/>
      <c r="AF29" s="678"/>
      <c r="AG29" s="678"/>
      <c r="AH29" s="678"/>
    </row>
    <row r="30" spans="1:34" x14ac:dyDescent="0.25">
      <c r="T30" s="677"/>
      <c r="U30" s="677"/>
      <c r="V30" s="677"/>
      <c r="W30" s="677"/>
      <c r="X30" s="677"/>
      <c r="Y30" s="677"/>
      <c r="Z30" s="677"/>
      <c r="AA30" s="677"/>
      <c r="AB30" s="677"/>
      <c r="AC30" s="697"/>
      <c r="AD30" s="697"/>
      <c r="AE30" s="697"/>
      <c r="AF30" s="678"/>
      <c r="AG30" s="678"/>
      <c r="AH30" s="678"/>
    </row>
    <row r="31" spans="1:34" x14ac:dyDescent="0.25">
      <c r="T31" s="706"/>
      <c r="U31" s="706"/>
      <c r="V31" s="706"/>
      <c r="W31" s="688"/>
      <c r="X31" s="706"/>
      <c r="Y31" s="707"/>
      <c r="Z31" s="708"/>
      <c r="AA31" s="688"/>
      <c r="AB31" s="706"/>
      <c r="AC31" s="697"/>
      <c r="AD31" s="697"/>
      <c r="AE31" s="697"/>
      <c r="AF31" s="689"/>
      <c r="AG31" s="689"/>
      <c r="AH31" s="689"/>
    </row>
    <row r="32" spans="1:34" x14ac:dyDescent="0.25">
      <c r="T32" s="674"/>
      <c r="U32" s="674"/>
      <c r="V32" s="674"/>
      <c r="W32" s="161"/>
      <c r="X32" s="161"/>
      <c r="Y32" s="161"/>
      <c r="Z32" s="161"/>
      <c r="AA32" s="161"/>
      <c r="AB32" s="161"/>
      <c r="AC32" s="252"/>
      <c r="AD32" s="252"/>
      <c r="AE32" s="252"/>
      <c r="AF32" s="252"/>
      <c r="AG32" s="252"/>
      <c r="AH32" s="252"/>
    </row>
    <row r="33" spans="20:34" x14ac:dyDescent="0.25">
      <c r="T33" s="674"/>
      <c r="U33" s="674"/>
      <c r="V33" s="674"/>
      <c r="W33" s="161"/>
      <c r="X33" s="161"/>
      <c r="Y33" s="161"/>
      <c r="Z33" s="161"/>
      <c r="AA33" s="161"/>
      <c r="AB33" s="161"/>
      <c r="AC33" s="252"/>
      <c r="AD33" s="252"/>
      <c r="AE33" s="252"/>
      <c r="AF33" s="252"/>
      <c r="AG33" s="252"/>
      <c r="AH33" s="252"/>
    </row>
    <row r="34" spans="20:34" x14ac:dyDescent="0.25">
      <c r="T34" s="674"/>
      <c r="U34" s="674"/>
      <c r="V34" s="674"/>
      <c r="W34" s="142"/>
      <c r="X34" s="142"/>
      <c r="Y34" s="142"/>
      <c r="Z34" s="142"/>
      <c r="AA34" s="142"/>
      <c r="AB34" s="142"/>
      <c r="AC34" s="252"/>
      <c r="AD34" s="252"/>
      <c r="AE34" s="252"/>
      <c r="AF34" s="252"/>
      <c r="AG34" s="252"/>
      <c r="AH34" s="252"/>
    </row>
    <row r="35" spans="20:34" x14ac:dyDescent="0.25">
      <c r="T35" s="674"/>
      <c r="U35" s="674"/>
      <c r="V35" s="674"/>
      <c r="W35" s="142"/>
      <c r="X35" s="142"/>
      <c r="Y35" s="142"/>
      <c r="Z35" s="142"/>
      <c r="AA35" s="142"/>
      <c r="AB35" s="142"/>
      <c r="AC35" s="252"/>
      <c r="AD35" s="252"/>
      <c r="AE35" s="252"/>
      <c r="AF35" s="252"/>
      <c r="AG35" s="252"/>
      <c r="AH35" s="252"/>
    </row>
    <row r="36" spans="20:34" x14ac:dyDescent="0.25">
      <c r="T36" s="677"/>
      <c r="U36" s="677"/>
      <c r="V36" s="677"/>
      <c r="W36" s="688"/>
      <c r="X36" s="688"/>
      <c r="Y36" s="688"/>
      <c r="Z36" s="688"/>
      <c r="AA36" s="688"/>
      <c r="AB36" s="688"/>
      <c r="AC36" s="697"/>
      <c r="AD36" s="697"/>
      <c r="AE36" s="697"/>
      <c r="AF36" s="678"/>
      <c r="AG36" s="678"/>
      <c r="AH36" s="678"/>
    </row>
    <row r="37" spans="20:34" x14ac:dyDescent="0.25">
      <c r="T37" s="677"/>
      <c r="U37" s="677"/>
      <c r="V37" s="677"/>
      <c r="W37" s="677"/>
      <c r="X37" s="677"/>
      <c r="Y37" s="677"/>
      <c r="Z37" s="677"/>
      <c r="AA37" s="677"/>
      <c r="AB37" s="677"/>
      <c r="AC37" s="697"/>
      <c r="AD37" s="697"/>
      <c r="AE37" s="697"/>
      <c r="AF37" s="678"/>
      <c r="AG37" s="678"/>
      <c r="AH37" s="678"/>
    </row>
    <row r="38" spans="20:34" x14ac:dyDescent="0.25">
      <c r="T38" s="698"/>
      <c r="U38" s="698"/>
      <c r="V38" s="698"/>
      <c r="W38" s="699"/>
      <c r="X38" s="700"/>
      <c r="Y38" s="701"/>
      <c r="Z38" s="702"/>
      <c r="AA38" s="699"/>
      <c r="AB38" s="700"/>
      <c r="AC38" s="697"/>
      <c r="AD38" s="697"/>
      <c r="AE38" s="697"/>
      <c r="AF38" s="689"/>
      <c r="AG38" s="689"/>
      <c r="AH38" s="689"/>
    </row>
    <row r="39" spans="20:34" x14ac:dyDescent="0.25">
      <c r="T39" s="674"/>
      <c r="U39" s="674"/>
      <c r="V39" s="674"/>
      <c r="W39" s="161"/>
      <c r="X39" s="161"/>
      <c r="Y39" s="161"/>
      <c r="Z39" s="161"/>
      <c r="AA39" s="161"/>
      <c r="AB39" s="161"/>
      <c r="AC39" s="252"/>
      <c r="AD39" s="252"/>
      <c r="AE39" s="252"/>
      <c r="AF39" s="252"/>
      <c r="AG39" s="252"/>
      <c r="AH39" s="252"/>
    </row>
    <row r="40" spans="20:34" x14ac:dyDescent="0.25">
      <c r="T40" s="674"/>
      <c r="U40" s="674"/>
      <c r="V40" s="674"/>
      <c r="W40" s="161"/>
      <c r="X40" s="161"/>
      <c r="Y40" s="161"/>
      <c r="Z40" s="161"/>
      <c r="AA40" s="161"/>
      <c r="AB40" s="161"/>
      <c r="AC40" s="252"/>
      <c r="AD40" s="252"/>
      <c r="AE40" s="252"/>
      <c r="AF40" s="252"/>
      <c r="AG40" s="252"/>
      <c r="AH40" s="252"/>
    </row>
    <row r="41" spans="20:34" x14ac:dyDescent="0.25">
      <c r="T41" s="674"/>
      <c r="U41" s="674"/>
      <c r="V41" s="674"/>
      <c r="W41" s="142"/>
      <c r="X41" s="142"/>
      <c r="Y41" s="142"/>
      <c r="Z41" s="142"/>
      <c r="AA41" s="142"/>
      <c r="AB41" s="142"/>
      <c r="AC41" s="252"/>
      <c r="AD41" s="252"/>
      <c r="AE41" s="252"/>
      <c r="AF41" s="252"/>
      <c r="AG41" s="252"/>
      <c r="AH41" s="252"/>
    </row>
    <row r="42" spans="20:34" x14ac:dyDescent="0.25">
      <c r="T42" s="674"/>
      <c r="U42" s="674"/>
      <c r="V42" s="674"/>
      <c r="W42" s="142"/>
      <c r="X42" s="142"/>
      <c r="Y42" s="142"/>
      <c r="Z42" s="142"/>
      <c r="AA42" s="142"/>
      <c r="AB42" s="142"/>
      <c r="AC42" s="252"/>
      <c r="AD42" s="252"/>
      <c r="AE42" s="252"/>
      <c r="AF42" s="252"/>
      <c r="AG42" s="252"/>
      <c r="AH42" s="252"/>
    </row>
    <row r="43" spans="20:34" x14ac:dyDescent="0.25">
      <c r="T43" s="677"/>
      <c r="U43" s="677"/>
      <c r="V43" s="677"/>
      <c r="W43" s="688"/>
      <c r="X43" s="688"/>
      <c r="Y43" s="688"/>
      <c r="Z43" s="688"/>
      <c r="AA43" s="688"/>
      <c r="AB43" s="688"/>
      <c r="AC43" s="697"/>
      <c r="AD43" s="697"/>
      <c r="AE43" s="697"/>
      <c r="AF43" s="678"/>
      <c r="AG43" s="678"/>
      <c r="AH43" s="678"/>
    </row>
    <row r="44" spans="20:34" x14ac:dyDescent="0.25">
      <c r="T44" s="677"/>
      <c r="U44" s="677"/>
      <c r="V44" s="677"/>
      <c r="W44" s="677"/>
      <c r="X44" s="677"/>
      <c r="Y44" s="677"/>
      <c r="Z44" s="677"/>
      <c r="AA44" s="677"/>
      <c r="AB44" s="677"/>
      <c r="AC44" s="697"/>
      <c r="AD44" s="697"/>
      <c r="AE44" s="697"/>
      <c r="AF44" s="678"/>
      <c r="AG44" s="678"/>
      <c r="AH44" s="678"/>
    </row>
    <row r="45" spans="20:34" x14ac:dyDescent="0.25">
      <c r="T45" s="698"/>
      <c r="U45" s="698"/>
      <c r="V45" s="698"/>
      <c r="W45" s="699"/>
      <c r="X45" s="700"/>
      <c r="Y45" s="701"/>
      <c r="Z45" s="702"/>
      <c r="AA45" s="699"/>
      <c r="AB45" s="700"/>
      <c r="AC45" s="697"/>
      <c r="AD45" s="697"/>
      <c r="AE45" s="697"/>
      <c r="AF45" s="689"/>
      <c r="AG45" s="689"/>
      <c r="AH45" s="689"/>
    </row>
    <row r="46" spans="20:34" x14ac:dyDescent="0.25">
      <c r="T46" s="690"/>
      <c r="U46" s="690"/>
      <c r="V46" s="690"/>
      <c r="W46" s="161"/>
      <c r="X46" s="161"/>
      <c r="Y46" s="161"/>
      <c r="Z46" s="161"/>
      <c r="AA46" s="161"/>
      <c r="AB46" s="161"/>
      <c r="AC46" s="252"/>
      <c r="AD46" s="252"/>
      <c r="AE46" s="252"/>
      <c r="AF46" s="252"/>
      <c r="AG46" s="252"/>
      <c r="AH46" s="252"/>
    </row>
    <row r="47" spans="20:34" x14ac:dyDescent="0.25">
      <c r="T47" s="690"/>
      <c r="U47" s="690"/>
      <c r="V47" s="690"/>
      <c r="W47" s="161"/>
      <c r="X47" s="161"/>
      <c r="Y47" s="161"/>
      <c r="Z47" s="161"/>
      <c r="AA47" s="161"/>
      <c r="AB47" s="161"/>
      <c r="AC47" s="252"/>
      <c r="AD47" s="252"/>
      <c r="AE47" s="252"/>
      <c r="AF47" s="252"/>
      <c r="AG47" s="252"/>
      <c r="AH47" s="252"/>
    </row>
    <row r="48" spans="20:34" x14ac:dyDescent="0.25">
      <c r="T48" s="690"/>
      <c r="U48" s="690"/>
      <c r="V48" s="690"/>
      <c r="W48" s="142"/>
      <c r="X48" s="142"/>
      <c r="Y48" s="142"/>
      <c r="Z48" s="142"/>
      <c r="AA48" s="142"/>
      <c r="AB48" s="142"/>
      <c r="AC48" s="252"/>
      <c r="AD48" s="252"/>
      <c r="AE48" s="252"/>
      <c r="AF48" s="252"/>
      <c r="AG48" s="252"/>
      <c r="AH48" s="252"/>
    </row>
    <row r="49" spans="20:34" x14ac:dyDescent="0.25">
      <c r="T49" s="690"/>
      <c r="U49" s="690"/>
      <c r="V49" s="690"/>
      <c r="W49" s="142"/>
      <c r="X49" s="142"/>
      <c r="Y49" s="142"/>
      <c r="Z49" s="142"/>
      <c r="AA49" s="142"/>
      <c r="AB49" s="142"/>
      <c r="AC49" s="252"/>
      <c r="AD49" s="252"/>
      <c r="AE49" s="252"/>
      <c r="AF49" s="252"/>
      <c r="AG49" s="252"/>
      <c r="AH49" s="252"/>
    </row>
    <row r="50" spans="20:34" x14ac:dyDescent="0.25">
      <c r="T50" s="709"/>
      <c r="U50" s="709"/>
      <c r="V50" s="709"/>
      <c r="W50" s="688"/>
      <c r="X50" s="688"/>
      <c r="Y50" s="688"/>
      <c r="Z50" s="688"/>
      <c r="AA50" s="688"/>
      <c r="AB50" s="688"/>
      <c r="AC50" s="697"/>
      <c r="AD50" s="697"/>
      <c r="AE50" s="697"/>
      <c r="AF50" s="678"/>
      <c r="AG50" s="678"/>
      <c r="AH50" s="678"/>
    </row>
    <row r="51" spans="20:34" x14ac:dyDescent="0.25">
      <c r="T51" s="709"/>
      <c r="U51" s="709"/>
      <c r="V51" s="709"/>
      <c r="W51" s="677"/>
      <c r="X51" s="677"/>
      <c r="Y51" s="677"/>
      <c r="Z51" s="677"/>
      <c r="AA51" s="677"/>
      <c r="AB51" s="677"/>
      <c r="AC51" s="697"/>
      <c r="AD51" s="697"/>
      <c r="AE51" s="697"/>
      <c r="AF51" s="678"/>
      <c r="AG51" s="678"/>
      <c r="AH51" s="678"/>
    </row>
    <row r="52" spans="20:34" x14ac:dyDescent="0.25">
      <c r="T52" s="698"/>
      <c r="U52" s="698"/>
      <c r="V52" s="698"/>
      <c r="W52" s="699"/>
      <c r="X52" s="700"/>
      <c r="Y52" s="701"/>
      <c r="Z52" s="702"/>
      <c r="AA52" s="699"/>
      <c r="AB52" s="700"/>
      <c r="AC52" s="697"/>
      <c r="AD52" s="697"/>
      <c r="AE52" s="697"/>
      <c r="AF52" s="689"/>
      <c r="AG52" s="689"/>
      <c r="AH52" s="689"/>
    </row>
    <row r="53" spans="20:34" x14ac:dyDescent="0.25">
      <c r="T53" s="674"/>
      <c r="U53" s="674"/>
      <c r="V53" s="674"/>
      <c r="W53" s="161"/>
      <c r="X53" s="161"/>
      <c r="Y53" s="161"/>
      <c r="Z53" s="161"/>
      <c r="AA53" s="161"/>
      <c r="AB53" s="161"/>
      <c r="AC53" s="252"/>
      <c r="AD53" s="252"/>
      <c r="AE53" s="252"/>
      <c r="AF53" s="255"/>
      <c r="AG53" s="255"/>
      <c r="AH53" s="255"/>
    </row>
    <row r="54" spans="20:34" x14ac:dyDescent="0.25">
      <c r="T54" s="674"/>
      <c r="U54" s="674"/>
      <c r="V54" s="674"/>
      <c r="W54" s="161"/>
      <c r="X54" s="161"/>
      <c r="Y54" s="161"/>
      <c r="Z54" s="161"/>
      <c r="AA54" s="161"/>
      <c r="AB54" s="161"/>
      <c r="AC54" s="252"/>
      <c r="AD54" s="252"/>
      <c r="AE54" s="252"/>
      <c r="AF54" s="255"/>
      <c r="AG54" s="255"/>
      <c r="AH54" s="255"/>
    </row>
    <row r="55" spans="20:34" x14ac:dyDescent="0.25">
      <c r="W55" s="710"/>
      <c r="X55" s="711"/>
      <c r="Y55" s="712"/>
      <c r="Z55" s="713"/>
      <c r="AA55" s="710"/>
      <c r="AB55" s="711"/>
      <c r="AC55" s="252"/>
      <c r="AD55" s="252"/>
      <c r="AE55" s="252"/>
      <c r="AF55" s="255"/>
      <c r="AG55" s="255"/>
      <c r="AH55" s="255"/>
    </row>
    <row r="56" spans="20:34" x14ac:dyDescent="0.25">
      <c r="W56" s="710"/>
      <c r="X56" s="711"/>
      <c r="Y56" s="712"/>
      <c r="Z56" s="713"/>
      <c r="AA56" s="710"/>
      <c r="AB56" s="711"/>
      <c r="AC56" s="252"/>
      <c r="AD56" s="252"/>
      <c r="AE56" s="252"/>
      <c r="AF56" s="255"/>
      <c r="AG56" s="255"/>
      <c r="AH56" s="255"/>
    </row>
    <row r="57" spans="20:34" x14ac:dyDescent="0.25">
      <c r="T57" s="677"/>
      <c r="U57" s="677"/>
      <c r="V57" s="677"/>
      <c r="W57" s="688"/>
      <c r="X57" s="688"/>
      <c r="Y57" s="688"/>
      <c r="Z57" s="688"/>
      <c r="AA57" s="688"/>
      <c r="AB57" s="688"/>
      <c r="AC57" s="697"/>
      <c r="AD57" s="697"/>
      <c r="AE57" s="697"/>
      <c r="AF57" s="688"/>
      <c r="AG57" s="688"/>
      <c r="AH57" s="688"/>
    </row>
    <row r="58" spans="20:34" x14ac:dyDescent="0.25">
      <c r="T58" s="677"/>
      <c r="U58" s="677"/>
      <c r="V58" s="677"/>
      <c r="W58" s="677"/>
      <c r="X58" s="677"/>
      <c r="Y58" s="677"/>
      <c r="Z58" s="677"/>
      <c r="AA58" s="677"/>
      <c r="AB58" s="677"/>
      <c r="AC58" s="697"/>
      <c r="AD58" s="697"/>
      <c r="AE58" s="697"/>
      <c r="AF58" s="678"/>
      <c r="AG58" s="678"/>
      <c r="AH58" s="678"/>
    </row>
    <row r="59" spans="20:34" x14ac:dyDescent="0.25">
      <c r="T59" s="698"/>
      <c r="U59" s="698"/>
      <c r="V59" s="698"/>
      <c r="W59" s="699"/>
      <c r="X59" s="700"/>
      <c r="Y59" s="701"/>
      <c r="Z59" s="702"/>
      <c r="AA59" s="699"/>
      <c r="AB59" s="700"/>
      <c r="AC59" s="697"/>
      <c r="AD59" s="697"/>
      <c r="AE59" s="697"/>
      <c r="AF59" s="691"/>
      <c r="AG59" s="691"/>
      <c r="AH59" s="691"/>
    </row>
    <row r="60" spans="20:34" x14ac:dyDescent="0.25">
      <c r="T60" s="714"/>
      <c r="U60" s="714"/>
      <c r="V60" s="714"/>
      <c r="W60" s="161"/>
      <c r="X60" s="161"/>
      <c r="Y60" s="161"/>
      <c r="Z60" s="161"/>
      <c r="AA60" s="161"/>
      <c r="AB60" s="161"/>
      <c r="AC60" s="252"/>
      <c r="AD60" s="252"/>
      <c r="AE60" s="252"/>
      <c r="AF60" s="255"/>
      <c r="AG60" s="255"/>
      <c r="AH60" s="255"/>
    </row>
    <row r="61" spans="20:34" x14ac:dyDescent="0.25">
      <c r="T61" s="714"/>
      <c r="U61" s="714"/>
      <c r="V61" s="714"/>
      <c r="W61" s="161"/>
      <c r="X61" s="161"/>
      <c r="Y61" s="161"/>
      <c r="Z61" s="161"/>
      <c r="AA61" s="161"/>
      <c r="AB61" s="161"/>
      <c r="AC61" s="252"/>
      <c r="AD61" s="252"/>
      <c r="AE61" s="252"/>
      <c r="AF61" s="255"/>
      <c r="AG61" s="255"/>
      <c r="AH61" s="255"/>
    </row>
    <row r="62" spans="20:34" x14ac:dyDescent="0.25">
      <c r="T62" s="698"/>
      <c r="U62" s="698"/>
      <c r="V62" s="698"/>
      <c r="W62" s="161"/>
      <c r="X62" s="161"/>
      <c r="Y62" s="161"/>
      <c r="Z62" s="161"/>
      <c r="AA62" s="161"/>
      <c r="AB62" s="161"/>
      <c r="AC62" s="252"/>
      <c r="AD62" s="252"/>
      <c r="AE62" s="252"/>
      <c r="AF62" s="255"/>
      <c r="AG62" s="255"/>
      <c r="AH62" s="255"/>
    </row>
    <row r="63" spans="20:34" x14ac:dyDescent="0.25">
      <c r="T63" s="698"/>
      <c r="U63" s="698"/>
      <c r="V63" s="698"/>
      <c r="W63" s="161"/>
      <c r="X63" s="161"/>
      <c r="Y63" s="161"/>
      <c r="Z63" s="161"/>
      <c r="AA63" s="161"/>
      <c r="AB63" s="161"/>
      <c r="AC63" s="252"/>
      <c r="AD63" s="252"/>
      <c r="AE63" s="252"/>
      <c r="AF63" s="255"/>
      <c r="AG63" s="255"/>
      <c r="AH63" s="255"/>
    </row>
    <row r="64" spans="20:34" x14ac:dyDescent="0.25">
      <c r="T64" s="677"/>
      <c r="U64" s="677"/>
      <c r="V64" s="677"/>
      <c r="W64" s="688"/>
      <c r="X64" s="688"/>
      <c r="Y64" s="688"/>
      <c r="Z64" s="688"/>
      <c r="AA64" s="688"/>
      <c r="AB64" s="688"/>
      <c r="AC64" s="697"/>
      <c r="AD64" s="697"/>
      <c r="AE64" s="697"/>
      <c r="AF64" s="688"/>
      <c r="AG64" s="688"/>
      <c r="AH64" s="688"/>
    </row>
    <row r="65" spans="20:34" x14ac:dyDescent="0.25">
      <c r="T65" s="698"/>
      <c r="U65" s="698"/>
      <c r="V65" s="698"/>
      <c r="W65" s="699"/>
      <c r="X65" s="700"/>
      <c r="Y65" s="701"/>
      <c r="Z65" s="702"/>
      <c r="AA65" s="699"/>
      <c r="AB65" s="700"/>
      <c r="AC65" s="697"/>
      <c r="AD65" s="697"/>
      <c r="AE65" s="697"/>
      <c r="AF65" s="688"/>
      <c r="AG65" s="688"/>
      <c r="AH65" s="688"/>
    </row>
    <row r="66" spans="20:34" x14ac:dyDescent="0.25">
      <c r="T66" s="698"/>
      <c r="U66" s="698"/>
      <c r="V66" s="698"/>
      <c r="W66" s="699"/>
      <c r="X66" s="700"/>
      <c r="Y66" s="701"/>
      <c r="Z66" s="702"/>
      <c r="AA66" s="699"/>
      <c r="AB66" s="700"/>
      <c r="AC66" s="697"/>
      <c r="AD66" s="697"/>
      <c r="AE66" s="697"/>
      <c r="AF66" s="691"/>
      <c r="AG66" s="691"/>
      <c r="AH66" s="691"/>
    </row>
    <row r="67" spans="20:34" x14ac:dyDescent="0.25">
      <c r="T67" s="692"/>
      <c r="U67" s="692"/>
      <c r="V67" s="692"/>
      <c r="W67" s="161"/>
      <c r="X67" s="161"/>
      <c r="Y67" s="161"/>
      <c r="Z67" s="161"/>
      <c r="AA67" s="161"/>
      <c r="AB67" s="161"/>
      <c r="AC67" s="252"/>
      <c r="AD67" s="252"/>
      <c r="AE67" s="252"/>
      <c r="AF67" s="252"/>
      <c r="AG67" s="252"/>
      <c r="AH67" s="252"/>
    </row>
    <row r="68" spans="20:34" x14ac:dyDescent="0.25">
      <c r="T68" s="692"/>
      <c r="U68" s="692"/>
      <c r="V68" s="692"/>
      <c r="W68" s="161"/>
      <c r="X68" s="161"/>
      <c r="Y68" s="161"/>
      <c r="Z68" s="161"/>
      <c r="AA68" s="161"/>
      <c r="AB68" s="161"/>
      <c r="AC68" s="252"/>
      <c r="AD68" s="252"/>
      <c r="AE68" s="252"/>
      <c r="AF68" s="252"/>
      <c r="AG68" s="252"/>
      <c r="AH68" s="252"/>
    </row>
    <row r="69" spans="20:34" x14ac:dyDescent="0.25">
      <c r="T69" s="692"/>
      <c r="U69" s="692"/>
      <c r="V69" s="692"/>
      <c r="W69" s="142"/>
      <c r="X69" s="142"/>
      <c r="Y69" s="142"/>
      <c r="Z69" s="142"/>
      <c r="AA69" s="142"/>
      <c r="AB69" s="142"/>
      <c r="AC69" s="252"/>
      <c r="AD69" s="252"/>
      <c r="AE69" s="252"/>
      <c r="AF69" s="252"/>
      <c r="AG69" s="252"/>
      <c r="AH69" s="252"/>
    </row>
    <row r="70" spans="20:34" x14ac:dyDescent="0.25">
      <c r="T70" s="692"/>
      <c r="U70" s="692"/>
      <c r="V70" s="692"/>
      <c r="W70" s="142"/>
      <c r="X70" s="142"/>
      <c r="Y70" s="142"/>
      <c r="Z70" s="142"/>
      <c r="AA70" s="142"/>
      <c r="AB70" s="142"/>
      <c r="AC70" s="252"/>
      <c r="AD70" s="252"/>
      <c r="AE70" s="252"/>
      <c r="AF70" s="252"/>
      <c r="AG70" s="252"/>
      <c r="AH70" s="252"/>
    </row>
    <row r="71" spans="20:34" x14ac:dyDescent="0.25">
      <c r="T71" s="708"/>
      <c r="U71" s="708"/>
      <c r="V71" s="708"/>
      <c r="W71" s="688"/>
      <c r="X71" s="688"/>
      <c r="Y71" s="688"/>
      <c r="Z71" s="688"/>
      <c r="AA71" s="688"/>
      <c r="AB71" s="688"/>
      <c r="AC71" s="697"/>
      <c r="AD71" s="697"/>
      <c r="AE71" s="697"/>
      <c r="AF71" s="678"/>
      <c r="AG71" s="678"/>
      <c r="AH71" s="678"/>
    </row>
    <row r="72" spans="20:34" x14ac:dyDescent="0.25">
      <c r="T72" s="708"/>
      <c r="U72" s="708"/>
      <c r="V72" s="708"/>
      <c r="W72" s="677"/>
      <c r="X72" s="677"/>
      <c r="Y72" s="677"/>
      <c r="Z72" s="677"/>
      <c r="AA72" s="677"/>
      <c r="AB72" s="677"/>
      <c r="AC72" s="697"/>
      <c r="AD72" s="697"/>
      <c r="AE72" s="697"/>
      <c r="AF72" s="678"/>
      <c r="AG72" s="678"/>
      <c r="AH72" s="678"/>
    </row>
    <row r="73" spans="20:34" x14ac:dyDescent="0.25">
      <c r="T73" s="698"/>
      <c r="U73" s="698"/>
      <c r="V73" s="698"/>
      <c r="W73" s="699"/>
      <c r="X73" s="700"/>
      <c r="Y73" s="701"/>
      <c r="Z73" s="702"/>
      <c r="AA73" s="699"/>
      <c r="AB73" s="700"/>
      <c r="AC73" s="697"/>
      <c r="AD73" s="697"/>
      <c r="AE73" s="697"/>
      <c r="AF73" s="689"/>
      <c r="AG73" s="689"/>
      <c r="AH73" s="689"/>
    </row>
    <row r="74" spans="20:34" x14ac:dyDescent="0.25">
      <c r="T74" s="693"/>
      <c r="U74" s="693"/>
      <c r="V74" s="693"/>
      <c r="W74" s="161"/>
      <c r="X74" s="161"/>
      <c r="Y74" s="161"/>
      <c r="Z74" s="161"/>
      <c r="AA74" s="161"/>
      <c r="AB74" s="161"/>
      <c r="AC74" s="252"/>
      <c r="AD74" s="252"/>
      <c r="AE74" s="252"/>
      <c r="AF74" s="252"/>
      <c r="AG74" s="252"/>
      <c r="AH74" s="252"/>
    </row>
    <row r="75" spans="20:34" x14ac:dyDescent="0.25">
      <c r="T75" s="693"/>
      <c r="U75" s="693"/>
      <c r="V75" s="693"/>
      <c r="W75" s="161"/>
      <c r="X75" s="161"/>
      <c r="Y75" s="161"/>
      <c r="Z75" s="161"/>
      <c r="AA75" s="161"/>
      <c r="AB75" s="161"/>
      <c r="AC75" s="252"/>
      <c r="AD75" s="252"/>
      <c r="AE75" s="252"/>
      <c r="AF75" s="252"/>
      <c r="AG75" s="252"/>
      <c r="AH75" s="252"/>
    </row>
    <row r="76" spans="20:34" x14ac:dyDescent="0.25">
      <c r="T76" s="693"/>
      <c r="U76" s="693"/>
      <c r="V76" s="693"/>
      <c r="W76" s="142"/>
      <c r="X76" s="142"/>
      <c r="Y76" s="142"/>
      <c r="Z76" s="142"/>
      <c r="AA76" s="142"/>
      <c r="AB76" s="142"/>
      <c r="AC76" s="252"/>
      <c r="AD76" s="252"/>
      <c r="AE76" s="252"/>
      <c r="AF76" s="252"/>
      <c r="AG76" s="252"/>
      <c r="AH76" s="252"/>
    </row>
    <row r="77" spans="20:34" x14ac:dyDescent="0.25">
      <c r="T77" s="693"/>
      <c r="U77" s="693"/>
      <c r="V77" s="693"/>
      <c r="W77" s="142"/>
      <c r="X77" s="142"/>
      <c r="Y77" s="142"/>
      <c r="Z77" s="142"/>
      <c r="AA77" s="142"/>
      <c r="AB77" s="142"/>
      <c r="AC77" s="252"/>
      <c r="AD77" s="252"/>
      <c r="AE77" s="252"/>
      <c r="AF77" s="252"/>
      <c r="AG77" s="252"/>
      <c r="AH77" s="252"/>
    </row>
    <row r="78" spans="20:34" x14ac:dyDescent="0.25">
      <c r="T78" s="709"/>
      <c r="U78" s="709"/>
      <c r="V78" s="709"/>
      <c r="W78" s="688"/>
      <c r="X78" s="688"/>
      <c r="Y78" s="688"/>
      <c r="Z78" s="688"/>
      <c r="AA78" s="688"/>
      <c r="AB78" s="688"/>
      <c r="AC78" s="697"/>
      <c r="AD78" s="697"/>
      <c r="AE78" s="697"/>
      <c r="AF78" s="678"/>
      <c r="AG78" s="678"/>
      <c r="AH78" s="678"/>
    </row>
    <row r="79" spans="20:34" x14ac:dyDescent="0.25">
      <c r="T79" s="709"/>
      <c r="U79" s="709"/>
      <c r="V79" s="709"/>
      <c r="W79" s="677"/>
      <c r="X79" s="677"/>
      <c r="Y79" s="677"/>
      <c r="Z79" s="677"/>
      <c r="AA79" s="677"/>
      <c r="AB79" s="677"/>
      <c r="AC79" s="697"/>
      <c r="AD79" s="697"/>
      <c r="AE79" s="697"/>
      <c r="AF79" s="678"/>
      <c r="AG79" s="678"/>
      <c r="AH79" s="678"/>
    </row>
    <row r="80" spans="20:34" x14ac:dyDescent="0.25">
      <c r="T80" s="698"/>
      <c r="U80" s="698"/>
      <c r="V80" s="698"/>
      <c r="W80" s="699"/>
      <c r="X80" s="700"/>
      <c r="Y80" s="701"/>
      <c r="Z80" s="702"/>
      <c r="AA80" s="699"/>
      <c r="AB80" s="700"/>
      <c r="AC80" s="697"/>
      <c r="AD80" s="697"/>
      <c r="AE80" s="697"/>
      <c r="AF80" s="689"/>
      <c r="AG80" s="689"/>
      <c r="AH80" s="689"/>
    </row>
    <row r="81" spans="20:34" x14ac:dyDescent="0.25">
      <c r="T81" s="693"/>
      <c r="U81" s="693"/>
      <c r="V81" s="693"/>
      <c r="W81" s="161"/>
      <c r="X81" s="161"/>
      <c r="Y81" s="161"/>
      <c r="Z81" s="161"/>
      <c r="AA81" s="161"/>
      <c r="AB81" s="161"/>
      <c r="AC81" s="252"/>
      <c r="AD81" s="252"/>
      <c r="AE81" s="252"/>
      <c r="AF81" s="252"/>
      <c r="AG81" s="252"/>
      <c r="AH81" s="252"/>
    </row>
    <row r="82" spans="20:34" x14ac:dyDescent="0.25">
      <c r="T82" s="693"/>
      <c r="U82" s="693"/>
      <c r="V82" s="693"/>
      <c r="W82" s="161"/>
      <c r="X82" s="161"/>
      <c r="Y82" s="161"/>
      <c r="Z82" s="161"/>
      <c r="AA82" s="161"/>
      <c r="AB82" s="161"/>
      <c r="AC82" s="252"/>
      <c r="AD82" s="252"/>
      <c r="AE82" s="252"/>
      <c r="AF82" s="252"/>
      <c r="AG82" s="252"/>
      <c r="AH82" s="252"/>
    </row>
    <row r="83" spans="20:34" x14ac:dyDescent="0.25">
      <c r="T83" s="693"/>
      <c r="U83" s="693"/>
      <c r="V83" s="693"/>
      <c r="W83" s="142"/>
      <c r="X83" s="142"/>
      <c r="Y83" s="142"/>
      <c r="Z83" s="142"/>
      <c r="AA83" s="142"/>
      <c r="AB83" s="142"/>
      <c r="AC83" s="252"/>
      <c r="AD83" s="252"/>
      <c r="AE83" s="252"/>
      <c r="AF83" s="252"/>
      <c r="AG83" s="252"/>
      <c r="AH83" s="252"/>
    </row>
    <row r="84" spans="20:34" x14ac:dyDescent="0.25">
      <c r="T84" s="693"/>
      <c r="U84" s="693"/>
      <c r="V84" s="693"/>
      <c r="W84" s="142"/>
      <c r="X84" s="142"/>
      <c r="Y84" s="142"/>
      <c r="Z84" s="142"/>
      <c r="AA84" s="142"/>
      <c r="AB84" s="142"/>
      <c r="AC84" s="252"/>
      <c r="AD84" s="252"/>
      <c r="AE84" s="252"/>
      <c r="AF84" s="252"/>
      <c r="AG84" s="252"/>
      <c r="AH84" s="252"/>
    </row>
    <row r="85" spans="20:34" x14ac:dyDescent="0.25">
      <c r="T85" s="709"/>
      <c r="U85" s="709"/>
      <c r="V85" s="709"/>
      <c r="W85" s="688"/>
      <c r="X85" s="688"/>
      <c r="Y85" s="688"/>
      <c r="Z85" s="688"/>
      <c r="AA85" s="688"/>
      <c r="AB85" s="688"/>
      <c r="AC85" s="697"/>
      <c r="AD85" s="697"/>
      <c r="AE85" s="697"/>
      <c r="AF85" s="678"/>
      <c r="AG85" s="678"/>
      <c r="AH85" s="678"/>
    </row>
    <row r="86" spans="20:34" x14ac:dyDescent="0.25">
      <c r="T86" s="709"/>
      <c r="U86" s="709"/>
      <c r="V86" s="709"/>
      <c r="W86" s="677"/>
      <c r="X86" s="677"/>
      <c r="Y86" s="677"/>
      <c r="Z86" s="677"/>
      <c r="AA86" s="677"/>
      <c r="AB86" s="677"/>
      <c r="AC86" s="697"/>
      <c r="AD86" s="697"/>
      <c r="AE86" s="697"/>
      <c r="AF86" s="678"/>
      <c r="AG86" s="678"/>
      <c r="AH86" s="678"/>
    </row>
    <row r="87" spans="20:34" x14ac:dyDescent="0.25">
      <c r="T87" s="698"/>
      <c r="U87" s="698"/>
      <c r="V87" s="698"/>
      <c r="W87" s="715"/>
      <c r="X87" s="698"/>
      <c r="Y87" s="701"/>
      <c r="Z87" s="698"/>
      <c r="AA87" s="698"/>
      <c r="AB87" s="698"/>
      <c r="AC87" s="697"/>
      <c r="AD87" s="697"/>
      <c r="AE87" s="697"/>
      <c r="AF87" s="689"/>
      <c r="AG87" s="689"/>
      <c r="AH87" s="689"/>
    </row>
    <row r="88" spans="20:34" x14ac:dyDescent="0.25">
      <c r="T88" s="693"/>
      <c r="U88" s="693"/>
      <c r="V88" s="693"/>
      <c r="W88" s="161"/>
      <c r="X88" s="161"/>
      <c r="Y88" s="161"/>
      <c r="Z88" s="161"/>
      <c r="AA88" s="161"/>
      <c r="AB88" s="161"/>
      <c r="AC88" s="252"/>
      <c r="AD88" s="252"/>
      <c r="AE88" s="252"/>
      <c r="AF88" s="252"/>
      <c r="AG88" s="252"/>
      <c r="AH88" s="252"/>
    </row>
    <row r="89" spans="20:34" x14ac:dyDescent="0.25">
      <c r="T89" s="694"/>
      <c r="U89" s="694"/>
      <c r="V89" s="694"/>
      <c r="W89" s="161"/>
      <c r="X89" s="161"/>
      <c r="Y89" s="161"/>
      <c r="Z89" s="161"/>
      <c r="AA89" s="161"/>
      <c r="AB89" s="161"/>
      <c r="AC89" s="252"/>
      <c r="AD89" s="252"/>
      <c r="AE89" s="252"/>
      <c r="AF89" s="252"/>
      <c r="AG89" s="252"/>
      <c r="AH89" s="252"/>
    </row>
    <row r="90" spans="20:34" x14ac:dyDescent="0.25">
      <c r="T90" s="693"/>
      <c r="U90" s="693"/>
      <c r="V90" s="693"/>
      <c r="W90" s="142"/>
      <c r="X90" s="142"/>
      <c r="Y90" s="142"/>
      <c r="Z90" s="142"/>
      <c r="AA90" s="142"/>
      <c r="AB90" s="142"/>
      <c r="AC90" s="252"/>
      <c r="AD90" s="252"/>
      <c r="AE90" s="252"/>
      <c r="AF90" s="252"/>
      <c r="AG90" s="252"/>
      <c r="AH90" s="252"/>
    </row>
    <row r="91" spans="20:34" x14ac:dyDescent="0.25">
      <c r="T91" s="694"/>
      <c r="U91" s="694"/>
      <c r="V91" s="694"/>
      <c r="W91" s="142"/>
      <c r="X91" s="142"/>
      <c r="Y91" s="142"/>
      <c r="Z91" s="142"/>
      <c r="AA91" s="142"/>
      <c r="AB91" s="142"/>
      <c r="AC91" s="252"/>
      <c r="AD91" s="252"/>
      <c r="AE91" s="252"/>
      <c r="AF91" s="252"/>
      <c r="AG91" s="252"/>
      <c r="AH91" s="252"/>
    </row>
    <row r="92" spans="20:34" x14ac:dyDescent="0.25">
      <c r="T92" s="716"/>
      <c r="U92" s="716"/>
      <c r="V92" s="716"/>
      <c r="W92" s="688"/>
      <c r="X92" s="688"/>
      <c r="Y92" s="688"/>
      <c r="Z92" s="688"/>
      <c r="AA92" s="688"/>
      <c r="AB92" s="688"/>
      <c r="AC92" s="697"/>
      <c r="AD92" s="697"/>
      <c r="AE92" s="697"/>
      <c r="AF92" s="678"/>
      <c r="AG92" s="678"/>
      <c r="AH92" s="678"/>
    </row>
    <row r="93" spans="20:34" x14ac:dyDescent="0.25">
      <c r="T93" s="716"/>
      <c r="U93" s="716"/>
      <c r="V93" s="716"/>
      <c r="W93" s="677"/>
      <c r="X93" s="677"/>
      <c r="Y93" s="677"/>
      <c r="Z93" s="677"/>
      <c r="AA93" s="677"/>
      <c r="AB93" s="677"/>
      <c r="AC93" s="697"/>
      <c r="AD93" s="697"/>
      <c r="AE93" s="697"/>
      <c r="AF93" s="678"/>
      <c r="AG93" s="678"/>
      <c r="AH93" s="678"/>
    </row>
    <row r="94" spans="20:34" x14ac:dyDescent="0.25">
      <c r="T94" s="698"/>
      <c r="U94" s="698"/>
      <c r="V94" s="698"/>
      <c r="W94" s="699"/>
      <c r="X94" s="700"/>
      <c r="Y94" s="701"/>
      <c r="Z94" s="702"/>
      <c r="AA94" s="699"/>
      <c r="AB94" s="700"/>
      <c r="AC94" s="697"/>
      <c r="AD94" s="697"/>
      <c r="AE94" s="697"/>
      <c r="AF94" s="689"/>
      <c r="AG94" s="689"/>
      <c r="AH94" s="689"/>
    </row>
    <row r="95" spans="20:34" x14ac:dyDescent="0.25">
      <c r="T95" s="717"/>
      <c r="U95" s="717"/>
      <c r="V95" s="717"/>
      <c r="W95" s="717"/>
      <c r="X95" s="717"/>
      <c r="Y95" s="717"/>
      <c r="Z95" s="717"/>
      <c r="AA95" s="717"/>
      <c r="AB95" s="717"/>
    </row>
    <row r="96" spans="20:34" x14ac:dyDescent="0.25">
      <c r="T96" s="717"/>
      <c r="U96" s="717"/>
      <c r="V96" s="717"/>
      <c r="W96" s="717"/>
      <c r="X96" s="717"/>
      <c r="Y96" s="717"/>
      <c r="Z96" s="717"/>
      <c r="AA96" s="717"/>
      <c r="AB96" s="717"/>
      <c r="AC96" s="128"/>
      <c r="AD96" s="128"/>
      <c r="AE96" s="128"/>
      <c r="AF96" s="128"/>
      <c r="AG96" s="128"/>
      <c r="AH96" s="128"/>
    </row>
    <row r="97" spans="20:34" x14ac:dyDescent="0.25">
      <c r="AC97" s="128"/>
      <c r="AD97" s="128"/>
      <c r="AE97" s="128"/>
      <c r="AF97" s="128"/>
      <c r="AG97" s="128"/>
      <c r="AH97" s="128"/>
    </row>
    <row r="98" spans="20:34" x14ac:dyDescent="0.25">
      <c r="T98" s="718"/>
      <c r="U98" s="718"/>
      <c r="V98" s="718"/>
      <c r="W98" s="718"/>
      <c r="X98" s="718"/>
      <c r="Y98" s="718"/>
      <c r="Z98" s="718"/>
      <c r="AA98" s="718"/>
      <c r="AB98" s="718"/>
      <c r="AC98" s="718"/>
      <c r="AD98" s="718"/>
      <c r="AE98" s="718"/>
      <c r="AF98" s="718"/>
      <c r="AG98" s="718"/>
      <c r="AH98" s="718"/>
    </row>
    <row r="99" spans="20:34" x14ac:dyDescent="0.25">
      <c r="T99" s="718"/>
      <c r="U99" s="718"/>
      <c r="V99" s="718"/>
      <c r="W99" s="1017"/>
      <c r="X99" s="1017"/>
      <c r="Y99" s="717"/>
      <c r="Z99" s="717"/>
      <c r="AA99" s="717"/>
      <c r="AB99" s="717"/>
    </row>
    <row r="100" spans="20:34" x14ac:dyDescent="0.25">
      <c r="T100" s="250"/>
      <c r="U100" s="250"/>
      <c r="V100" s="250"/>
      <c r="W100" s="1017"/>
      <c r="X100" s="1017"/>
      <c r="Y100" s="717"/>
      <c r="Z100" s="717"/>
      <c r="AA100" s="717"/>
      <c r="AB100" s="717"/>
      <c r="AC100" s="128"/>
      <c r="AD100" s="128"/>
      <c r="AE100" s="128"/>
      <c r="AF100" s="128"/>
      <c r="AG100" s="128"/>
      <c r="AH100" s="128"/>
    </row>
    <row r="101" spans="20:34" x14ac:dyDescent="0.25">
      <c r="T101" s="699"/>
      <c r="U101" s="699"/>
      <c r="V101" s="699"/>
      <c r="W101" s="695"/>
      <c r="X101" s="695"/>
      <c r="Y101" s="717"/>
      <c r="Z101" s="717"/>
      <c r="AA101" s="717"/>
      <c r="AB101" s="717"/>
    </row>
    <row r="102" spans="20:34" x14ac:dyDescent="0.25">
      <c r="T102" s="699"/>
      <c r="U102" s="699"/>
      <c r="V102" s="699"/>
      <c r="W102" s="695"/>
      <c r="X102" s="695"/>
      <c r="Y102" s="717"/>
      <c r="Z102" s="717"/>
      <c r="AA102" s="717"/>
      <c r="AB102" s="717"/>
    </row>
    <row r="103" spans="20:34" x14ac:dyDescent="0.25">
      <c r="T103" s="699"/>
      <c r="U103" s="699"/>
      <c r="V103" s="699"/>
      <c r="W103" s="695"/>
      <c r="X103" s="695"/>
      <c r="Y103" s="717"/>
      <c r="Z103" s="717"/>
      <c r="AA103" s="717"/>
      <c r="AB103" s="717"/>
    </row>
    <row r="104" spans="20:34" x14ac:dyDescent="0.25">
      <c r="T104" s="719"/>
      <c r="U104" s="719"/>
      <c r="V104" s="719"/>
      <c r="W104" s="696"/>
      <c r="X104" s="720"/>
      <c r="Y104" s="717"/>
      <c r="Z104" s="717"/>
      <c r="AA104" s="717"/>
      <c r="AB104" s="717"/>
    </row>
    <row r="105" spans="20:34" x14ac:dyDescent="0.25">
      <c r="T105" s="717"/>
      <c r="U105" s="717"/>
      <c r="V105" s="717"/>
      <c r="W105" s="717"/>
      <c r="X105" s="717"/>
      <c r="Y105" s="717"/>
      <c r="Z105" s="717"/>
      <c r="AA105" s="717"/>
      <c r="AB105" s="717"/>
    </row>
    <row r="106" spans="20:34" x14ac:dyDescent="0.25">
      <c r="T106" s="717"/>
      <c r="U106" s="717"/>
      <c r="V106" s="717"/>
      <c r="W106" s="717"/>
      <c r="X106" s="717"/>
      <c r="Y106" s="717"/>
      <c r="Z106" s="717"/>
      <c r="AA106" s="717"/>
      <c r="AB106" s="717"/>
    </row>
    <row r="107" spans="20:34" x14ac:dyDescent="0.25">
      <c r="T107" s="717"/>
      <c r="U107" s="717"/>
      <c r="V107" s="717"/>
      <c r="W107" s="717"/>
      <c r="X107" s="717"/>
      <c r="Y107" s="717"/>
      <c r="Z107" s="717"/>
      <c r="AA107" s="717"/>
      <c r="AB107" s="717"/>
    </row>
    <row r="108" spans="20:34" x14ac:dyDescent="0.25">
      <c r="T108" s="717"/>
      <c r="U108" s="717"/>
      <c r="V108" s="717"/>
      <c r="W108" s="717"/>
      <c r="X108" s="717"/>
      <c r="Y108" s="717"/>
      <c r="Z108" s="717"/>
      <c r="AA108" s="717"/>
      <c r="AB108" s="717"/>
    </row>
    <row r="109" spans="20:34" x14ac:dyDescent="0.25">
      <c r="T109" s="717"/>
      <c r="U109" s="717"/>
      <c r="V109" s="717"/>
      <c r="W109" s="717"/>
      <c r="X109" s="717"/>
      <c r="Y109" s="717"/>
      <c r="Z109" s="717"/>
      <c r="AA109" s="717"/>
      <c r="AB109" s="717"/>
    </row>
  </sheetData>
  <mergeCells count="2">
    <mergeCell ref="W99:W100"/>
    <mergeCell ref="X99:X100"/>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W272"/>
  <sheetViews>
    <sheetView zoomScale="70" zoomScaleNormal="70" workbookViewId="0">
      <pane xSplit="3" ySplit="2" topLeftCell="D3" activePane="bottomRight" state="frozen"/>
      <selection pane="topRight"/>
      <selection pane="bottomLeft"/>
      <selection pane="bottomRight"/>
    </sheetView>
  </sheetViews>
  <sheetFormatPr defaultColWidth="0" defaultRowHeight="15" zeroHeight="1" x14ac:dyDescent="0.25"/>
  <cols>
    <col min="1" max="1" width="42.7109375" style="5" customWidth="1"/>
    <col min="2" max="2" width="46.28515625" style="5" customWidth="1"/>
    <col min="3" max="3" width="28.42578125" style="5" customWidth="1"/>
    <col min="4" max="4" width="17.5703125" style="5" customWidth="1"/>
    <col min="5" max="36" width="17.5703125" style="215" customWidth="1"/>
    <col min="37" max="37" width="17.5703125" style="10" customWidth="1"/>
    <col min="38" max="49" width="17.5703125" style="10" hidden="1" customWidth="1"/>
    <col min="50" max="16384" width="20.42578125" style="10" hidden="1"/>
  </cols>
  <sheetData>
    <row r="1" spans="1:36" s="175" customFormat="1" ht="28.5" x14ac:dyDescent="0.45">
      <c r="A1" s="102" t="s">
        <v>416</v>
      </c>
      <c r="B1" s="103"/>
      <c r="C1" s="103"/>
      <c r="D1" s="103"/>
      <c r="E1" s="103"/>
      <c r="F1" s="103"/>
      <c r="G1" s="103"/>
      <c r="H1" s="102"/>
      <c r="I1" s="102"/>
      <c r="J1" s="102"/>
      <c r="K1" s="102"/>
      <c r="L1" s="102"/>
      <c r="M1" s="102"/>
      <c r="N1" s="102"/>
      <c r="O1" s="102"/>
      <c r="P1" s="102"/>
      <c r="Q1" s="102"/>
      <c r="R1" s="102"/>
      <c r="S1" s="102"/>
      <c r="T1" s="102"/>
      <c r="U1" s="103"/>
      <c r="V1" s="103"/>
      <c r="W1" s="103"/>
      <c r="X1" s="103"/>
      <c r="Y1" s="102"/>
      <c r="Z1" s="102"/>
      <c r="AA1" s="102"/>
      <c r="AB1" s="102"/>
      <c r="AC1" s="102"/>
      <c r="AD1" s="102"/>
      <c r="AE1" s="102"/>
      <c r="AF1" s="102"/>
      <c r="AG1" s="102"/>
      <c r="AH1" s="102"/>
      <c r="AI1" s="102"/>
      <c r="AJ1" s="102"/>
    </row>
    <row r="2" spans="1:36" s="64" customFormat="1" ht="18.75" customHeight="1" x14ac:dyDescent="0.35">
      <c r="A2" s="112"/>
      <c r="B2" s="112"/>
      <c r="C2" s="112"/>
      <c r="D2" s="112"/>
      <c r="E2" s="166" t="s">
        <v>252</v>
      </c>
      <c r="F2" s="166"/>
      <c r="G2" s="166"/>
      <c r="H2" s="166"/>
      <c r="I2" s="166"/>
      <c r="J2" s="166"/>
      <c r="K2" s="166"/>
      <c r="L2" s="166"/>
      <c r="M2" s="166"/>
      <c r="N2" s="166"/>
      <c r="O2" s="166"/>
      <c r="P2" s="166"/>
      <c r="Q2" s="166"/>
      <c r="R2" s="166"/>
      <c r="S2" s="304" t="s">
        <v>253</v>
      </c>
      <c r="T2" s="164"/>
      <c r="U2" s="164"/>
      <c r="V2" s="164"/>
      <c r="W2" s="164"/>
      <c r="X2" s="164"/>
      <c r="Y2" s="164"/>
      <c r="Z2" s="164"/>
      <c r="AA2" s="164"/>
      <c r="AB2" s="164"/>
      <c r="AC2" s="164"/>
      <c r="AD2" s="164"/>
      <c r="AE2" s="164"/>
      <c r="AF2" s="164"/>
      <c r="AG2" s="164"/>
      <c r="AH2" s="164"/>
      <c r="AI2" s="164"/>
      <c r="AJ2" s="164"/>
    </row>
    <row r="3" spans="1:36" s="165" customFormat="1" ht="18.75" customHeight="1" x14ac:dyDescent="0.3">
      <c r="A3" s="112"/>
      <c r="B3" s="112"/>
      <c r="C3" s="112"/>
      <c r="D3" s="112"/>
      <c r="E3" s="112"/>
      <c r="F3" s="112"/>
      <c r="G3" s="112"/>
      <c r="H3" s="63"/>
      <c r="I3" s="63"/>
      <c r="J3" s="63"/>
      <c r="K3" s="63"/>
      <c r="L3" s="63"/>
      <c r="M3" s="63"/>
      <c r="N3" s="63"/>
      <c r="O3" s="63"/>
      <c r="P3" s="63"/>
      <c r="Q3" s="63"/>
      <c r="R3" s="63"/>
      <c r="S3" s="112"/>
      <c r="T3" s="112"/>
      <c r="U3" s="112"/>
      <c r="V3" s="63"/>
      <c r="W3" s="63"/>
      <c r="X3" s="63"/>
      <c r="Y3" s="63"/>
      <c r="Z3" s="63"/>
      <c r="AA3" s="63"/>
      <c r="AB3" s="63"/>
      <c r="AC3" s="63"/>
      <c r="AD3" s="63"/>
      <c r="AE3" s="63"/>
      <c r="AF3" s="63"/>
      <c r="AG3" s="63"/>
      <c r="AH3" s="63"/>
      <c r="AI3" s="63"/>
      <c r="AJ3" s="63"/>
    </row>
    <row r="4" spans="1:36" s="64" customFormat="1" ht="18.75" customHeight="1" x14ac:dyDescent="0.25">
      <c r="A4" s="63"/>
      <c r="B4" s="63"/>
      <c r="C4" s="63"/>
      <c r="D4" s="63"/>
      <c r="E4" s="63" t="s">
        <v>5</v>
      </c>
      <c r="F4" s="63"/>
      <c r="G4" s="63"/>
      <c r="H4" s="129" t="s">
        <v>417</v>
      </c>
      <c r="I4" s="129"/>
      <c r="J4" s="129"/>
      <c r="K4" s="63"/>
      <c r="L4" s="63"/>
      <c r="M4" s="63"/>
      <c r="N4" s="63"/>
      <c r="O4" s="63"/>
      <c r="P4" s="63"/>
      <c r="Q4" s="63"/>
      <c r="R4" s="63"/>
      <c r="S4" s="63" t="s">
        <v>5</v>
      </c>
      <c r="T4" s="63"/>
      <c r="U4" s="63"/>
      <c r="V4" s="129" t="s">
        <v>417</v>
      </c>
      <c r="W4" s="129"/>
      <c r="X4" s="129"/>
      <c r="Y4" s="63"/>
      <c r="Z4" s="63"/>
      <c r="AA4" s="63"/>
      <c r="AB4" s="63"/>
      <c r="AC4" s="63"/>
      <c r="AD4" s="63"/>
      <c r="AE4" s="63"/>
      <c r="AF4" s="63"/>
      <c r="AG4" s="63"/>
      <c r="AH4" s="63"/>
      <c r="AI4" s="63"/>
      <c r="AJ4" s="63"/>
    </row>
    <row r="5" spans="1:36" s="264" customFormat="1" ht="18.75" customHeight="1" x14ac:dyDescent="0.25">
      <c r="A5" s="63" t="s">
        <v>24</v>
      </c>
      <c r="B5" s="63" t="s">
        <v>187</v>
      </c>
      <c r="C5" s="63" t="s">
        <v>4</v>
      </c>
      <c r="D5" s="63" t="s">
        <v>204</v>
      </c>
      <c r="E5" s="108" t="s">
        <v>378</v>
      </c>
      <c r="F5" s="177"/>
      <c r="G5" s="177"/>
      <c r="H5" s="108" t="s">
        <v>420</v>
      </c>
      <c r="I5" s="108"/>
      <c r="J5" s="108"/>
      <c r="K5" s="108"/>
      <c r="L5" s="108"/>
      <c r="M5" s="108"/>
      <c r="N5" s="108"/>
      <c r="O5" s="108"/>
      <c r="P5" s="108"/>
      <c r="Q5" s="108"/>
      <c r="R5" s="108"/>
      <c r="S5" s="108" t="s">
        <v>378</v>
      </c>
      <c r="T5" s="177"/>
      <c r="U5" s="177"/>
      <c r="V5" s="108" t="s">
        <v>420</v>
      </c>
      <c r="W5" s="108"/>
      <c r="X5" s="108"/>
      <c r="Y5" s="108"/>
      <c r="Z5" s="108"/>
      <c r="AA5" s="108"/>
      <c r="AB5" s="108"/>
      <c r="AC5" s="108"/>
      <c r="AD5" s="108"/>
      <c r="AE5" s="108"/>
      <c r="AF5" s="108"/>
      <c r="AG5" s="108"/>
      <c r="AH5" s="108"/>
      <c r="AI5" s="108"/>
      <c r="AJ5" s="108"/>
    </row>
    <row r="6" spans="1:36" s="64" customFormat="1" ht="18.75" customHeight="1" x14ac:dyDescent="0.25">
      <c r="A6" s="177"/>
      <c r="B6" s="168" t="s">
        <v>372</v>
      </c>
      <c r="C6" s="177"/>
      <c r="D6" s="177"/>
      <c r="E6" s="113" t="s">
        <v>259</v>
      </c>
      <c r="F6" s="169" t="s">
        <v>260</v>
      </c>
      <c r="G6" s="170" t="s">
        <v>261</v>
      </c>
      <c r="H6" s="113" t="s">
        <v>196</v>
      </c>
      <c r="I6" s="113" t="s">
        <v>197</v>
      </c>
      <c r="J6" s="113" t="s">
        <v>198</v>
      </c>
      <c r="K6" s="63"/>
      <c r="L6" s="63"/>
      <c r="M6" s="63"/>
      <c r="N6" s="63"/>
      <c r="O6" s="63"/>
      <c r="P6" s="63"/>
      <c r="Q6" s="63"/>
      <c r="R6" s="63"/>
      <c r="S6" s="113" t="s">
        <v>259</v>
      </c>
      <c r="T6" s="169" t="s">
        <v>260</v>
      </c>
      <c r="U6" s="170" t="s">
        <v>261</v>
      </c>
      <c r="V6" s="113" t="s">
        <v>196</v>
      </c>
      <c r="W6" s="113" t="s">
        <v>197</v>
      </c>
      <c r="X6" s="113" t="s">
        <v>198</v>
      </c>
      <c r="Y6" s="63"/>
      <c r="Z6" s="63"/>
      <c r="AA6" s="63"/>
      <c r="AB6" s="63"/>
      <c r="AC6" s="63"/>
      <c r="AD6" s="63"/>
      <c r="AE6" s="63"/>
      <c r="AF6" s="63"/>
      <c r="AG6" s="63"/>
      <c r="AH6" s="63"/>
      <c r="AI6" s="63"/>
      <c r="AJ6" s="63"/>
    </row>
    <row r="7" spans="1:36" s="64" customFormat="1" x14ac:dyDescent="0.25">
      <c r="A7" s="64" t="s">
        <v>370</v>
      </c>
      <c r="B7" s="64" t="s">
        <v>371</v>
      </c>
      <c r="C7" s="9" t="s">
        <v>26</v>
      </c>
      <c r="D7" s="9" t="s">
        <v>200</v>
      </c>
      <c r="E7" s="134">
        <f>1/80</f>
        <v>1.2500000000000001E-2</v>
      </c>
      <c r="F7" s="134">
        <f>1/120</f>
        <v>8.3333333333333332E-3</v>
      </c>
      <c r="G7" s="134">
        <v>0</v>
      </c>
      <c r="H7" s="265">
        <v>34.6</v>
      </c>
      <c r="I7" s="266">
        <v>38.80593561871634</v>
      </c>
      <c r="J7" s="265">
        <v>43</v>
      </c>
      <c r="S7" s="134">
        <f t="shared" ref="S7:U10" si="0">E7</f>
        <v>1.2500000000000001E-2</v>
      </c>
      <c r="T7" s="134">
        <f t="shared" si="0"/>
        <v>8.3333333333333332E-3</v>
      </c>
      <c r="U7" s="134">
        <f t="shared" si="0"/>
        <v>0</v>
      </c>
      <c r="V7" s="265">
        <v>30.6</v>
      </c>
      <c r="W7" s="266">
        <v>36.439305163775224</v>
      </c>
      <c r="X7" s="265">
        <v>42.3</v>
      </c>
      <c r="Y7" s="36"/>
      <c r="Z7" s="36"/>
      <c r="AA7" s="36"/>
      <c r="AB7" s="36"/>
      <c r="AC7" s="36"/>
    </row>
    <row r="8" spans="1:36" s="64" customFormat="1" x14ac:dyDescent="0.25">
      <c r="A8" s="9"/>
      <c r="B8" s="9"/>
      <c r="C8" s="9" t="s">
        <v>407</v>
      </c>
      <c r="D8" s="9" t="s">
        <v>188</v>
      </c>
      <c r="E8" s="134">
        <f>1/80</f>
        <v>1.2500000000000001E-2</v>
      </c>
      <c r="F8" s="134">
        <f>1/120</f>
        <v>8.3333333333333332E-3</v>
      </c>
      <c r="G8" s="134">
        <v>0</v>
      </c>
      <c r="H8" s="265">
        <v>33.5</v>
      </c>
      <c r="I8" s="266">
        <v>37.869619818951819</v>
      </c>
      <c r="J8" s="267">
        <v>42.2</v>
      </c>
      <c r="S8" s="134">
        <f t="shared" si="0"/>
        <v>1.2500000000000001E-2</v>
      </c>
      <c r="T8" s="134">
        <f t="shared" si="0"/>
        <v>8.3333333333333332E-3</v>
      </c>
      <c r="U8" s="134">
        <f t="shared" si="0"/>
        <v>0</v>
      </c>
      <c r="V8" s="265">
        <v>27.5</v>
      </c>
      <c r="W8" s="266">
        <v>33.580548858789946</v>
      </c>
      <c r="X8" s="265">
        <v>39.700000000000003</v>
      </c>
      <c r="Y8" s="36"/>
      <c r="Z8" s="36"/>
      <c r="AA8" s="36"/>
      <c r="AB8" s="36"/>
      <c r="AC8" s="36"/>
    </row>
    <row r="9" spans="1:36" s="64" customFormat="1" x14ac:dyDescent="0.25">
      <c r="A9" s="9"/>
      <c r="B9" s="9"/>
      <c r="C9" s="9"/>
      <c r="D9" s="9" t="s">
        <v>201</v>
      </c>
      <c r="E9" s="134">
        <f>1/80</f>
        <v>1.2500000000000001E-2</v>
      </c>
      <c r="F9" s="134">
        <f>1/120</f>
        <v>8.3333333333333332E-3</v>
      </c>
      <c r="G9" s="134">
        <v>0</v>
      </c>
      <c r="H9" s="265">
        <v>0</v>
      </c>
      <c r="I9" s="268">
        <v>9.1999999999999993</v>
      </c>
      <c r="J9" s="265">
        <v>35.200000000000003</v>
      </c>
      <c r="S9" s="134">
        <f t="shared" si="0"/>
        <v>1.2500000000000001E-2</v>
      </c>
      <c r="T9" s="134">
        <f t="shared" si="0"/>
        <v>8.3333333333333332E-3</v>
      </c>
      <c r="U9" s="134">
        <f t="shared" si="0"/>
        <v>0</v>
      </c>
      <c r="V9" s="265">
        <v>0</v>
      </c>
      <c r="W9" s="266">
        <v>12.796119774341175</v>
      </c>
      <c r="X9" s="265">
        <v>40.1</v>
      </c>
      <c r="Y9" s="36"/>
      <c r="Z9" s="36"/>
      <c r="AA9" s="36"/>
      <c r="AB9" s="36"/>
      <c r="AC9" s="36"/>
    </row>
    <row r="10" spans="1:36" s="64" customFormat="1" x14ac:dyDescent="0.25">
      <c r="A10" s="9"/>
      <c r="B10" s="9"/>
      <c r="C10" s="9"/>
      <c r="D10" s="9" t="s">
        <v>189</v>
      </c>
      <c r="E10" s="134">
        <f>1/80</f>
        <v>1.2500000000000001E-2</v>
      </c>
      <c r="F10" s="134">
        <f>1/120</f>
        <v>8.3333333333333332E-3</v>
      </c>
      <c r="G10" s="134">
        <v>0</v>
      </c>
      <c r="H10" s="265">
        <v>0</v>
      </c>
      <c r="I10" s="268">
        <v>9.1999999999999993</v>
      </c>
      <c r="J10" s="265">
        <v>37.299999999999997</v>
      </c>
      <c r="S10" s="134">
        <f t="shared" si="0"/>
        <v>1.2500000000000001E-2</v>
      </c>
      <c r="T10" s="134">
        <f t="shared" si="0"/>
        <v>8.3333333333333332E-3</v>
      </c>
      <c r="U10" s="134">
        <f t="shared" si="0"/>
        <v>0</v>
      </c>
      <c r="V10" s="265">
        <v>0</v>
      </c>
      <c r="W10" s="266">
        <v>10.537506821738706</v>
      </c>
      <c r="X10" s="265">
        <v>37.299999999999997</v>
      </c>
      <c r="Y10" s="36"/>
      <c r="Z10" s="36"/>
      <c r="AA10" s="36"/>
      <c r="AB10" s="36"/>
      <c r="AC10" s="36"/>
    </row>
    <row r="11" spans="1:36" s="64" customFormat="1" x14ac:dyDescent="0.25">
      <c r="A11" s="9"/>
      <c r="B11" s="9"/>
      <c r="C11" s="9"/>
      <c r="D11" s="9" t="s">
        <v>202</v>
      </c>
      <c r="E11" s="195">
        <f t="shared" ref="E11:J11" si="1">AVERAGE(E7,E8)</f>
        <v>1.2500000000000001E-2</v>
      </c>
      <c r="F11" s="195">
        <f t="shared" si="1"/>
        <v>8.3333333333333332E-3</v>
      </c>
      <c r="G11" s="195">
        <f t="shared" si="1"/>
        <v>0</v>
      </c>
      <c r="H11" s="208">
        <f t="shared" si="1"/>
        <v>34.049999999999997</v>
      </c>
      <c r="I11" s="208">
        <f t="shared" si="1"/>
        <v>38.337777718834076</v>
      </c>
      <c r="J11" s="208">
        <f t="shared" si="1"/>
        <v>42.6</v>
      </c>
      <c r="S11" s="148">
        <f t="shared" ref="S11:X11" si="2">AVERAGE(S7,S8)</f>
        <v>1.2500000000000001E-2</v>
      </c>
      <c r="T11" s="148">
        <f t="shared" si="2"/>
        <v>8.3333333333333332E-3</v>
      </c>
      <c r="U11" s="148">
        <f t="shared" si="2"/>
        <v>0</v>
      </c>
      <c r="V11" s="208">
        <f t="shared" si="2"/>
        <v>29.05</v>
      </c>
      <c r="W11" s="208">
        <f t="shared" si="2"/>
        <v>35.009927011282585</v>
      </c>
      <c r="X11" s="208">
        <f t="shared" si="2"/>
        <v>41</v>
      </c>
      <c r="Y11" s="36"/>
      <c r="Z11" s="36"/>
      <c r="AA11" s="36"/>
      <c r="AB11" s="36"/>
      <c r="AC11" s="36"/>
    </row>
    <row r="12" spans="1:36" s="64" customFormat="1" x14ac:dyDescent="0.25">
      <c r="A12" s="128"/>
      <c r="B12" s="9"/>
      <c r="C12" s="9"/>
      <c r="D12" s="9" t="s">
        <v>203</v>
      </c>
      <c r="E12" s="195">
        <f t="shared" ref="E12:J12" si="3">AVERAGE(E9,E10)</f>
        <v>1.2500000000000001E-2</v>
      </c>
      <c r="F12" s="195">
        <f t="shared" si="3"/>
        <v>8.3333333333333332E-3</v>
      </c>
      <c r="G12" s="195">
        <f t="shared" si="3"/>
        <v>0</v>
      </c>
      <c r="H12" s="208">
        <f t="shared" si="3"/>
        <v>0</v>
      </c>
      <c r="I12" s="208">
        <f t="shared" si="3"/>
        <v>9.1999999999999993</v>
      </c>
      <c r="J12" s="208">
        <f t="shared" si="3"/>
        <v>36.25</v>
      </c>
      <c r="S12" s="148">
        <f t="shared" ref="S12:X12" si="4">AVERAGE(S9,S10)</f>
        <v>1.2500000000000001E-2</v>
      </c>
      <c r="T12" s="148">
        <f t="shared" si="4"/>
        <v>8.3333333333333332E-3</v>
      </c>
      <c r="U12" s="148">
        <f t="shared" si="4"/>
        <v>0</v>
      </c>
      <c r="V12" s="208">
        <f t="shared" si="4"/>
        <v>0</v>
      </c>
      <c r="W12" s="208">
        <f t="shared" si="4"/>
        <v>11.666813298039941</v>
      </c>
      <c r="X12" s="208">
        <f t="shared" si="4"/>
        <v>38.700000000000003</v>
      </c>
      <c r="Y12" s="36"/>
      <c r="Z12" s="36"/>
      <c r="AA12" s="36"/>
      <c r="AB12" s="36"/>
      <c r="AC12" s="36"/>
    </row>
    <row r="13" spans="1:36" s="64" customFormat="1" x14ac:dyDescent="0.25">
      <c r="A13" s="128"/>
      <c r="B13" s="9"/>
      <c r="C13" s="9"/>
      <c r="D13" s="9" t="s">
        <v>256</v>
      </c>
      <c r="E13" s="177"/>
      <c r="F13" s="177"/>
      <c r="G13" s="177"/>
      <c r="H13" s="114"/>
      <c r="I13" s="114"/>
      <c r="J13" s="114"/>
      <c r="S13" s="15"/>
      <c r="T13" s="45"/>
      <c r="U13" s="45"/>
      <c r="V13" s="45"/>
      <c r="W13" s="45"/>
      <c r="X13" s="45"/>
      <c r="Y13" s="36"/>
      <c r="Z13" s="36"/>
      <c r="AA13" s="36"/>
      <c r="AB13" s="36"/>
      <c r="AC13" s="36"/>
    </row>
    <row r="14" spans="1:36" s="64" customFormat="1" x14ac:dyDescent="0.25">
      <c r="A14" s="64" t="s">
        <v>25</v>
      </c>
      <c r="B14" s="64" t="s">
        <v>91</v>
      </c>
      <c r="C14" s="9" t="s">
        <v>26</v>
      </c>
      <c r="D14" s="9" t="s">
        <v>200</v>
      </c>
      <c r="E14" s="134">
        <f>1/15</f>
        <v>6.6666666666666666E-2</v>
      </c>
      <c r="F14" s="134">
        <f>1/25</f>
        <v>0.04</v>
      </c>
      <c r="G14" s="134">
        <v>0</v>
      </c>
      <c r="H14" s="265">
        <v>2.8</v>
      </c>
      <c r="I14" s="266">
        <v>3.7205926764843626</v>
      </c>
      <c r="J14" s="265">
        <v>4.5999999999999996</v>
      </c>
      <c r="S14" s="134">
        <f>1/45</f>
        <v>2.2222222222222223E-2</v>
      </c>
      <c r="T14" s="134">
        <f>1/65</f>
        <v>1.5384615384615385E-2</v>
      </c>
      <c r="U14" s="134">
        <v>0</v>
      </c>
      <c r="V14" s="265">
        <v>2.4</v>
      </c>
      <c r="W14" s="266">
        <v>3.8633398296597852</v>
      </c>
      <c r="X14" s="265">
        <v>5.3</v>
      </c>
      <c r="Y14" s="36"/>
      <c r="Z14" s="36"/>
      <c r="AA14" s="36"/>
      <c r="AB14" s="36"/>
      <c r="AC14" s="36"/>
    </row>
    <row r="15" spans="1:36" s="64" customFormat="1" x14ac:dyDescent="0.25">
      <c r="A15" s="9"/>
      <c r="B15" s="9"/>
      <c r="C15" s="9" t="s">
        <v>407</v>
      </c>
      <c r="D15" s="9" t="s">
        <v>188</v>
      </c>
      <c r="E15" s="134">
        <f>34600/552000</f>
        <v>6.2681159420289859E-2</v>
      </c>
      <c r="F15" s="134">
        <f>17300/552000</f>
        <v>3.1340579710144929E-2</v>
      </c>
      <c r="G15" s="134">
        <v>0</v>
      </c>
      <c r="H15" s="265">
        <v>3.1</v>
      </c>
      <c r="I15" s="266">
        <v>4.0336816477106536</v>
      </c>
      <c r="J15" s="267">
        <v>4.9000000000000004</v>
      </c>
      <c r="S15" s="134">
        <f>2800/131000</f>
        <v>2.1374045801526718E-2</v>
      </c>
      <c r="T15" s="134">
        <f>1400/131000</f>
        <v>1.0687022900763359E-2</v>
      </c>
      <c r="U15" s="134">
        <v>0</v>
      </c>
      <c r="V15" s="265">
        <v>3.8</v>
      </c>
      <c r="W15" s="266">
        <v>5.3453888679328214</v>
      </c>
      <c r="X15" s="265">
        <v>6.8</v>
      </c>
      <c r="Y15" s="36"/>
      <c r="Z15" s="36"/>
      <c r="AA15" s="36"/>
      <c r="AB15" s="36"/>
      <c r="AC15" s="36"/>
    </row>
    <row r="16" spans="1:36" s="64" customFormat="1" x14ac:dyDescent="0.25">
      <c r="A16" s="9"/>
      <c r="B16" s="9"/>
      <c r="C16" s="9"/>
      <c r="D16" s="9" t="s">
        <v>201</v>
      </c>
      <c r="E16" s="134">
        <f>1/15</f>
        <v>6.6666666666666666E-2</v>
      </c>
      <c r="F16" s="134">
        <f>1/25</f>
        <v>0.04</v>
      </c>
      <c r="G16" s="134">
        <v>0</v>
      </c>
      <c r="H16" s="265">
        <v>3.2</v>
      </c>
      <c r="I16" s="268">
        <v>7.8</v>
      </c>
      <c r="J16" s="265">
        <v>14.1</v>
      </c>
      <c r="S16" s="134">
        <f>1/45</f>
        <v>2.2222222222222223E-2</v>
      </c>
      <c r="T16" s="134">
        <f>1/65</f>
        <v>1.5384615384615385E-2</v>
      </c>
      <c r="U16" s="134">
        <v>0</v>
      </c>
      <c r="V16" s="265">
        <v>3.9</v>
      </c>
      <c r="W16" s="266">
        <v>10.653340665579238</v>
      </c>
      <c r="X16" s="265">
        <v>17.399999999999999</v>
      </c>
      <c r="Y16" s="36"/>
      <c r="Z16" s="36"/>
      <c r="AA16" s="36"/>
      <c r="AB16" s="36"/>
      <c r="AC16" s="36"/>
    </row>
    <row r="17" spans="1:29" s="64" customFormat="1" x14ac:dyDescent="0.25">
      <c r="A17" s="9"/>
      <c r="B17" s="9"/>
      <c r="C17" s="9"/>
      <c r="D17" s="9" t="s">
        <v>189</v>
      </c>
      <c r="E17" s="134">
        <f>2320/37000</f>
        <v>6.2702702702702701E-2</v>
      </c>
      <c r="F17" s="134">
        <f>1160/37000</f>
        <v>3.135135135135135E-2</v>
      </c>
      <c r="G17" s="134">
        <v>0</v>
      </c>
      <c r="H17" s="265">
        <v>0.9</v>
      </c>
      <c r="I17" s="268">
        <v>7.8</v>
      </c>
      <c r="J17" s="265">
        <v>12.8</v>
      </c>
      <c r="S17" s="134">
        <f>210/10000</f>
        <v>2.1000000000000001E-2</v>
      </c>
      <c r="T17" s="134">
        <f>110/10000</f>
        <v>1.0999999999999999E-2</v>
      </c>
      <c r="U17" s="134">
        <v>0</v>
      </c>
      <c r="V17" s="265">
        <v>3.4</v>
      </c>
      <c r="W17" s="266">
        <v>9.9597183886391658</v>
      </c>
      <c r="X17" s="265">
        <v>16.5</v>
      </c>
      <c r="Y17" s="36"/>
      <c r="Z17" s="36"/>
      <c r="AA17" s="36"/>
      <c r="AB17" s="36"/>
      <c r="AC17" s="36"/>
    </row>
    <row r="18" spans="1:29" s="64" customFormat="1" x14ac:dyDescent="0.25">
      <c r="A18" s="9"/>
      <c r="B18" s="9"/>
      <c r="C18" s="9"/>
      <c r="D18" s="9" t="s">
        <v>202</v>
      </c>
      <c r="E18" s="195">
        <f t="shared" ref="E18:J18" si="5">AVERAGE(E14,E15)</f>
        <v>6.4673913043478262E-2</v>
      </c>
      <c r="F18" s="195">
        <f t="shared" si="5"/>
        <v>3.5670289855072465E-2</v>
      </c>
      <c r="G18" s="195">
        <f t="shared" si="5"/>
        <v>0</v>
      </c>
      <c r="H18" s="208">
        <f t="shared" si="5"/>
        <v>2.95</v>
      </c>
      <c r="I18" s="208">
        <f t="shared" si="5"/>
        <v>3.8771371620975081</v>
      </c>
      <c r="J18" s="208">
        <f t="shared" si="5"/>
        <v>4.75</v>
      </c>
      <c r="S18" s="148">
        <f t="shared" ref="S18:X18" si="6">AVERAGE(S14,S15)</f>
        <v>2.179813401187447E-2</v>
      </c>
      <c r="T18" s="148">
        <f t="shared" si="6"/>
        <v>1.3035819142689371E-2</v>
      </c>
      <c r="U18" s="148">
        <f t="shared" si="6"/>
        <v>0</v>
      </c>
      <c r="V18" s="208">
        <f t="shared" si="6"/>
        <v>3.0999999999999996</v>
      </c>
      <c r="W18" s="208">
        <f t="shared" si="6"/>
        <v>4.6043643487963033</v>
      </c>
      <c r="X18" s="208">
        <f t="shared" si="6"/>
        <v>6.05</v>
      </c>
      <c r="Y18" s="36"/>
      <c r="Z18" s="36"/>
      <c r="AA18" s="36"/>
      <c r="AB18" s="36"/>
      <c r="AC18" s="36"/>
    </row>
    <row r="19" spans="1:29" s="64" customFormat="1" x14ac:dyDescent="0.25">
      <c r="A19" s="128"/>
      <c r="B19" s="9"/>
      <c r="C19" s="9"/>
      <c r="D19" s="9" t="s">
        <v>203</v>
      </c>
      <c r="E19" s="195">
        <f t="shared" ref="E19:J19" si="7">AVERAGE(E16,E17)</f>
        <v>6.468468468468469E-2</v>
      </c>
      <c r="F19" s="195">
        <f t="shared" si="7"/>
        <v>3.5675675675675672E-2</v>
      </c>
      <c r="G19" s="195">
        <f t="shared" si="7"/>
        <v>0</v>
      </c>
      <c r="H19" s="208">
        <f t="shared" si="7"/>
        <v>2.0500000000000003</v>
      </c>
      <c r="I19" s="208">
        <f t="shared" si="7"/>
        <v>7.8</v>
      </c>
      <c r="J19" s="208">
        <f t="shared" si="7"/>
        <v>13.45</v>
      </c>
      <c r="S19" s="148">
        <f t="shared" ref="S19:X19" si="8">AVERAGE(S16,S17)</f>
        <v>2.1611111111111112E-2</v>
      </c>
      <c r="T19" s="148">
        <f t="shared" si="8"/>
        <v>1.3192307692307692E-2</v>
      </c>
      <c r="U19" s="148">
        <f t="shared" si="8"/>
        <v>0</v>
      </c>
      <c r="V19" s="208">
        <f t="shared" si="8"/>
        <v>3.65</v>
      </c>
      <c r="W19" s="208">
        <f t="shared" si="8"/>
        <v>10.306529527109202</v>
      </c>
      <c r="X19" s="208">
        <f t="shared" si="8"/>
        <v>16.95</v>
      </c>
      <c r="Y19" s="36"/>
      <c r="Z19" s="36"/>
      <c r="AA19" s="36"/>
      <c r="AB19" s="36"/>
      <c r="AC19" s="36"/>
    </row>
    <row r="20" spans="1:29" s="64" customFormat="1" x14ac:dyDescent="0.25">
      <c r="A20" s="128"/>
      <c r="B20" s="9"/>
      <c r="C20" s="9"/>
      <c r="D20" s="9" t="s">
        <v>256</v>
      </c>
      <c r="E20" s="177"/>
      <c r="F20" s="177"/>
      <c r="G20" s="177"/>
      <c r="H20" s="114"/>
      <c r="I20" s="114"/>
      <c r="J20" s="114"/>
      <c r="S20" s="15"/>
      <c r="T20" s="45"/>
      <c r="U20" s="45"/>
      <c r="V20" s="45"/>
      <c r="W20" s="45"/>
      <c r="X20" s="45"/>
      <c r="Y20" s="36"/>
      <c r="Z20" s="36"/>
      <c r="AA20" s="36"/>
      <c r="AB20" s="36"/>
      <c r="AC20" s="36"/>
    </row>
    <row r="21" spans="1:29" s="64" customFormat="1" x14ac:dyDescent="0.25">
      <c r="A21" s="128" t="s">
        <v>117</v>
      </c>
      <c r="B21" s="9" t="s">
        <v>90</v>
      </c>
      <c r="C21" s="9" t="s">
        <v>26</v>
      </c>
      <c r="D21" s="9" t="s">
        <v>200</v>
      </c>
      <c r="E21" s="134">
        <f>1/60</f>
        <v>1.6666666666666666E-2</v>
      </c>
      <c r="F21" s="135">
        <f>1/90</f>
        <v>1.1111111111111112E-2</v>
      </c>
      <c r="G21" s="135">
        <v>0</v>
      </c>
      <c r="H21" s="265">
        <v>4.5999999999999996</v>
      </c>
      <c r="I21" s="266">
        <v>5.9081276488630081</v>
      </c>
      <c r="J21" s="265">
        <v>7.2</v>
      </c>
      <c r="S21" s="134">
        <f>1/70</f>
        <v>1.4285714285714285E-2</v>
      </c>
      <c r="T21" s="134">
        <f>1/100</f>
        <v>0.01</v>
      </c>
      <c r="U21" s="134">
        <v>0</v>
      </c>
      <c r="V21" s="265">
        <v>4.5</v>
      </c>
      <c r="W21" s="266">
        <v>6.8921400837608369</v>
      </c>
      <c r="X21" s="265">
        <v>9.1999999999999993</v>
      </c>
      <c r="Y21" s="36"/>
      <c r="Z21" s="36"/>
      <c r="AA21" s="36"/>
      <c r="AB21" s="36"/>
      <c r="AC21" s="36"/>
    </row>
    <row r="22" spans="1:29" s="64" customFormat="1" x14ac:dyDescent="0.25">
      <c r="A22" s="128"/>
      <c r="B22" s="9"/>
      <c r="C22" s="9" t="s">
        <v>407</v>
      </c>
      <c r="D22" s="9" t="s">
        <v>188</v>
      </c>
      <c r="E22" s="134">
        <f>8400/552000</f>
        <v>1.5217391304347827E-2</v>
      </c>
      <c r="F22" s="135">
        <f>4700/552000</f>
        <v>8.5144927536231884E-3</v>
      </c>
      <c r="G22" s="135">
        <v>0</v>
      </c>
      <c r="H22" s="265">
        <v>5.6</v>
      </c>
      <c r="I22" s="266">
        <v>6.9537633081070584</v>
      </c>
      <c r="J22" s="267">
        <v>8.3000000000000007</v>
      </c>
      <c r="S22" s="134">
        <f>2800/131000</f>
        <v>2.1374045801526718E-2</v>
      </c>
      <c r="T22" s="134">
        <f>1400/131000</f>
        <v>1.0687022900763359E-2</v>
      </c>
      <c r="U22" s="134">
        <v>0</v>
      </c>
      <c r="V22" s="265">
        <v>6.9</v>
      </c>
      <c r="W22" s="266">
        <v>9.3694028444756157</v>
      </c>
      <c r="X22" s="265">
        <v>11.8</v>
      </c>
      <c r="Y22" s="36"/>
      <c r="Z22" s="36"/>
      <c r="AA22" s="36"/>
      <c r="AB22" s="36"/>
      <c r="AC22" s="36"/>
    </row>
    <row r="23" spans="1:29" s="64" customFormat="1" x14ac:dyDescent="0.25">
      <c r="A23" s="128"/>
      <c r="B23" s="9"/>
      <c r="C23" s="9"/>
      <c r="D23" s="9" t="s">
        <v>201</v>
      </c>
      <c r="E23" s="134">
        <f>1/60</f>
        <v>1.6666666666666666E-2</v>
      </c>
      <c r="F23" s="135">
        <f>1/90</f>
        <v>1.1111111111111112E-2</v>
      </c>
      <c r="G23" s="135">
        <v>0</v>
      </c>
      <c r="H23" s="265">
        <v>1.1000000000000001</v>
      </c>
      <c r="I23" s="268">
        <v>9.6999999999999993</v>
      </c>
      <c r="J23" s="265">
        <v>17.3</v>
      </c>
      <c r="S23" s="134">
        <f>1/70</f>
        <v>1.4285714285714285E-2</v>
      </c>
      <c r="T23" s="134">
        <f>1/100</f>
        <v>0.01</v>
      </c>
      <c r="U23" s="134">
        <v>0</v>
      </c>
      <c r="V23" s="265">
        <v>0</v>
      </c>
      <c r="W23" s="266">
        <v>10.831782634161396</v>
      </c>
      <c r="X23" s="265">
        <v>21.9</v>
      </c>
      <c r="Y23" s="36"/>
      <c r="Z23" s="36"/>
      <c r="AA23" s="36"/>
      <c r="AB23" s="36"/>
      <c r="AC23" s="36"/>
    </row>
    <row r="24" spans="1:29" s="64" customFormat="1" x14ac:dyDescent="0.25">
      <c r="A24" s="128"/>
      <c r="B24" s="9"/>
      <c r="C24" s="9"/>
      <c r="D24" s="9" t="s">
        <v>189</v>
      </c>
      <c r="E24" s="134">
        <f>2320/37000</f>
        <v>6.2702702702702701E-2</v>
      </c>
      <c r="F24" s="135">
        <f>1160/37000</f>
        <v>3.135135135135135E-2</v>
      </c>
      <c r="G24" s="135">
        <v>0</v>
      </c>
      <c r="H24" s="265">
        <v>1.5</v>
      </c>
      <c r="I24" s="268">
        <v>9.6999999999999993</v>
      </c>
      <c r="J24" s="265">
        <v>19.100000000000001</v>
      </c>
      <c r="S24" s="134">
        <f>210/10000</f>
        <v>2.1000000000000001E-2</v>
      </c>
      <c r="T24" s="134">
        <f>110/10000</f>
        <v>1.0999999999999999E-2</v>
      </c>
      <c r="U24" s="134">
        <v>0</v>
      </c>
      <c r="V24" s="265">
        <v>1.1000000000000001</v>
      </c>
      <c r="W24" s="266">
        <v>11.912506583939285</v>
      </c>
      <c r="X24" s="265">
        <v>22.7</v>
      </c>
      <c r="Y24" s="36"/>
      <c r="Z24" s="36"/>
      <c r="AA24" s="36"/>
      <c r="AB24" s="36"/>
      <c r="AC24" s="36"/>
    </row>
    <row r="25" spans="1:29" s="64" customFormat="1" x14ac:dyDescent="0.25">
      <c r="A25" s="128"/>
      <c r="B25" s="9"/>
      <c r="C25" s="9"/>
      <c r="D25" s="9" t="s">
        <v>202</v>
      </c>
      <c r="E25" s="195">
        <f t="shared" ref="E25:J25" si="9">AVERAGE(E21,E22)</f>
        <v>1.5942028985507246E-2</v>
      </c>
      <c r="F25" s="195">
        <f t="shared" si="9"/>
        <v>9.81280193236715E-3</v>
      </c>
      <c r="G25" s="195">
        <f t="shared" si="9"/>
        <v>0</v>
      </c>
      <c r="H25" s="208">
        <f t="shared" si="9"/>
        <v>5.0999999999999996</v>
      </c>
      <c r="I25" s="208">
        <f t="shared" si="9"/>
        <v>6.4309454784850333</v>
      </c>
      <c r="J25" s="208">
        <f t="shared" si="9"/>
        <v>7.75</v>
      </c>
      <c r="S25" s="148">
        <f t="shared" ref="S25:X25" si="10">AVERAGE(S21,S22)</f>
        <v>1.7829880043620502E-2</v>
      </c>
      <c r="T25" s="148">
        <f t="shared" si="10"/>
        <v>1.034351145038168E-2</v>
      </c>
      <c r="U25" s="148">
        <f t="shared" si="10"/>
        <v>0</v>
      </c>
      <c r="V25" s="208">
        <f t="shared" si="10"/>
        <v>5.7</v>
      </c>
      <c r="W25" s="208">
        <f t="shared" si="10"/>
        <v>8.1307714641182258</v>
      </c>
      <c r="X25" s="208">
        <f t="shared" si="10"/>
        <v>10.5</v>
      </c>
      <c r="Y25" s="36"/>
      <c r="Z25" s="36"/>
      <c r="AA25" s="36"/>
      <c r="AB25" s="36"/>
      <c r="AC25" s="36"/>
    </row>
    <row r="26" spans="1:29" s="64" customFormat="1" x14ac:dyDescent="0.25">
      <c r="A26" s="128"/>
      <c r="B26" s="9"/>
      <c r="C26" s="9"/>
      <c r="D26" s="9" t="s">
        <v>203</v>
      </c>
      <c r="E26" s="195">
        <f t="shared" ref="E26:J26" si="11">AVERAGE(E23,E24)</f>
        <v>3.9684684684684682E-2</v>
      </c>
      <c r="F26" s="195">
        <f t="shared" si="11"/>
        <v>2.1231231231231232E-2</v>
      </c>
      <c r="G26" s="195">
        <f t="shared" si="11"/>
        <v>0</v>
      </c>
      <c r="H26" s="208">
        <f t="shared" si="11"/>
        <v>1.3</v>
      </c>
      <c r="I26" s="208">
        <f t="shared" si="11"/>
        <v>9.6999999999999993</v>
      </c>
      <c r="J26" s="208">
        <f t="shared" si="11"/>
        <v>18.200000000000003</v>
      </c>
      <c r="S26" s="148">
        <f t="shared" ref="S26:X26" si="12">AVERAGE(S23,S24)</f>
        <v>1.7642857142857144E-2</v>
      </c>
      <c r="T26" s="148">
        <f t="shared" si="12"/>
        <v>1.0499999999999999E-2</v>
      </c>
      <c r="U26" s="148">
        <f t="shared" si="12"/>
        <v>0</v>
      </c>
      <c r="V26" s="208">
        <f t="shared" si="12"/>
        <v>0.55000000000000004</v>
      </c>
      <c r="W26" s="208">
        <f t="shared" si="12"/>
        <v>11.372144609050341</v>
      </c>
      <c r="X26" s="208">
        <f t="shared" si="12"/>
        <v>22.299999999999997</v>
      </c>
      <c r="Y26" s="36"/>
      <c r="Z26" s="36"/>
      <c r="AA26" s="36"/>
      <c r="AB26" s="36"/>
      <c r="AC26" s="36"/>
    </row>
    <row r="27" spans="1:29" s="64" customFormat="1" x14ac:dyDescent="0.25">
      <c r="A27" s="128"/>
      <c r="B27" s="9"/>
      <c r="C27" s="9"/>
      <c r="D27" s="9" t="s">
        <v>256</v>
      </c>
      <c r="E27" s="202"/>
      <c r="F27" s="203"/>
      <c r="G27" s="203"/>
      <c r="H27" s="114"/>
      <c r="I27" s="114"/>
      <c r="J27" s="114"/>
      <c r="S27" s="15"/>
      <c r="T27" s="45"/>
      <c r="U27" s="45"/>
      <c r="V27" s="45"/>
      <c r="W27" s="45"/>
      <c r="X27" s="45"/>
      <c r="Y27" s="36"/>
      <c r="Z27" s="36"/>
      <c r="AA27" s="36"/>
      <c r="AB27" s="36"/>
      <c r="AC27" s="36"/>
    </row>
    <row r="28" spans="1:29" s="64" customFormat="1" x14ac:dyDescent="0.25">
      <c r="A28" s="9" t="s">
        <v>81</v>
      </c>
      <c r="B28" s="9" t="s">
        <v>92</v>
      </c>
      <c r="C28" s="9" t="s">
        <v>26</v>
      </c>
      <c r="D28" s="9" t="s">
        <v>200</v>
      </c>
      <c r="E28" s="134">
        <f>1/3</f>
        <v>0.33333333333333331</v>
      </c>
      <c r="F28" s="134"/>
      <c r="G28" s="134">
        <v>0</v>
      </c>
      <c r="H28" s="265">
        <v>4.5</v>
      </c>
      <c r="I28" s="266">
        <v>6.4729540647217672</v>
      </c>
      <c r="J28" s="265">
        <v>8.4</v>
      </c>
      <c r="S28" s="134">
        <f>1/3</f>
        <v>0.33333333333333331</v>
      </c>
      <c r="T28" s="134"/>
      <c r="U28" s="134">
        <v>0</v>
      </c>
      <c r="V28" s="265">
        <v>6.1</v>
      </c>
      <c r="W28" s="266">
        <v>8.8873621427678824</v>
      </c>
      <c r="X28" s="265">
        <v>11.7</v>
      </c>
      <c r="Y28" s="36"/>
      <c r="Z28" s="36"/>
      <c r="AA28" s="36"/>
      <c r="AB28" s="36"/>
      <c r="AC28" s="36"/>
    </row>
    <row r="29" spans="1:29" s="64" customFormat="1" x14ac:dyDescent="0.25">
      <c r="A29" s="9"/>
      <c r="B29" s="9"/>
      <c r="C29" s="9" t="s">
        <v>407</v>
      </c>
      <c r="D29" s="9" t="s">
        <v>188</v>
      </c>
      <c r="E29" s="134">
        <f>1/3</f>
        <v>0.33333333333333331</v>
      </c>
      <c r="F29" s="134"/>
      <c r="G29" s="134">
        <v>0</v>
      </c>
      <c r="H29" s="265">
        <v>6.8</v>
      </c>
      <c r="I29" s="266">
        <v>8.8310994374620577</v>
      </c>
      <c r="J29" s="265">
        <v>10.9</v>
      </c>
      <c r="S29" s="134">
        <f>1/3</f>
        <v>0.33333333333333331</v>
      </c>
      <c r="T29" s="134"/>
      <c r="U29" s="134">
        <v>0</v>
      </c>
      <c r="V29" s="265">
        <v>6.9</v>
      </c>
      <c r="W29" s="266">
        <v>9.7854962135394494</v>
      </c>
      <c r="X29" s="265">
        <v>12.7</v>
      </c>
      <c r="Y29" s="36"/>
      <c r="Z29" s="36"/>
      <c r="AA29" s="36"/>
      <c r="AB29" s="36"/>
      <c r="AC29" s="36"/>
    </row>
    <row r="30" spans="1:29" s="64" customFormat="1" x14ac:dyDescent="0.25">
      <c r="A30" s="9"/>
      <c r="B30" s="9"/>
      <c r="C30" s="9"/>
      <c r="D30" s="9" t="s">
        <v>201</v>
      </c>
      <c r="E30" s="134">
        <f>1/3</f>
        <v>0.33333333333333331</v>
      </c>
      <c r="F30" s="134"/>
      <c r="G30" s="134">
        <v>0</v>
      </c>
      <c r="H30" s="265">
        <v>0</v>
      </c>
      <c r="I30" s="268">
        <v>8.1</v>
      </c>
      <c r="J30" s="265">
        <v>19.5</v>
      </c>
      <c r="S30" s="134">
        <f>1/3</f>
        <v>0.33333333333333331</v>
      </c>
      <c r="T30" s="134"/>
      <c r="U30" s="134">
        <v>0</v>
      </c>
      <c r="V30" s="265">
        <v>0</v>
      </c>
      <c r="W30" s="266">
        <v>8.6871974059529276</v>
      </c>
      <c r="X30" s="265">
        <v>21.8</v>
      </c>
      <c r="Y30" s="36"/>
      <c r="Z30" s="36"/>
      <c r="AA30" s="36"/>
      <c r="AB30" s="36"/>
      <c r="AC30" s="36"/>
    </row>
    <row r="31" spans="1:29" s="64" customFormat="1" x14ac:dyDescent="0.25">
      <c r="A31" s="9"/>
      <c r="B31" s="9"/>
      <c r="C31" s="9"/>
      <c r="D31" s="9" t="s">
        <v>189</v>
      </c>
      <c r="E31" s="134">
        <f>1/3</f>
        <v>0.33333333333333331</v>
      </c>
      <c r="F31" s="134"/>
      <c r="G31" s="134">
        <v>0</v>
      </c>
      <c r="H31" s="265">
        <v>0</v>
      </c>
      <c r="I31" s="268">
        <v>8.1</v>
      </c>
      <c r="J31" s="265">
        <v>22</v>
      </c>
      <c r="S31" s="134">
        <f>1/3</f>
        <v>0.33333333333333331</v>
      </c>
      <c r="T31" s="134"/>
      <c r="U31" s="134">
        <v>0</v>
      </c>
      <c r="V31" s="265">
        <v>0</v>
      </c>
      <c r="W31" s="266">
        <v>7.1571101173360745</v>
      </c>
      <c r="X31" s="265">
        <v>19.899999999999999</v>
      </c>
      <c r="Y31" s="36"/>
      <c r="Z31" s="36"/>
      <c r="AA31" s="36"/>
      <c r="AB31" s="36"/>
      <c r="AC31" s="36"/>
    </row>
    <row r="32" spans="1:29" s="64" customFormat="1" x14ac:dyDescent="0.25">
      <c r="A32" s="9"/>
      <c r="B32" s="9"/>
      <c r="C32" s="9"/>
      <c r="D32" s="9" t="s">
        <v>202</v>
      </c>
      <c r="E32" s="195">
        <f>AVERAGE(E28,E29)</f>
        <v>0.33333333333333331</v>
      </c>
      <c r="F32" s="195"/>
      <c r="G32" s="195">
        <f>AVERAGE(G28,G29)</f>
        <v>0</v>
      </c>
      <c r="H32" s="208">
        <f>AVERAGE(H28,H29)</f>
        <v>5.65</v>
      </c>
      <c r="I32" s="208">
        <f>AVERAGE(I28,I29)</f>
        <v>7.6520267510919124</v>
      </c>
      <c r="J32" s="208">
        <f>AVERAGE(J28,J29)</f>
        <v>9.65</v>
      </c>
      <c r="S32" s="148">
        <f>AVERAGE(S28,S29)</f>
        <v>0.33333333333333331</v>
      </c>
      <c r="T32" s="148"/>
      <c r="U32" s="148">
        <f>AVERAGE(U28,U29)</f>
        <v>0</v>
      </c>
      <c r="V32" s="208">
        <f>AVERAGE(V28,V29)</f>
        <v>6.5</v>
      </c>
      <c r="W32" s="208">
        <f>AVERAGE(W28,W29)</f>
        <v>9.336429178153665</v>
      </c>
      <c r="X32" s="208">
        <f>AVERAGE(X28,X29)</f>
        <v>12.2</v>
      </c>
    </row>
    <row r="33" spans="1:29" s="64" customFormat="1" x14ac:dyDescent="0.25">
      <c r="A33" s="9"/>
      <c r="B33" s="9"/>
      <c r="C33" s="9"/>
      <c r="D33" s="9" t="s">
        <v>203</v>
      </c>
      <c r="E33" s="195">
        <f>AVERAGE(E30,E31)</f>
        <v>0.33333333333333331</v>
      </c>
      <c r="F33" s="195"/>
      <c r="G33" s="195">
        <f>AVERAGE(G30,G31)</f>
        <v>0</v>
      </c>
      <c r="H33" s="208">
        <f>AVERAGE(H30,H31)</f>
        <v>0</v>
      </c>
      <c r="I33" s="208">
        <f>AVERAGE(I30,I31)</f>
        <v>8.1</v>
      </c>
      <c r="J33" s="208">
        <f>AVERAGE(J30,J31)</f>
        <v>20.75</v>
      </c>
      <c r="S33" s="148">
        <f>AVERAGE(S30,S31)</f>
        <v>0.33333333333333331</v>
      </c>
      <c r="T33" s="148"/>
      <c r="U33" s="148">
        <f>AVERAGE(U30,U31)</f>
        <v>0</v>
      </c>
      <c r="V33" s="208">
        <f>AVERAGE(V30,V31)</f>
        <v>0</v>
      </c>
      <c r="W33" s="208">
        <f>AVERAGE(W30,W31)</f>
        <v>7.922153761644501</v>
      </c>
      <c r="X33" s="208">
        <f>AVERAGE(X30,X31)</f>
        <v>20.85</v>
      </c>
      <c r="Y33" s="36"/>
      <c r="Z33" s="36"/>
      <c r="AA33" s="36"/>
      <c r="AB33" s="36"/>
      <c r="AC33" s="36"/>
    </row>
    <row r="34" spans="1:29" s="64" customFormat="1" x14ac:dyDescent="0.25">
      <c r="A34" s="9"/>
      <c r="B34" s="9"/>
      <c r="C34" s="9"/>
      <c r="D34" s="9" t="s">
        <v>256</v>
      </c>
      <c r="E34" s="177"/>
      <c r="F34" s="177"/>
      <c r="G34" s="177"/>
      <c r="H34" s="114"/>
      <c r="I34" s="114"/>
      <c r="J34" s="114"/>
      <c r="S34" s="15"/>
      <c r="T34" s="45"/>
      <c r="U34" s="45"/>
      <c r="V34" s="45"/>
      <c r="W34" s="45"/>
      <c r="X34" s="45"/>
      <c r="Y34" s="36"/>
      <c r="Z34" s="36"/>
      <c r="AA34" s="36"/>
      <c r="AB34" s="36"/>
      <c r="AC34" s="36"/>
    </row>
    <row r="35" spans="1:29" s="64" customFormat="1" x14ac:dyDescent="0.25">
      <c r="A35" s="9" t="s">
        <v>82</v>
      </c>
      <c r="B35" s="9" t="s">
        <v>93</v>
      </c>
      <c r="C35" s="9" t="s">
        <v>26</v>
      </c>
      <c r="D35" s="9" t="s">
        <v>200</v>
      </c>
      <c r="E35" s="134">
        <v>1</v>
      </c>
      <c r="F35" s="134"/>
      <c r="G35" s="134">
        <v>0</v>
      </c>
      <c r="H35" s="265">
        <v>1.1000000000000001</v>
      </c>
      <c r="I35" s="266">
        <v>1.9612368734919081</v>
      </c>
      <c r="J35" s="265">
        <v>2.8</v>
      </c>
      <c r="S35" s="134">
        <v>1</v>
      </c>
      <c r="T35" s="134"/>
      <c r="U35" s="134">
        <v>0</v>
      </c>
      <c r="V35" s="265">
        <v>1.9</v>
      </c>
      <c r="W35" s="266">
        <v>3.4602958169011133</v>
      </c>
      <c r="X35" s="265">
        <v>5</v>
      </c>
      <c r="Y35" s="36"/>
      <c r="Z35" s="36"/>
      <c r="AA35" s="36"/>
      <c r="AB35" s="36"/>
      <c r="AC35" s="36"/>
    </row>
    <row r="36" spans="1:29" s="64" customFormat="1" x14ac:dyDescent="0.25">
      <c r="A36" s="9"/>
      <c r="B36" s="9"/>
      <c r="C36" s="9" t="s">
        <v>407</v>
      </c>
      <c r="D36" s="9" t="s">
        <v>188</v>
      </c>
      <c r="E36" s="134">
        <v>1</v>
      </c>
      <c r="F36" s="134"/>
      <c r="G36" s="134">
        <v>0</v>
      </c>
      <c r="H36" s="265">
        <v>1</v>
      </c>
      <c r="I36" s="266">
        <v>1.8300858608625976</v>
      </c>
      <c r="J36" s="265">
        <v>2.7</v>
      </c>
      <c r="S36" s="134">
        <v>1</v>
      </c>
      <c r="T36" s="134"/>
      <c r="U36" s="134">
        <v>0</v>
      </c>
      <c r="V36" s="265">
        <v>1.7</v>
      </c>
      <c r="W36" s="266">
        <v>3.3919871593557644</v>
      </c>
      <c r="X36" s="265">
        <v>5</v>
      </c>
      <c r="Y36" s="36"/>
      <c r="Z36" s="36"/>
      <c r="AA36" s="36"/>
      <c r="AB36" s="36"/>
      <c r="AC36" s="36"/>
    </row>
    <row r="37" spans="1:29" s="64" customFormat="1" x14ac:dyDescent="0.25">
      <c r="A37" s="9"/>
      <c r="B37" s="9"/>
      <c r="C37" s="9"/>
      <c r="D37" s="9" t="s">
        <v>201</v>
      </c>
      <c r="E37" s="134">
        <v>1</v>
      </c>
      <c r="F37" s="134"/>
      <c r="G37" s="134">
        <v>0</v>
      </c>
      <c r="H37" s="265">
        <v>0.7</v>
      </c>
      <c r="I37" s="268">
        <v>6.1</v>
      </c>
      <c r="J37" s="265">
        <v>11.1</v>
      </c>
      <c r="S37" s="134">
        <v>1</v>
      </c>
      <c r="T37" s="134"/>
      <c r="U37" s="134">
        <v>0</v>
      </c>
      <c r="V37" s="265">
        <v>1.3</v>
      </c>
      <c r="W37" s="266">
        <v>8.6075255246724467</v>
      </c>
      <c r="X37" s="265">
        <v>15.9</v>
      </c>
      <c r="Y37" s="36"/>
      <c r="Z37" s="36"/>
      <c r="AA37" s="36"/>
      <c r="AB37" s="36"/>
      <c r="AC37" s="36"/>
    </row>
    <row r="38" spans="1:29" s="64" customFormat="1" x14ac:dyDescent="0.25">
      <c r="A38" s="9"/>
      <c r="B38" s="9"/>
      <c r="C38" s="9"/>
      <c r="D38" s="9" t="s">
        <v>189</v>
      </c>
      <c r="E38" s="134">
        <v>1</v>
      </c>
      <c r="F38" s="134"/>
      <c r="G38" s="134">
        <v>0</v>
      </c>
      <c r="H38" s="265">
        <v>0.6</v>
      </c>
      <c r="I38" s="268">
        <v>6.1</v>
      </c>
      <c r="J38" s="265">
        <v>11.9</v>
      </c>
      <c r="S38" s="134">
        <v>1</v>
      </c>
      <c r="T38" s="134"/>
      <c r="U38" s="134">
        <v>0</v>
      </c>
      <c r="V38" s="265">
        <v>1.1000000000000001</v>
      </c>
      <c r="W38" s="266">
        <v>8.308091024333244</v>
      </c>
      <c r="X38" s="265">
        <v>15.5</v>
      </c>
      <c r="Y38" s="36"/>
      <c r="Z38" s="36"/>
      <c r="AA38" s="36"/>
      <c r="AB38" s="36"/>
      <c r="AC38" s="36"/>
    </row>
    <row r="39" spans="1:29" s="64" customFormat="1" x14ac:dyDescent="0.25">
      <c r="A39" s="9"/>
      <c r="B39" s="9"/>
      <c r="C39" s="9"/>
      <c r="D39" s="9" t="s">
        <v>202</v>
      </c>
      <c r="E39" s="195">
        <f>AVERAGE(E35,E36)</f>
        <v>1</v>
      </c>
      <c r="F39" s="195"/>
      <c r="G39" s="195">
        <f>AVERAGE(G35,G36)</f>
        <v>0</v>
      </c>
      <c r="H39" s="208">
        <f>AVERAGE(H35,H36)</f>
        <v>1.05</v>
      </c>
      <c r="I39" s="208">
        <f>AVERAGE(I35,I36)</f>
        <v>1.8956613671772529</v>
      </c>
      <c r="J39" s="208">
        <f>AVERAGE(J35,J36)</f>
        <v>2.75</v>
      </c>
      <c r="S39" s="148">
        <f>AVERAGE(S35,S36)</f>
        <v>1</v>
      </c>
      <c r="T39" s="148"/>
      <c r="U39" s="148">
        <f>AVERAGE(U35,U36)</f>
        <v>0</v>
      </c>
      <c r="V39" s="208">
        <f>AVERAGE(V35,V36)</f>
        <v>1.7999999999999998</v>
      </c>
      <c r="W39" s="208">
        <f>AVERAGE(W35,W36)</f>
        <v>3.4261414881284389</v>
      </c>
      <c r="X39" s="208">
        <f>AVERAGE(X35,X36)</f>
        <v>5</v>
      </c>
      <c r="Y39" s="36"/>
      <c r="Z39" s="36"/>
      <c r="AA39" s="36"/>
      <c r="AB39" s="36"/>
      <c r="AC39" s="36"/>
    </row>
    <row r="40" spans="1:29" s="64" customFormat="1" x14ac:dyDescent="0.25">
      <c r="A40" s="9"/>
      <c r="B40" s="9"/>
      <c r="C40" s="9"/>
      <c r="D40" s="9" t="s">
        <v>203</v>
      </c>
      <c r="E40" s="195">
        <f>AVERAGE(E37,E38)</f>
        <v>1</v>
      </c>
      <c r="F40" s="195"/>
      <c r="G40" s="195">
        <f>AVERAGE(G37,G38)</f>
        <v>0</v>
      </c>
      <c r="H40" s="208">
        <f>AVERAGE(H37,H38)</f>
        <v>0.64999999999999991</v>
      </c>
      <c r="I40" s="208">
        <f>AVERAGE(I37,I38)</f>
        <v>6.1</v>
      </c>
      <c r="J40" s="208">
        <f>AVERAGE(J37,J38)</f>
        <v>11.5</v>
      </c>
      <c r="S40" s="148">
        <f>AVERAGE(S37,S38)</f>
        <v>1</v>
      </c>
      <c r="T40" s="148"/>
      <c r="U40" s="148">
        <f>AVERAGE(U37,U38)</f>
        <v>0</v>
      </c>
      <c r="V40" s="208">
        <f>AVERAGE(V37,V38)</f>
        <v>1.2000000000000002</v>
      </c>
      <c r="W40" s="208">
        <f>AVERAGE(W37,W38)</f>
        <v>8.4578082745028453</v>
      </c>
      <c r="X40" s="208">
        <f>AVERAGE(X37,X38)</f>
        <v>15.7</v>
      </c>
      <c r="Y40" s="36"/>
      <c r="Z40" s="36"/>
      <c r="AA40" s="36"/>
      <c r="AB40" s="36"/>
      <c r="AC40" s="36"/>
    </row>
    <row r="41" spans="1:29" s="64" customFormat="1" x14ac:dyDescent="0.25">
      <c r="A41" s="9"/>
      <c r="B41" s="9"/>
      <c r="C41" s="9"/>
      <c r="D41" s="9" t="s">
        <v>256</v>
      </c>
      <c r="E41" s="177"/>
      <c r="F41" s="177"/>
      <c r="G41" s="177"/>
      <c r="H41" s="114"/>
      <c r="I41" s="114"/>
      <c r="J41" s="114"/>
      <c r="S41" s="15"/>
      <c r="T41" s="45"/>
      <c r="U41" s="45"/>
      <c r="V41" s="45"/>
      <c r="W41" s="45"/>
      <c r="X41" s="45"/>
      <c r="Y41" s="36"/>
      <c r="Z41" s="36"/>
      <c r="AA41" s="36"/>
      <c r="AB41" s="36"/>
      <c r="AC41" s="36"/>
    </row>
    <row r="42" spans="1:29" s="64" customFormat="1" x14ac:dyDescent="0.25">
      <c r="A42" s="9" t="s">
        <v>205</v>
      </c>
      <c r="B42" s="9" t="s">
        <v>94</v>
      </c>
      <c r="C42" s="9" t="s">
        <v>26</v>
      </c>
      <c r="D42" s="9" t="s">
        <v>200</v>
      </c>
      <c r="E42" s="134">
        <f>1/70</f>
        <v>1.4285714285714285E-2</v>
      </c>
      <c r="F42" s="134">
        <f>1/105</f>
        <v>9.5238095238095247E-3</v>
      </c>
      <c r="G42" s="134">
        <v>0</v>
      </c>
      <c r="H42" s="265">
        <v>6.3</v>
      </c>
      <c r="I42" s="266">
        <v>7.5446430482239855</v>
      </c>
      <c r="J42" s="265">
        <v>8.8000000000000007</v>
      </c>
      <c r="S42" s="134">
        <f>1/40</f>
        <v>2.5000000000000001E-2</v>
      </c>
      <c r="T42" s="134">
        <f>1/60</f>
        <v>1.6666666666666666E-2</v>
      </c>
      <c r="U42" s="134">
        <v>0</v>
      </c>
      <c r="V42" s="265">
        <v>5</v>
      </c>
      <c r="W42" s="266">
        <v>6.4007504009702201</v>
      </c>
      <c r="X42" s="265">
        <v>7.8</v>
      </c>
      <c r="Y42" s="36"/>
      <c r="Z42" s="36"/>
      <c r="AA42" s="36"/>
      <c r="AB42" s="36"/>
      <c r="AC42" s="36"/>
    </row>
    <row r="43" spans="1:29" s="64" customFormat="1" x14ac:dyDescent="0.25">
      <c r="A43" s="9"/>
      <c r="B43" s="9"/>
      <c r="C43" s="9" t="s">
        <v>407</v>
      </c>
      <c r="D43" s="9" t="s">
        <v>188</v>
      </c>
      <c r="E43" s="134">
        <f>8000/552000</f>
        <v>1.4492753623188406E-2</v>
      </c>
      <c r="F43" s="134">
        <f>4000/552000</f>
        <v>7.246376811594203E-3</v>
      </c>
      <c r="G43" s="134">
        <v>0</v>
      </c>
      <c r="H43" s="265">
        <v>6.7</v>
      </c>
      <c r="I43" s="266">
        <v>8.0512401319021834</v>
      </c>
      <c r="J43" s="265">
        <v>9.4</v>
      </c>
      <c r="S43" s="134">
        <f>3300/131000</f>
        <v>2.5190839694656488E-2</v>
      </c>
      <c r="T43" s="134">
        <f>1600/131000</f>
        <v>1.2213740458015267E-2</v>
      </c>
      <c r="U43" s="134">
        <v>0</v>
      </c>
      <c r="V43" s="265">
        <v>5.7</v>
      </c>
      <c r="W43" s="266">
        <v>7.1393135378711987</v>
      </c>
      <c r="X43" s="265">
        <v>8.6</v>
      </c>
      <c r="Y43" s="36"/>
      <c r="Z43" s="36"/>
      <c r="AA43" s="36"/>
      <c r="AB43" s="36"/>
      <c r="AC43" s="36"/>
    </row>
    <row r="44" spans="1:29" s="64" customFormat="1" x14ac:dyDescent="0.25">
      <c r="A44" s="9"/>
      <c r="B44" s="9"/>
      <c r="C44" s="9"/>
      <c r="D44" s="9" t="s">
        <v>201</v>
      </c>
      <c r="E44" s="134">
        <f>1/70</f>
        <v>1.4285714285714285E-2</v>
      </c>
      <c r="F44" s="134">
        <f>1/105</f>
        <v>9.5238095238095247E-3</v>
      </c>
      <c r="G44" s="134">
        <v>0</v>
      </c>
      <c r="H44" s="265">
        <v>0</v>
      </c>
      <c r="I44" s="268">
        <v>8.1999999999999993</v>
      </c>
      <c r="J44" s="265">
        <v>15.5</v>
      </c>
      <c r="S44" s="134">
        <f>1/40</f>
        <v>2.5000000000000001E-2</v>
      </c>
      <c r="T44" s="134">
        <f>1/60</f>
        <v>1.6666666666666666E-2</v>
      </c>
      <c r="U44" s="134">
        <v>0</v>
      </c>
      <c r="V44" s="265">
        <v>1.7</v>
      </c>
      <c r="W44" s="266">
        <v>8.0967743796494371</v>
      </c>
      <c r="X44" s="265">
        <v>14.5</v>
      </c>
      <c r="Y44" s="36"/>
      <c r="Z44" s="36"/>
      <c r="AA44" s="36"/>
      <c r="AB44" s="36"/>
      <c r="AC44" s="36"/>
    </row>
    <row r="45" spans="1:29" s="64" customFormat="1" x14ac:dyDescent="0.25">
      <c r="A45" s="9"/>
      <c r="B45" s="9"/>
      <c r="C45" s="9"/>
      <c r="D45" s="9" t="s">
        <v>189</v>
      </c>
      <c r="E45" s="134">
        <f>530/37000</f>
        <v>1.4324324324324324E-2</v>
      </c>
      <c r="F45" s="134">
        <f>265/37000</f>
        <v>7.1621621621621619E-3</v>
      </c>
      <c r="G45" s="134">
        <v>0</v>
      </c>
      <c r="H45" s="265">
        <v>0.3</v>
      </c>
      <c r="I45" s="268">
        <v>8.1999999999999993</v>
      </c>
      <c r="J45" s="265">
        <v>17.3</v>
      </c>
      <c r="S45" s="134">
        <f>250/10000</f>
        <v>2.5000000000000001E-2</v>
      </c>
      <c r="T45" s="134">
        <f>130/10000</f>
        <v>1.2999999999999999E-2</v>
      </c>
      <c r="U45" s="134">
        <v>0</v>
      </c>
      <c r="V45" s="265">
        <v>1.4</v>
      </c>
      <c r="W45" s="266">
        <v>7.671660512959626</v>
      </c>
      <c r="X45" s="265">
        <v>14</v>
      </c>
      <c r="Y45" s="36"/>
      <c r="Z45" s="36"/>
      <c r="AA45" s="36"/>
      <c r="AB45" s="36"/>
      <c r="AC45" s="36"/>
    </row>
    <row r="46" spans="1:29" s="64" customFormat="1" x14ac:dyDescent="0.25">
      <c r="A46" s="9"/>
      <c r="B46" s="9"/>
      <c r="C46" s="9"/>
      <c r="D46" s="9" t="s">
        <v>202</v>
      </c>
      <c r="E46" s="195">
        <f t="shared" ref="E46:J46" si="13">AVERAGE(E42,E43)</f>
        <v>1.4389233954451346E-2</v>
      </c>
      <c r="F46" s="195">
        <f t="shared" si="13"/>
        <v>8.3850931677018643E-3</v>
      </c>
      <c r="G46" s="195">
        <f t="shared" si="13"/>
        <v>0</v>
      </c>
      <c r="H46" s="208">
        <f t="shared" si="13"/>
        <v>6.5</v>
      </c>
      <c r="I46" s="208">
        <f t="shared" si="13"/>
        <v>7.7979415900630844</v>
      </c>
      <c r="J46" s="208">
        <f t="shared" si="13"/>
        <v>9.1000000000000014</v>
      </c>
      <c r="S46" s="148">
        <f t="shared" ref="S46:X46" si="14">AVERAGE(S42,S43)</f>
        <v>2.5095419847328243E-2</v>
      </c>
      <c r="T46" s="148">
        <f t="shared" si="14"/>
        <v>1.4440203562340968E-2</v>
      </c>
      <c r="U46" s="148">
        <f t="shared" si="14"/>
        <v>0</v>
      </c>
      <c r="V46" s="208">
        <f t="shared" si="14"/>
        <v>5.35</v>
      </c>
      <c r="W46" s="208">
        <f t="shared" si="14"/>
        <v>6.7700319694207094</v>
      </c>
      <c r="X46" s="208">
        <f t="shared" si="14"/>
        <v>8.1999999999999993</v>
      </c>
      <c r="Y46" s="36"/>
      <c r="Z46" s="36"/>
      <c r="AA46" s="36"/>
      <c r="AB46" s="36"/>
      <c r="AC46" s="36"/>
    </row>
    <row r="47" spans="1:29" s="64" customFormat="1" x14ac:dyDescent="0.25">
      <c r="A47" s="9"/>
      <c r="B47" s="9"/>
      <c r="C47" s="9"/>
      <c r="D47" s="9" t="s">
        <v>203</v>
      </c>
      <c r="E47" s="195">
        <f t="shared" ref="E47:J47" si="15">AVERAGE(E44,E45)</f>
        <v>1.4305019305019304E-2</v>
      </c>
      <c r="F47" s="195">
        <f t="shared" si="15"/>
        <v>8.3429858429858433E-3</v>
      </c>
      <c r="G47" s="195">
        <f t="shared" si="15"/>
        <v>0</v>
      </c>
      <c r="H47" s="208">
        <f t="shared" si="15"/>
        <v>0.15</v>
      </c>
      <c r="I47" s="208">
        <f t="shared" si="15"/>
        <v>8.1999999999999993</v>
      </c>
      <c r="J47" s="208">
        <f t="shared" si="15"/>
        <v>16.399999999999999</v>
      </c>
      <c r="S47" s="148">
        <f t="shared" ref="S47:X47" si="16">AVERAGE(S44,S45)</f>
        <v>2.5000000000000001E-2</v>
      </c>
      <c r="T47" s="148">
        <f t="shared" si="16"/>
        <v>1.4833333333333334E-2</v>
      </c>
      <c r="U47" s="148">
        <f t="shared" si="16"/>
        <v>0</v>
      </c>
      <c r="V47" s="208">
        <f t="shared" si="16"/>
        <v>1.5499999999999998</v>
      </c>
      <c r="W47" s="208">
        <f t="shared" si="16"/>
        <v>7.8842174463045316</v>
      </c>
      <c r="X47" s="208">
        <f t="shared" si="16"/>
        <v>14.25</v>
      </c>
      <c r="Y47" s="36"/>
      <c r="Z47" s="36"/>
      <c r="AA47" s="36"/>
      <c r="AB47" s="36"/>
      <c r="AC47" s="36"/>
    </row>
    <row r="48" spans="1:29" s="64" customFormat="1" x14ac:dyDescent="0.25">
      <c r="A48" s="9"/>
      <c r="B48" s="9"/>
      <c r="C48" s="9"/>
      <c r="D48" s="9" t="s">
        <v>256</v>
      </c>
      <c r="E48" s="177"/>
      <c r="F48" s="177"/>
      <c r="G48" s="177"/>
      <c r="H48" s="114"/>
      <c r="I48" s="114"/>
      <c r="J48" s="114"/>
      <c r="S48" s="15"/>
      <c r="T48" s="45"/>
      <c r="U48" s="45"/>
      <c r="V48" s="45"/>
      <c r="W48" s="45"/>
      <c r="X48" s="45"/>
      <c r="Y48" s="36"/>
      <c r="Z48" s="36"/>
      <c r="AA48" s="36"/>
      <c r="AB48" s="36"/>
      <c r="AC48" s="36"/>
    </row>
    <row r="49" spans="1:29" s="64" customFormat="1" x14ac:dyDescent="0.25">
      <c r="A49" s="9" t="s">
        <v>28</v>
      </c>
      <c r="B49" s="9" t="s">
        <v>98</v>
      </c>
      <c r="C49" s="9" t="s">
        <v>26</v>
      </c>
      <c r="D49" s="9" t="s">
        <v>200</v>
      </c>
      <c r="E49" s="134">
        <f>1/40</f>
        <v>2.5000000000000001E-2</v>
      </c>
      <c r="F49" s="134">
        <f>1/60</f>
        <v>1.6666666666666666E-2</v>
      </c>
      <c r="G49" s="134">
        <v>0</v>
      </c>
      <c r="H49" s="265">
        <v>1.3</v>
      </c>
      <c r="I49" s="266">
        <v>1.7932603094396167</v>
      </c>
      <c r="J49" s="265">
        <v>2.2999999999999998</v>
      </c>
      <c r="S49" s="134">
        <f>1/80</f>
        <v>1.2500000000000001E-2</v>
      </c>
      <c r="T49" s="134">
        <f>1/120</f>
        <v>8.3333333333333332E-3</v>
      </c>
      <c r="U49" s="134">
        <v>0</v>
      </c>
      <c r="V49" s="265">
        <v>1.1000000000000001</v>
      </c>
      <c r="W49" s="266">
        <v>1.7847414593929065</v>
      </c>
      <c r="X49" s="265">
        <v>2.5</v>
      </c>
      <c r="Y49" s="36"/>
      <c r="Z49" s="36"/>
      <c r="AA49" s="36"/>
      <c r="AB49" s="36"/>
      <c r="AC49" s="36"/>
    </row>
    <row r="50" spans="1:29" s="64" customFormat="1" x14ac:dyDescent="0.25">
      <c r="A50" s="9"/>
      <c r="B50" s="9"/>
      <c r="C50" s="162" t="s">
        <v>406</v>
      </c>
      <c r="D50" s="9" t="s">
        <v>188</v>
      </c>
      <c r="E50" s="134">
        <f>1/40</f>
        <v>2.5000000000000001E-2</v>
      </c>
      <c r="F50" s="134">
        <f>1/60</f>
        <v>1.6666666666666666E-2</v>
      </c>
      <c r="G50" s="134">
        <v>0</v>
      </c>
      <c r="H50" s="265">
        <v>0.9</v>
      </c>
      <c r="I50" s="266">
        <v>1.4521991416893569</v>
      </c>
      <c r="J50" s="265">
        <v>2</v>
      </c>
      <c r="S50" s="134">
        <f>1/80</f>
        <v>1.2500000000000001E-2</v>
      </c>
      <c r="T50" s="134">
        <f>1/120</f>
        <v>8.3333333333333332E-3</v>
      </c>
      <c r="U50" s="134">
        <v>0</v>
      </c>
      <c r="V50" s="265">
        <v>1</v>
      </c>
      <c r="W50" s="266">
        <v>1.7675194484938013</v>
      </c>
      <c r="X50" s="265">
        <v>2.5</v>
      </c>
      <c r="Y50" s="36"/>
      <c r="Z50" s="36"/>
      <c r="AA50" s="36"/>
      <c r="AB50" s="36"/>
      <c r="AC50" s="36"/>
    </row>
    <row r="51" spans="1:29" s="64" customFormat="1" x14ac:dyDescent="0.25">
      <c r="A51" s="9"/>
      <c r="B51" s="9"/>
      <c r="C51" s="9"/>
      <c r="D51" s="9" t="s">
        <v>201</v>
      </c>
      <c r="E51" s="134">
        <f>1/40</f>
        <v>2.5000000000000001E-2</v>
      </c>
      <c r="F51" s="134">
        <f>1/60</f>
        <v>1.6666666666666666E-2</v>
      </c>
      <c r="G51" s="134">
        <v>0</v>
      </c>
      <c r="H51" s="265">
        <v>2</v>
      </c>
      <c r="I51" s="268">
        <v>4.9000000000000004</v>
      </c>
      <c r="J51" s="265">
        <v>8.1999999999999993</v>
      </c>
      <c r="S51" s="134">
        <f>1/80</f>
        <v>1.2500000000000001E-2</v>
      </c>
      <c r="T51" s="134">
        <f>1/120</f>
        <v>8.3333333333333332E-3</v>
      </c>
      <c r="U51" s="134">
        <v>0</v>
      </c>
      <c r="V51" s="265">
        <v>1.7</v>
      </c>
      <c r="W51" s="266">
        <v>4.8722309300238384</v>
      </c>
      <c r="X51" s="265">
        <v>8.1</v>
      </c>
      <c r="Y51" s="36"/>
      <c r="Z51" s="36"/>
      <c r="AA51" s="36"/>
      <c r="AB51" s="36"/>
      <c r="AC51" s="36"/>
    </row>
    <row r="52" spans="1:29" s="64" customFormat="1" x14ac:dyDescent="0.25">
      <c r="A52" s="9"/>
      <c r="B52" s="9"/>
      <c r="C52" s="9"/>
      <c r="D52" s="9" t="s">
        <v>189</v>
      </c>
      <c r="E52" s="134">
        <f>1/40</f>
        <v>2.5000000000000001E-2</v>
      </c>
      <c r="F52" s="134">
        <f>1/60</f>
        <v>1.6666666666666666E-2</v>
      </c>
      <c r="G52" s="134">
        <v>0</v>
      </c>
      <c r="H52" s="265">
        <v>1.3</v>
      </c>
      <c r="I52" s="268">
        <v>4.9000000000000004</v>
      </c>
      <c r="J52" s="265">
        <v>7.9</v>
      </c>
      <c r="S52" s="134">
        <f>1/80</f>
        <v>1.2500000000000001E-2</v>
      </c>
      <c r="T52" s="134">
        <f>1/120</f>
        <v>8.3333333333333332E-3</v>
      </c>
      <c r="U52" s="134">
        <v>0</v>
      </c>
      <c r="V52" s="265">
        <v>0.4</v>
      </c>
      <c r="W52" s="266">
        <v>3.5700749790583761</v>
      </c>
      <c r="X52" s="265">
        <v>6.7</v>
      </c>
      <c r="Y52" s="36"/>
      <c r="Z52" s="36"/>
      <c r="AA52" s="36"/>
      <c r="AB52" s="36"/>
      <c r="AC52" s="36"/>
    </row>
    <row r="53" spans="1:29" s="64" customFormat="1" x14ac:dyDescent="0.25">
      <c r="A53" s="9"/>
      <c r="B53" s="9"/>
      <c r="C53" s="9"/>
      <c r="D53" s="9" t="s">
        <v>202</v>
      </c>
      <c r="E53" s="195">
        <f t="shared" ref="E53:J53" si="17">AVERAGE(E49,E50)</f>
        <v>2.5000000000000001E-2</v>
      </c>
      <c r="F53" s="195">
        <f t="shared" si="17"/>
        <v>1.6666666666666666E-2</v>
      </c>
      <c r="G53" s="195">
        <f t="shared" si="17"/>
        <v>0</v>
      </c>
      <c r="H53" s="208">
        <f t="shared" si="17"/>
        <v>1.1000000000000001</v>
      </c>
      <c r="I53" s="208">
        <f t="shared" si="17"/>
        <v>1.6227297255644868</v>
      </c>
      <c r="J53" s="208">
        <f t="shared" si="17"/>
        <v>2.15</v>
      </c>
      <c r="S53" s="148">
        <f t="shared" ref="S53:X53" si="18">AVERAGE(S49,S50)</f>
        <v>1.2500000000000001E-2</v>
      </c>
      <c r="T53" s="148">
        <f t="shared" si="18"/>
        <v>8.3333333333333332E-3</v>
      </c>
      <c r="U53" s="148">
        <f t="shared" si="18"/>
        <v>0</v>
      </c>
      <c r="V53" s="208">
        <f t="shared" si="18"/>
        <v>1.05</v>
      </c>
      <c r="W53" s="208">
        <f t="shared" si="18"/>
        <v>1.7761304539433538</v>
      </c>
      <c r="X53" s="208">
        <f t="shared" si="18"/>
        <v>2.5</v>
      </c>
      <c r="Y53" s="36"/>
      <c r="Z53" s="36"/>
      <c r="AA53" s="36"/>
      <c r="AB53" s="36"/>
      <c r="AC53" s="36"/>
    </row>
    <row r="54" spans="1:29" s="64" customFormat="1" x14ac:dyDescent="0.25">
      <c r="A54" s="9"/>
      <c r="B54" s="9"/>
      <c r="C54" s="9"/>
      <c r="D54" s="9" t="s">
        <v>203</v>
      </c>
      <c r="E54" s="195">
        <f t="shared" ref="E54:J54" si="19">AVERAGE(E51,E52)</f>
        <v>2.5000000000000001E-2</v>
      </c>
      <c r="F54" s="195">
        <f t="shared" si="19"/>
        <v>1.6666666666666666E-2</v>
      </c>
      <c r="G54" s="195">
        <f t="shared" si="19"/>
        <v>0</v>
      </c>
      <c r="H54" s="208">
        <f t="shared" si="19"/>
        <v>1.65</v>
      </c>
      <c r="I54" s="208">
        <f t="shared" si="19"/>
        <v>4.9000000000000004</v>
      </c>
      <c r="J54" s="208">
        <f t="shared" si="19"/>
        <v>8.0500000000000007</v>
      </c>
      <c r="S54" s="148">
        <f t="shared" ref="S54:X54" si="20">AVERAGE(S51,S52)</f>
        <v>1.2500000000000001E-2</v>
      </c>
      <c r="T54" s="148">
        <f t="shared" si="20"/>
        <v>8.3333333333333332E-3</v>
      </c>
      <c r="U54" s="148">
        <f t="shared" si="20"/>
        <v>0</v>
      </c>
      <c r="V54" s="208">
        <f t="shared" si="20"/>
        <v>1.05</v>
      </c>
      <c r="W54" s="208">
        <f t="shared" si="20"/>
        <v>4.2211529545411075</v>
      </c>
      <c r="X54" s="208">
        <f t="shared" si="20"/>
        <v>7.4</v>
      </c>
      <c r="Y54" s="36"/>
      <c r="Z54" s="36"/>
      <c r="AA54" s="36"/>
      <c r="AB54" s="36"/>
      <c r="AC54" s="36"/>
    </row>
    <row r="55" spans="1:29" s="64" customFormat="1" x14ac:dyDescent="0.25">
      <c r="A55" s="9"/>
      <c r="B55" s="9"/>
      <c r="C55" s="9"/>
      <c r="D55" s="9" t="s">
        <v>256</v>
      </c>
      <c r="E55" s="177"/>
      <c r="F55" s="204"/>
      <c r="G55" s="204"/>
      <c r="H55" s="114"/>
      <c r="I55" s="114"/>
      <c r="J55" s="114"/>
      <c r="S55" s="15"/>
      <c r="T55" s="45"/>
      <c r="U55" s="45"/>
      <c r="V55" s="45"/>
      <c r="W55" s="45"/>
      <c r="X55" s="45"/>
      <c r="Y55" s="36"/>
      <c r="Z55" s="36"/>
      <c r="AA55" s="36"/>
      <c r="AB55" s="36"/>
      <c r="AC55" s="36"/>
    </row>
    <row r="56" spans="1:29" s="64" customFormat="1" x14ac:dyDescent="0.25">
      <c r="A56" s="162" t="s">
        <v>321</v>
      </c>
      <c r="B56" s="9" t="s">
        <v>322</v>
      </c>
      <c r="C56" s="9" t="s">
        <v>26</v>
      </c>
      <c r="D56" s="9" t="s">
        <v>200</v>
      </c>
      <c r="E56" s="149">
        <f>1/80</f>
        <v>1.2500000000000001E-2</v>
      </c>
      <c r="F56" s="149">
        <f>1/120</f>
        <v>8.3333333333333332E-3</v>
      </c>
      <c r="G56" s="150">
        <v>0</v>
      </c>
      <c r="H56" s="265">
        <v>1.6</v>
      </c>
      <c r="I56" s="266">
        <v>2.0970391293119706</v>
      </c>
      <c r="J56" s="265">
        <v>2.6</v>
      </c>
      <c r="S56" s="149">
        <f>1/80</f>
        <v>1.2500000000000001E-2</v>
      </c>
      <c r="T56" s="149">
        <f>1/120</f>
        <v>8.3333333333333332E-3</v>
      </c>
      <c r="U56" s="150">
        <f>0</f>
        <v>0</v>
      </c>
      <c r="V56" s="265">
        <v>1.1000000000000001</v>
      </c>
      <c r="W56" s="266">
        <v>1.7323733407468345</v>
      </c>
      <c r="X56" s="265">
        <v>2.4</v>
      </c>
      <c r="Y56" s="36"/>
      <c r="Z56" s="36"/>
      <c r="AA56" s="36"/>
      <c r="AB56" s="36"/>
      <c r="AC56" s="36"/>
    </row>
    <row r="57" spans="1:29" s="64" customFormat="1" x14ac:dyDescent="0.25">
      <c r="A57" s="162" t="s">
        <v>376</v>
      </c>
      <c r="B57" s="9"/>
      <c r="C57" s="162" t="s">
        <v>406</v>
      </c>
      <c r="D57" s="9" t="s">
        <v>188</v>
      </c>
      <c r="E57" s="149">
        <f>1/80</f>
        <v>1.2500000000000001E-2</v>
      </c>
      <c r="F57" s="149">
        <f>1/120</f>
        <v>8.3333333333333332E-3</v>
      </c>
      <c r="G57" s="150">
        <v>0</v>
      </c>
      <c r="H57" s="265">
        <v>1.3</v>
      </c>
      <c r="I57" s="266">
        <v>1.7623621827422369</v>
      </c>
      <c r="J57" s="265">
        <v>2.2999999999999998</v>
      </c>
      <c r="S57" s="149">
        <f>1/80</f>
        <v>1.2500000000000001E-2</v>
      </c>
      <c r="T57" s="149">
        <f>1/120</f>
        <v>8.3333333333333332E-3</v>
      </c>
      <c r="U57" s="150">
        <f>0</f>
        <v>0</v>
      </c>
      <c r="V57" s="265">
        <v>1</v>
      </c>
      <c r="W57" s="266">
        <v>1.7442601078164248</v>
      </c>
      <c r="X57" s="265">
        <v>2.5</v>
      </c>
      <c r="Y57" s="36"/>
      <c r="Z57" s="36"/>
      <c r="AA57" s="36"/>
      <c r="AB57" s="36"/>
      <c r="AC57" s="36"/>
    </row>
    <row r="58" spans="1:29" s="64" customFormat="1" x14ac:dyDescent="0.25">
      <c r="A58" s="9"/>
      <c r="B58" s="9"/>
      <c r="C58" s="9"/>
      <c r="D58" s="9" t="s">
        <v>201</v>
      </c>
      <c r="E58" s="149">
        <f>1/80</f>
        <v>1.2500000000000001E-2</v>
      </c>
      <c r="F58" s="149">
        <f>1/120</f>
        <v>8.3333333333333332E-3</v>
      </c>
      <c r="G58" s="150">
        <v>0</v>
      </c>
      <c r="H58" s="265">
        <v>1.1000000000000001</v>
      </c>
      <c r="I58" s="268">
        <v>4</v>
      </c>
      <c r="J58" s="265">
        <v>7</v>
      </c>
      <c r="S58" s="149">
        <f>1/80</f>
        <v>1.2500000000000001E-2</v>
      </c>
      <c r="T58" s="149">
        <f>1/120</f>
        <v>8.3333333333333332E-3</v>
      </c>
      <c r="U58" s="150">
        <f>0</f>
        <v>0</v>
      </c>
      <c r="V58" s="265">
        <v>1.5</v>
      </c>
      <c r="W58" s="266">
        <v>4.671561876399327</v>
      </c>
      <c r="X58" s="265">
        <v>7.8</v>
      </c>
      <c r="Y58" s="36"/>
      <c r="Z58" s="36"/>
      <c r="AA58" s="36"/>
      <c r="AB58" s="36"/>
      <c r="AC58" s="36"/>
    </row>
    <row r="59" spans="1:29" s="64" customFormat="1" x14ac:dyDescent="0.25">
      <c r="A59" s="9"/>
      <c r="B59" s="9"/>
      <c r="C59" s="9"/>
      <c r="D59" s="9" t="s">
        <v>189</v>
      </c>
      <c r="E59" s="149">
        <f>1/80</f>
        <v>1.2500000000000001E-2</v>
      </c>
      <c r="F59" s="149">
        <f>1/120</f>
        <v>8.3333333333333332E-3</v>
      </c>
      <c r="G59" s="150">
        <v>0</v>
      </c>
      <c r="H59" s="265">
        <v>0.6</v>
      </c>
      <c r="I59" s="268">
        <v>4</v>
      </c>
      <c r="J59" s="265">
        <v>7.1</v>
      </c>
      <c r="S59" s="149">
        <f>1/80</f>
        <v>1.2500000000000001E-2</v>
      </c>
      <c r="T59" s="149">
        <f>1/120</f>
        <v>8.3333333333333332E-3</v>
      </c>
      <c r="U59" s="150">
        <f>0</f>
        <v>0</v>
      </c>
      <c r="V59" s="265">
        <v>0.7</v>
      </c>
      <c r="W59" s="266">
        <v>3.7960322337667045</v>
      </c>
      <c r="X59" s="265">
        <v>6.9</v>
      </c>
      <c r="Y59" s="36"/>
      <c r="Z59" s="36"/>
      <c r="AA59" s="36"/>
      <c r="AB59" s="36"/>
      <c r="AC59" s="36"/>
    </row>
    <row r="60" spans="1:29" s="64" customFormat="1" x14ac:dyDescent="0.25">
      <c r="A60" s="9"/>
      <c r="B60" s="9"/>
      <c r="C60" s="9"/>
      <c r="D60" s="9" t="s">
        <v>202</v>
      </c>
      <c r="E60" s="195">
        <f t="shared" ref="E60:J60" si="21">AVERAGE(E56,E57)</f>
        <v>1.2500000000000001E-2</v>
      </c>
      <c r="F60" s="195">
        <f t="shared" si="21"/>
        <v>8.3333333333333332E-3</v>
      </c>
      <c r="G60" s="195">
        <f t="shared" si="21"/>
        <v>0</v>
      </c>
      <c r="H60" s="208">
        <f t="shared" si="21"/>
        <v>1.4500000000000002</v>
      </c>
      <c r="I60" s="208">
        <f t="shared" si="21"/>
        <v>1.9297006560271037</v>
      </c>
      <c r="J60" s="208">
        <f t="shared" si="21"/>
        <v>2.4500000000000002</v>
      </c>
      <c r="S60" s="148">
        <f t="shared" ref="S60:X60" si="22">AVERAGE(S56,S57)</f>
        <v>1.2500000000000001E-2</v>
      </c>
      <c r="T60" s="148">
        <f t="shared" si="22"/>
        <v>8.3333333333333332E-3</v>
      </c>
      <c r="U60" s="148">
        <f t="shared" si="22"/>
        <v>0</v>
      </c>
      <c r="V60" s="208">
        <f t="shared" si="22"/>
        <v>1.05</v>
      </c>
      <c r="W60" s="208">
        <f t="shared" si="22"/>
        <v>1.7383167242816295</v>
      </c>
      <c r="X60" s="208">
        <f t="shared" si="22"/>
        <v>2.4500000000000002</v>
      </c>
      <c r="Y60" s="36"/>
      <c r="Z60" s="36"/>
      <c r="AA60" s="36"/>
      <c r="AB60" s="36"/>
      <c r="AC60" s="36"/>
    </row>
    <row r="61" spans="1:29" s="64" customFormat="1" x14ac:dyDescent="0.25">
      <c r="A61" s="9"/>
      <c r="B61" s="9"/>
      <c r="C61" s="9"/>
      <c r="D61" s="9" t="s">
        <v>203</v>
      </c>
      <c r="E61" s="195">
        <f t="shared" ref="E61:J61" si="23">AVERAGE(E58,E59)</f>
        <v>1.2500000000000001E-2</v>
      </c>
      <c r="F61" s="195">
        <f t="shared" si="23"/>
        <v>8.3333333333333332E-3</v>
      </c>
      <c r="G61" s="195">
        <f t="shared" si="23"/>
        <v>0</v>
      </c>
      <c r="H61" s="208">
        <f t="shared" si="23"/>
        <v>0.85000000000000009</v>
      </c>
      <c r="I61" s="208">
        <f t="shared" si="23"/>
        <v>4</v>
      </c>
      <c r="J61" s="208">
        <f t="shared" si="23"/>
        <v>7.05</v>
      </c>
      <c r="S61" s="148">
        <f t="shared" ref="S61:X61" si="24">AVERAGE(S58,S59)</f>
        <v>1.2500000000000001E-2</v>
      </c>
      <c r="T61" s="148">
        <f t="shared" si="24"/>
        <v>8.3333333333333332E-3</v>
      </c>
      <c r="U61" s="148">
        <f t="shared" si="24"/>
        <v>0</v>
      </c>
      <c r="V61" s="208">
        <f t="shared" si="24"/>
        <v>1.1000000000000001</v>
      </c>
      <c r="W61" s="208">
        <f t="shared" si="24"/>
        <v>4.2337970550830155</v>
      </c>
      <c r="X61" s="208">
        <f t="shared" si="24"/>
        <v>7.35</v>
      </c>
      <c r="Y61" s="36"/>
      <c r="Z61" s="36"/>
      <c r="AA61" s="36"/>
      <c r="AB61" s="36"/>
      <c r="AC61" s="36"/>
    </row>
    <row r="62" spans="1:29" s="64" customFormat="1" x14ac:dyDescent="0.25">
      <c r="A62" s="9"/>
      <c r="B62" s="9"/>
      <c r="C62" s="9"/>
      <c r="D62" s="9" t="s">
        <v>256</v>
      </c>
      <c r="E62" s="177"/>
      <c r="F62" s="204"/>
      <c r="G62" s="204"/>
      <c r="H62" s="114"/>
      <c r="I62" s="114"/>
      <c r="J62" s="114"/>
      <c r="S62" s="15"/>
      <c r="T62" s="45"/>
      <c r="U62" s="45"/>
      <c r="V62" s="45"/>
      <c r="W62" s="45"/>
      <c r="X62" s="45"/>
      <c r="Y62" s="36"/>
      <c r="Z62" s="36"/>
      <c r="AA62" s="36"/>
      <c r="AB62" s="36"/>
      <c r="AC62" s="36"/>
    </row>
    <row r="63" spans="1:29" s="64" customFormat="1" x14ac:dyDescent="0.25">
      <c r="A63" s="9" t="s">
        <v>85</v>
      </c>
      <c r="B63" s="64" t="s">
        <v>96</v>
      </c>
      <c r="C63" s="9" t="s">
        <v>26</v>
      </c>
      <c r="D63" s="9" t="s">
        <v>200</v>
      </c>
      <c r="E63" s="134">
        <f>1/10</f>
        <v>0.1</v>
      </c>
      <c r="F63" s="134">
        <f>1/15</f>
        <v>6.6666666666666666E-2</v>
      </c>
      <c r="G63" s="134">
        <f>1/20</f>
        <v>0.05</v>
      </c>
      <c r="H63" s="265">
        <v>1</v>
      </c>
      <c r="I63" s="266">
        <v>1.643828426624993</v>
      </c>
      <c r="J63" s="265">
        <v>2.2999999999999998</v>
      </c>
      <c r="S63" s="134">
        <f>1/11</f>
        <v>9.0909090909090912E-2</v>
      </c>
      <c r="T63" s="134">
        <f>1/15</f>
        <v>6.6666666666666666E-2</v>
      </c>
      <c r="U63" s="134">
        <f>1/20</f>
        <v>0.05</v>
      </c>
      <c r="V63" s="265">
        <v>0.8</v>
      </c>
      <c r="W63" s="266">
        <v>1.4336579106089959</v>
      </c>
      <c r="X63" s="265">
        <v>2.1</v>
      </c>
      <c r="Y63" s="36"/>
      <c r="Z63" s="36"/>
      <c r="AA63" s="36"/>
      <c r="AB63" s="36"/>
      <c r="AC63" s="36"/>
    </row>
    <row r="64" spans="1:29" s="64" customFormat="1" x14ac:dyDescent="0.25">
      <c r="A64" s="9"/>
      <c r="C64" s="9" t="s">
        <v>407</v>
      </c>
      <c r="D64" s="9" t="s">
        <v>188</v>
      </c>
      <c r="E64" s="134">
        <f>56100/552000</f>
        <v>0.10163043478260869</v>
      </c>
      <c r="F64" s="134">
        <f>28100/552000</f>
        <v>5.0905797101449275E-2</v>
      </c>
      <c r="G64" s="134">
        <f>14000/552000</f>
        <v>2.5362318840579712E-2</v>
      </c>
      <c r="H64" s="265">
        <v>0.8</v>
      </c>
      <c r="I64" s="266">
        <v>1.4915265469148589</v>
      </c>
      <c r="J64" s="265">
        <v>2.2000000000000002</v>
      </c>
      <c r="S64" s="134">
        <f>12200/131000</f>
        <v>9.3129770992366412E-2</v>
      </c>
      <c r="T64" s="134">
        <f>6100/131000</f>
        <v>4.6564885496183206E-2</v>
      </c>
      <c r="U64" s="134">
        <f>3000/131000</f>
        <v>2.2900763358778626E-2</v>
      </c>
      <c r="V64" s="265">
        <v>1</v>
      </c>
      <c r="W64" s="266">
        <v>1.7042050307334906</v>
      </c>
      <c r="X64" s="265">
        <v>2.4</v>
      </c>
      <c r="Y64" s="36"/>
      <c r="Z64" s="36"/>
      <c r="AA64" s="36"/>
      <c r="AB64" s="36"/>
      <c r="AC64" s="36"/>
    </row>
    <row r="65" spans="1:29" s="64" customFormat="1" x14ac:dyDescent="0.25">
      <c r="A65" s="9"/>
      <c r="C65" s="9"/>
      <c r="D65" s="9" t="s">
        <v>201</v>
      </c>
      <c r="E65" s="134">
        <f>1/10</f>
        <v>0.1</v>
      </c>
      <c r="F65" s="134">
        <f>1/15</f>
        <v>6.6666666666666666E-2</v>
      </c>
      <c r="G65" s="134">
        <f>1/20</f>
        <v>0.05</v>
      </c>
      <c r="H65" s="265">
        <v>1.5</v>
      </c>
      <c r="I65" s="268">
        <v>5.8</v>
      </c>
      <c r="J65" s="265">
        <v>9.6</v>
      </c>
      <c r="S65" s="134">
        <f>1/11</f>
        <v>9.0909090909090912E-2</v>
      </c>
      <c r="T65" s="134">
        <f>1/15</f>
        <v>6.6666666666666666E-2</v>
      </c>
      <c r="U65" s="134">
        <f>1/20</f>
        <v>0.05</v>
      </c>
      <c r="V65" s="265">
        <v>0.6</v>
      </c>
      <c r="W65" s="266">
        <v>3.7615427203831526</v>
      </c>
      <c r="X65" s="265">
        <v>6.9</v>
      </c>
      <c r="Y65" s="36"/>
      <c r="Z65" s="36"/>
      <c r="AA65" s="36"/>
      <c r="AB65" s="36"/>
      <c r="AC65" s="36"/>
    </row>
    <row r="66" spans="1:29" s="64" customFormat="1" x14ac:dyDescent="0.25">
      <c r="A66" s="9"/>
      <c r="C66" s="9"/>
      <c r="D66" s="9" t="s">
        <v>189</v>
      </c>
      <c r="E66" s="134">
        <f>3760/37000</f>
        <v>0.10162162162162162</v>
      </c>
      <c r="F66" s="134">
        <f>1880/37000</f>
        <v>5.0810810810810812E-2</v>
      </c>
      <c r="G66" s="134">
        <f>940/37000</f>
        <v>2.5405405405405406E-2</v>
      </c>
      <c r="H66" s="265">
        <v>1.7</v>
      </c>
      <c r="I66" s="268">
        <v>5.8</v>
      </c>
      <c r="J66" s="265">
        <v>10.5</v>
      </c>
      <c r="S66" s="134">
        <f>930/10000</f>
        <v>9.2999999999999999E-2</v>
      </c>
      <c r="T66" s="134">
        <f>460/10000</f>
        <v>4.5999999999999999E-2</v>
      </c>
      <c r="U66" s="134">
        <f>230/10000</f>
        <v>2.3E-2</v>
      </c>
      <c r="V66" s="265">
        <v>0.7</v>
      </c>
      <c r="W66" s="266">
        <v>3.7386808016780564</v>
      </c>
      <c r="X66" s="265">
        <v>6.8</v>
      </c>
      <c r="Y66" s="36"/>
      <c r="Z66" s="36"/>
      <c r="AA66" s="36"/>
      <c r="AB66" s="36"/>
      <c r="AC66" s="36"/>
    </row>
    <row r="67" spans="1:29" s="64" customFormat="1" x14ac:dyDescent="0.25">
      <c r="A67" s="9"/>
      <c r="C67" s="9"/>
      <c r="D67" s="9" t="s">
        <v>202</v>
      </c>
      <c r="E67" s="195">
        <f t="shared" ref="E67:J67" si="25">AVERAGE(E63,E64)</f>
        <v>0.10081521739130435</v>
      </c>
      <c r="F67" s="195">
        <f t="shared" si="25"/>
        <v>5.8786231884057974E-2</v>
      </c>
      <c r="G67" s="195">
        <f t="shared" si="25"/>
        <v>3.7681159420289857E-2</v>
      </c>
      <c r="H67" s="208">
        <f t="shared" si="25"/>
        <v>0.9</v>
      </c>
      <c r="I67" s="208">
        <f t="shared" si="25"/>
        <v>1.5676774867699259</v>
      </c>
      <c r="J67" s="208">
        <f t="shared" si="25"/>
        <v>2.25</v>
      </c>
      <c r="S67" s="148">
        <f t="shared" ref="S67:X67" si="26">AVERAGE(S63,S64)</f>
        <v>9.2019430950728662E-2</v>
      </c>
      <c r="T67" s="148">
        <f t="shared" si="26"/>
        <v>5.6615776081424936E-2</v>
      </c>
      <c r="U67" s="148">
        <f t="shared" si="26"/>
        <v>3.6450381679389313E-2</v>
      </c>
      <c r="V67" s="208">
        <f t="shared" si="26"/>
        <v>0.9</v>
      </c>
      <c r="W67" s="208">
        <f t="shared" si="26"/>
        <v>1.5689314706712434</v>
      </c>
      <c r="X67" s="208">
        <f t="shared" si="26"/>
        <v>2.25</v>
      </c>
      <c r="Y67" s="36"/>
      <c r="Z67" s="36"/>
      <c r="AA67" s="36"/>
      <c r="AB67" s="36"/>
      <c r="AC67" s="36"/>
    </row>
    <row r="68" spans="1:29" s="64" customFormat="1" x14ac:dyDescent="0.25">
      <c r="A68" s="9"/>
      <c r="C68" s="9"/>
      <c r="D68" s="9" t="s">
        <v>203</v>
      </c>
      <c r="E68" s="195">
        <f t="shared" ref="E68:J68" si="27">AVERAGE(E65,E66)</f>
        <v>0.10081081081081081</v>
      </c>
      <c r="F68" s="195">
        <f t="shared" si="27"/>
        <v>5.8738738738738736E-2</v>
      </c>
      <c r="G68" s="195">
        <f t="shared" si="27"/>
        <v>3.7702702702702706E-2</v>
      </c>
      <c r="H68" s="208">
        <f t="shared" si="27"/>
        <v>1.6</v>
      </c>
      <c r="I68" s="208">
        <f t="shared" si="27"/>
        <v>5.8</v>
      </c>
      <c r="J68" s="208">
        <f t="shared" si="27"/>
        <v>10.050000000000001</v>
      </c>
      <c r="S68" s="148">
        <f t="shared" ref="S68:X68" si="28">AVERAGE(S65,S66)</f>
        <v>9.1954545454545455E-2</v>
      </c>
      <c r="T68" s="148">
        <f t="shared" si="28"/>
        <v>5.6333333333333332E-2</v>
      </c>
      <c r="U68" s="148">
        <f t="shared" si="28"/>
        <v>3.6500000000000005E-2</v>
      </c>
      <c r="V68" s="208">
        <f t="shared" si="28"/>
        <v>0.64999999999999991</v>
      </c>
      <c r="W68" s="208">
        <f t="shared" si="28"/>
        <v>3.7501117610306043</v>
      </c>
      <c r="X68" s="208">
        <f t="shared" si="28"/>
        <v>6.85</v>
      </c>
      <c r="Y68" s="36"/>
      <c r="Z68" s="36"/>
      <c r="AA68" s="36"/>
      <c r="AB68" s="36"/>
      <c r="AC68" s="36"/>
    </row>
    <row r="69" spans="1:29" s="64" customFormat="1" x14ac:dyDescent="0.25">
      <c r="A69" s="9"/>
      <c r="C69" s="9"/>
      <c r="D69" s="9" t="s">
        <v>256</v>
      </c>
      <c r="E69" s="177"/>
      <c r="F69" s="177"/>
      <c r="G69" s="177"/>
      <c r="H69" s="114"/>
      <c r="I69" s="114"/>
      <c r="J69" s="114"/>
      <c r="S69" s="15"/>
      <c r="T69" s="45"/>
      <c r="U69" s="45"/>
      <c r="V69" s="45"/>
      <c r="W69" s="45"/>
      <c r="X69" s="45"/>
      <c r="Y69" s="36"/>
      <c r="Z69" s="36"/>
      <c r="AA69" s="36"/>
      <c r="AB69" s="36"/>
      <c r="AC69" s="36"/>
    </row>
    <row r="70" spans="1:29" s="64" customFormat="1" x14ac:dyDescent="0.25">
      <c r="A70" s="9" t="s">
        <v>84</v>
      </c>
      <c r="B70" s="9" t="s">
        <v>95</v>
      </c>
      <c r="C70" s="9" t="s">
        <v>26</v>
      </c>
      <c r="D70" s="9" t="s">
        <v>200</v>
      </c>
      <c r="E70" s="134">
        <f>1/80</f>
        <v>1.2500000000000001E-2</v>
      </c>
      <c r="F70" s="134">
        <f>1/120</f>
        <v>8.3333333333333332E-3</v>
      </c>
      <c r="G70" s="134">
        <v>0</v>
      </c>
      <c r="H70" s="265">
        <v>5.4</v>
      </c>
      <c r="I70" s="266">
        <v>6.539773793414243</v>
      </c>
      <c r="J70" s="265">
        <v>7.7</v>
      </c>
      <c r="S70" s="134">
        <f>1/80</f>
        <v>1.2500000000000001E-2</v>
      </c>
      <c r="T70" s="134">
        <f>1/120</f>
        <v>8.3333333333333332E-3</v>
      </c>
      <c r="U70" s="134">
        <v>0</v>
      </c>
      <c r="V70" s="265">
        <v>3.6</v>
      </c>
      <c r="W70" s="266">
        <v>4.8270857384869217</v>
      </c>
      <c r="X70" s="265">
        <v>6.1</v>
      </c>
      <c r="Y70" s="36"/>
      <c r="Z70" s="36"/>
      <c r="AA70" s="36"/>
      <c r="AB70" s="36"/>
      <c r="AC70" s="36"/>
    </row>
    <row r="71" spans="1:29" s="64" customFormat="1" x14ac:dyDescent="0.25">
      <c r="A71" s="9"/>
      <c r="B71" s="9"/>
      <c r="C71" s="9"/>
      <c r="D71" s="9" t="s">
        <v>188</v>
      </c>
      <c r="E71" s="134">
        <f>1/80</f>
        <v>1.2500000000000001E-2</v>
      </c>
      <c r="F71" s="134">
        <f>1/120</f>
        <v>8.3333333333333332E-3</v>
      </c>
      <c r="G71" s="134">
        <v>0</v>
      </c>
      <c r="H71" s="265">
        <v>3.4</v>
      </c>
      <c r="I71" s="266">
        <v>4.6332282008555259</v>
      </c>
      <c r="J71" s="265">
        <v>5.8</v>
      </c>
      <c r="S71" s="134">
        <f>1/80</f>
        <v>1.2500000000000001E-2</v>
      </c>
      <c r="T71" s="134">
        <f>1/120</f>
        <v>8.3333333333333332E-3</v>
      </c>
      <c r="U71" s="134">
        <v>0</v>
      </c>
      <c r="V71" s="265">
        <v>2.2000000000000002</v>
      </c>
      <c r="W71" s="266">
        <v>3.547763520481686</v>
      </c>
      <c r="X71" s="265">
        <v>4.9000000000000004</v>
      </c>
      <c r="Y71" s="36"/>
      <c r="Z71" s="36"/>
      <c r="AA71" s="36"/>
      <c r="AB71" s="36"/>
      <c r="AC71" s="36"/>
    </row>
    <row r="72" spans="1:29" s="64" customFormat="1" x14ac:dyDescent="0.25">
      <c r="A72" s="9"/>
      <c r="B72" s="9"/>
      <c r="C72" s="9"/>
      <c r="D72" s="9" t="s">
        <v>201</v>
      </c>
      <c r="E72" s="134">
        <f>1/80</f>
        <v>1.2500000000000001E-2</v>
      </c>
      <c r="F72" s="134">
        <f>1/120</f>
        <v>8.3333333333333332E-3</v>
      </c>
      <c r="G72" s="134">
        <v>0</v>
      </c>
      <c r="H72" s="265">
        <v>0</v>
      </c>
      <c r="I72" s="268">
        <v>5.4</v>
      </c>
      <c r="J72" s="265">
        <v>12.8</v>
      </c>
      <c r="S72" s="134">
        <f>1/80</f>
        <v>1.2500000000000001E-2</v>
      </c>
      <c r="T72" s="134">
        <f>1/120</f>
        <v>8.3333333333333332E-3</v>
      </c>
      <c r="U72" s="134">
        <v>0</v>
      </c>
      <c r="V72" s="265">
        <v>0</v>
      </c>
      <c r="W72" s="266">
        <v>3.9220077207686401</v>
      </c>
      <c r="X72" s="265">
        <v>9.8000000000000007</v>
      </c>
      <c r="Y72" s="36"/>
      <c r="Z72" s="36"/>
      <c r="AA72" s="36"/>
      <c r="AB72" s="36"/>
      <c r="AC72" s="36"/>
    </row>
    <row r="73" spans="1:29" s="64" customFormat="1" x14ac:dyDescent="0.25">
      <c r="A73" s="9"/>
      <c r="B73" s="9"/>
      <c r="C73" s="9"/>
      <c r="D73" s="9" t="s">
        <v>189</v>
      </c>
      <c r="E73" s="134">
        <f>1/80</f>
        <v>1.2500000000000001E-2</v>
      </c>
      <c r="F73" s="134">
        <f>1/120</f>
        <v>8.3333333333333332E-3</v>
      </c>
      <c r="G73" s="134">
        <v>0</v>
      </c>
      <c r="H73" s="265">
        <v>0</v>
      </c>
      <c r="I73" s="268">
        <v>5.4</v>
      </c>
      <c r="J73" s="265">
        <v>13</v>
      </c>
      <c r="S73" s="134">
        <f>1/80</f>
        <v>1.2500000000000001E-2</v>
      </c>
      <c r="T73" s="134">
        <f>1/120</f>
        <v>8.3333333333333332E-3</v>
      </c>
      <c r="U73" s="134">
        <v>0</v>
      </c>
      <c r="V73" s="265">
        <v>0</v>
      </c>
      <c r="W73" s="266">
        <v>4.8461469754288817</v>
      </c>
      <c r="X73" s="265">
        <v>10.6</v>
      </c>
      <c r="Y73" s="36"/>
      <c r="Z73" s="36"/>
      <c r="AA73" s="36"/>
      <c r="AB73" s="36"/>
      <c r="AC73" s="36"/>
    </row>
    <row r="74" spans="1:29" s="64" customFormat="1" x14ac:dyDescent="0.25">
      <c r="A74" s="9"/>
      <c r="B74" s="9"/>
      <c r="C74" s="9"/>
      <c r="D74" s="9" t="s">
        <v>202</v>
      </c>
      <c r="E74" s="195">
        <f t="shared" ref="E74:J74" si="29">AVERAGE(E70,E71)</f>
        <v>1.2500000000000001E-2</v>
      </c>
      <c r="F74" s="195">
        <f t="shared" si="29"/>
        <v>8.3333333333333332E-3</v>
      </c>
      <c r="G74" s="195">
        <f t="shared" si="29"/>
        <v>0</v>
      </c>
      <c r="H74" s="208">
        <f t="shared" si="29"/>
        <v>4.4000000000000004</v>
      </c>
      <c r="I74" s="208">
        <f t="shared" si="29"/>
        <v>5.586500997134884</v>
      </c>
      <c r="J74" s="208">
        <f t="shared" si="29"/>
        <v>6.75</v>
      </c>
      <c r="S74" s="148">
        <f t="shared" ref="S74:X74" si="30">AVERAGE(S70,S71)</f>
        <v>1.2500000000000001E-2</v>
      </c>
      <c r="T74" s="148">
        <f t="shared" si="30"/>
        <v>8.3333333333333332E-3</v>
      </c>
      <c r="U74" s="148">
        <f t="shared" si="30"/>
        <v>0</v>
      </c>
      <c r="V74" s="208">
        <f t="shared" si="30"/>
        <v>2.9000000000000004</v>
      </c>
      <c r="W74" s="208">
        <f t="shared" si="30"/>
        <v>4.1874246294843038</v>
      </c>
      <c r="X74" s="208">
        <f t="shared" si="30"/>
        <v>5.5</v>
      </c>
      <c r="Y74" s="36"/>
      <c r="Z74" s="36"/>
      <c r="AA74" s="36"/>
      <c r="AB74" s="36"/>
      <c r="AC74" s="36"/>
    </row>
    <row r="75" spans="1:29" s="64" customFormat="1" x14ac:dyDescent="0.25">
      <c r="A75" s="9"/>
      <c r="B75" s="9"/>
      <c r="C75" s="9"/>
      <c r="D75" s="9" t="s">
        <v>203</v>
      </c>
      <c r="E75" s="195">
        <f t="shared" ref="E75:J75" si="31">AVERAGE(E72,E73)</f>
        <v>1.2500000000000001E-2</v>
      </c>
      <c r="F75" s="195">
        <f t="shared" si="31"/>
        <v>8.3333333333333332E-3</v>
      </c>
      <c r="G75" s="195">
        <f t="shared" si="31"/>
        <v>0</v>
      </c>
      <c r="H75" s="208">
        <f t="shared" si="31"/>
        <v>0</v>
      </c>
      <c r="I75" s="208">
        <f t="shared" si="31"/>
        <v>5.4</v>
      </c>
      <c r="J75" s="208">
        <f t="shared" si="31"/>
        <v>12.9</v>
      </c>
      <c r="S75" s="148">
        <f t="shared" ref="S75:X75" si="32">AVERAGE(S72,S73)</f>
        <v>1.2500000000000001E-2</v>
      </c>
      <c r="T75" s="148">
        <f t="shared" si="32"/>
        <v>8.3333333333333332E-3</v>
      </c>
      <c r="U75" s="148">
        <f t="shared" si="32"/>
        <v>0</v>
      </c>
      <c r="V75" s="208">
        <f t="shared" si="32"/>
        <v>0</v>
      </c>
      <c r="W75" s="208">
        <f t="shared" si="32"/>
        <v>4.3840773480987609</v>
      </c>
      <c r="X75" s="208">
        <f t="shared" si="32"/>
        <v>10.199999999999999</v>
      </c>
      <c r="Y75" s="36"/>
      <c r="Z75" s="36"/>
      <c r="AA75" s="36"/>
      <c r="AB75" s="36"/>
      <c r="AC75" s="36"/>
    </row>
    <row r="76" spans="1:29" s="64" customFormat="1" x14ac:dyDescent="0.25">
      <c r="A76" s="9"/>
      <c r="B76" s="9"/>
      <c r="C76" s="9"/>
      <c r="D76" s="9" t="s">
        <v>256</v>
      </c>
      <c r="E76" s="177"/>
      <c r="F76" s="177"/>
      <c r="G76" s="177"/>
      <c r="H76" s="114"/>
      <c r="I76" s="114"/>
      <c r="J76" s="114"/>
      <c r="S76" s="15"/>
      <c r="T76" s="45"/>
      <c r="U76" s="45"/>
      <c r="V76" s="45"/>
      <c r="W76" s="45"/>
      <c r="X76" s="45"/>
      <c r="Y76" s="36"/>
      <c r="Z76" s="36"/>
      <c r="AA76" s="36"/>
      <c r="AB76" s="36"/>
      <c r="AC76" s="36"/>
    </row>
    <row r="77" spans="1:29" s="64" customFormat="1" x14ac:dyDescent="0.25">
      <c r="A77" s="128" t="s">
        <v>3</v>
      </c>
      <c r="B77" s="9" t="s">
        <v>254</v>
      </c>
      <c r="C77" s="162" t="s">
        <v>396</v>
      </c>
      <c r="D77" s="9" t="s">
        <v>200</v>
      </c>
      <c r="E77" s="141">
        <v>70.5</v>
      </c>
      <c r="F77" s="139">
        <f t="shared" ref="F77:G80" si="33">E77/2</f>
        <v>35.25</v>
      </c>
      <c r="G77" s="141">
        <f t="shared" si="33"/>
        <v>17.625</v>
      </c>
      <c r="H77" s="265">
        <v>4.3</v>
      </c>
      <c r="I77" s="266">
        <v>5.3117794804686991</v>
      </c>
      <c r="J77" s="265">
        <v>6.3</v>
      </c>
      <c r="S77" s="141">
        <v>13.5</v>
      </c>
      <c r="T77" s="141">
        <f t="shared" ref="T77:U80" si="34">S77/2</f>
        <v>6.75</v>
      </c>
      <c r="U77" s="141">
        <f t="shared" si="34"/>
        <v>3.375</v>
      </c>
      <c r="V77" s="265">
        <v>3.7</v>
      </c>
      <c r="W77" s="266">
        <v>4.9937540196901971</v>
      </c>
      <c r="X77" s="265">
        <v>6.3</v>
      </c>
      <c r="Y77" s="36"/>
      <c r="Z77" s="36"/>
      <c r="AA77" s="36"/>
      <c r="AB77" s="36"/>
      <c r="AC77" s="36"/>
    </row>
    <row r="78" spans="1:29" s="64" customFormat="1" x14ac:dyDescent="0.25">
      <c r="A78" s="128"/>
      <c r="B78" s="9"/>
      <c r="C78" s="9"/>
      <c r="D78" s="9" t="s">
        <v>188</v>
      </c>
      <c r="E78" s="141">
        <v>70.5</v>
      </c>
      <c r="F78" s="139">
        <f t="shared" si="33"/>
        <v>35.25</v>
      </c>
      <c r="G78" s="141">
        <f t="shared" si="33"/>
        <v>17.625</v>
      </c>
      <c r="H78" s="265">
        <v>3.6</v>
      </c>
      <c r="I78" s="266">
        <v>4.5996274105131292</v>
      </c>
      <c r="J78" s="265">
        <v>5.6</v>
      </c>
      <c r="S78" s="141">
        <v>13.5</v>
      </c>
      <c r="T78" s="141">
        <f t="shared" si="34"/>
        <v>6.75</v>
      </c>
      <c r="U78" s="141">
        <f t="shared" si="34"/>
        <v>3.375</v>
      </c>
      <c r="V78" s="265">
        <v>3.2</v>
      </c>
      <c r="W78" s="266">
        <v>4.526766182772306</v>
      </c>
      <c r="X78" s="265">
        <v>5.9</v>
      </c>
      <c r="Y78" s="36"/>
      <c r="Z78" s="36"/>
      <c r="AA78" s="36"/>
      <c r="AB78" s="36"/>
      <c r="AC78" s="36"/>
    </row>
    <row r="79" spans="1:29" s="64" customFormat="1" x14ac:dyDescent="0.25">
      <c r="A79" s="128"/>
      <c r="B79" s="9"/>
      <c r="C79" s="9"/>
      <c r="D79" s="9" t="s">
        <v>201</v>
      </c>
      <c r="E79" s="141">
        <v>70.5</v>
      </c>
      <c r="F79" s="139">
        <f t="shared" si="33"/>
        <v>35.25</v>
      </c>
      <c r="G79" s="141">
        <f t="shared" si="33"/>
        <v>17.625</v>
      </c>
      <c r="H79" s="265">
        <v>0.7</v>
      </c>
      <c r="I79" s="268">
        <v>6.5</v>
      </c>
      <c r="J79" s="265">
        <v>12.8</v>
      </c>
      <c r="S79" s="141">
        <v>13.5</v>
      </c>
      <c r="T79" s="141">
        <f t="shared" si="34"/>
        <v>6.75</v>
      </c>
      <c r="U79" s="141">
        <f t="shared" si="34"/>
        <v>3.375</v>
      </c>
      <c r="V79" s="265">
        <v>0</v>
      </c>
      <c r="W79" s="266">
        <v>5.3164141134772009</v>
      </c>
      <c r="X79" s="265">
        <v>11.4</v>
      </c>
      <c r="Y79" s="36"/>
      <c r="Z79" s="36"/>
      <c r="AA79" s="36"/>
      <c r="AB79" s="36"/>
      <c r="AC79" s="36"/>
    </row>
    <row r="80" spans="1:29" s="64" customFormat="1" x14ac:dyDescent="0.25">
      <c r="A80" s="128"/>
      <c r="B80" s="9"/>
      <c r="C80" s="9"/>
      <c r="D80" s="9" t="s">
        <v>189</v>
      </c>
      <c r="E80" s="141">
        <v>70.5</v>
      </c>
      <c r="F80" s="139">
        <f t="shared" si="33"/>
        <v>35.25</v>
      </c>
      <c r="G80" s="141">
        <f t="shared" si="33"/>
        <v>17.625</v>
      </c>
      <c r="H80" s="265">
        <v>0</v>
      </c>
      <c r="I80" s="268">
        <v>6.5</v>
      </c>
      <c r="J80" s="265">
        <v>12.8</v>
      </c>
      <c r="S80" s="141">
        <v>13.5</v>
      </c>
      <c r="T80" s="141">
        <f t="shared" si="34"/>
        <v>6.75</v>
      </c>
      <c r="U80" s="141">
        <f t="shared" si="34"/>
        <v>3.375</v>
      </c>
      <c r="V80" s="265">
        <v>0</v>
      </c>
      <c r="W80" s="266">
        <v>5.7911019018283083</v>
      </c>
      <c r="X80" s="265">
        <v>11.8</v>
      </c>
      <c r="Y80" s="36"/>
      <c r="Z80" s="36"/>
      <c r="AA80" s="36"/>
      <c r="AB80" s="36"/>
      <c r="AC80" s="36"/>
    </row>
    <row r="81" spans="1:29" s="64" customFormat="1" x14ac:dyDescent="0.25">
      <c r="A81" s="128"/>
      <c r="B81" s="9"/>
      <c r="C81" s="9"/>
      <c r="D81" s="9" t="s">
        <v>202</v>
      </c>
      <c r="E81" s="209">
        <f t="shared" ref="E81:J81" si="35">AVERAGE(E77,E78)</f>
        <v>70.5</v>
      </c>
      <c r="F81" s="209">
        <f t="shared" si="35"/>
        <v>35.25</v>
      </c>
      <c r="G81" s="209">
        <f t="shared" si="35"/>
        <v>17.625</v>
      </c>
      <c r="H81" s="208">
        <f t="shared" si="35"/>
        <v>3.95</v>
      </c>
      <c r="I81" s="208">
        <f t="shared" si="35"/>
        <v>4.9557034454909141</v>
      </c>
      <c r="J81" s="208">
        <f t="shared" si="35"/>
        <v>5.9499999999999993</v>
      </c>
      <c r="S81" s="148">
        <f t="shared" ref="S81:X81" si="36">AVERAGE(S77,S78)</f>
        <v>13.5</v>
      </c>
      <c r="T81" s="148">
        <f t="shared" si="36"/>
        <v>6.75</v>
      </c>
      <c r="U81" s="148">
        <f t="shared" si="36"/>
        <v>3.375</v>
      </c>
      <c r="V81" s="208">
        <f t="shared" si="36"/>
        <v>3.45</v>
      </c>
      <c r="W81" s="208">
        <f t="shared" si="36"/>
        <v>4.7602601012312515</v>
      </c>
      <c r="X81" s="208">
        <f t="shared" si="36"/>
        <v>6.1</v>
      </c>
      <c r="Y81" s="36"/>
      <c r="Z81" s="36"/>
      <c r="AA81" s="36"/>
      <c r="AB81" s="36"/>
      <c r="AC81" s="36"/>
    </row>
    <row r="82" spans="1:29" s="64" customFormat="1" x14ac:dyDescent="0.25">
      <c r="A82" s="128"/>
      <c r="B82" s="9"/>
      <c r="C82" s="9"/>
      <c r="D82" s="9" t="s">
        <v>203</v>
      </c>
      <c r="E82" s="209">
        <f t="shared" ref="E82:J82" si="37">AVERAGE(E79,E80)</f>
        <v>70.5</v>
      </c>
      <c r="F82" s="209">
        <f t="shared" si="37"/>
        <v>35.25</v>
      </c>
      <c r="G82" s="209">
        <f t="shared" si="37"/>
        <v>17.625</v>
      </c>
      <c r="H82" s="208">
        <f t="shared" si="37"/>
        <v>0.35</v>
      </c>
      <c r="I82" s="208">
        <f t="shared" si="37"/>
        <v>6.5</v>
      </c>
      <c r="J82" s="208">
        <f t="shared" si="37"/>
        <v>12.8</v>
      </c>
      <c r="S82" s="148">
        <f t="shared" ref="S82:X82" si="38">AVERAGE(S79,S80)</f>
        <v>13.5</v>
      </c>
      <c r="T82" s="148">
        <f t="shared" si="38"/>
        <v>6.75</v>
      </c>
      <c r="U82" s="148">
        <f t="shared" si="38"/>
        <v>3.375</v>
      </c>
      <c r="V82" s="208">
        <f t="shared" si="38"/>
        <v>0</v>
      </c>
      <c r="W82" s="208">
        <f t="shared" si="38"/>
        <v>5.5537580076527551</v>
      </c>
      <c r="X82" s="208">
        <f t="shared" si="38"/>
        <v>11.600000000000001</v>
      </c>
      <c r="Y82" s="36"/>
      <c r="Z82" s="36"/>
      <c r="AA82" s="36"/>
      <c r="AB82" s="36"/>
      <c r="AC82" s="36"/>
    </row>
    <row r="83" spans="1:29" s="64" customFormat="1" x14ac:dyDescent="0.25">
      <c r="A83" s="128"/>
      <c r="B83" s="9"/>
      <c r="C83" s="9"/>
      <c r="D83" s="9" t="s">
        <v>256</v>
      </c>
      <c r="E83" s="211"/>
      <c r="F83" s="211"/>
      <c r="G83" s="211"/>
      <c r="H83" s="114"/>
      <c r="I83" s="114"/>
      <c r="J83" s="114"/>
      <c r="S83" s="15"/>
      <c r="T83" s="45"/>
      <c r="U83" s="45"/>
      <c r="V83" s="45"/>
      <c r="W83" s="45"/>
      <c r="X83" s="45"/>
      <c r="Y83" s="36"/>
      <c r="Z83" s="36"/>
      <c r="AA83" s="36"/>
      <c r="AB83" s="36"/>
      <c r="AC83" s="36"/>
    </row>
    <row r="84" spans="1:29" s="64" customFormat="1" x14ac:dyDescent="0.25">
      <c r="A84" s="9" t="s">
        <v>87</v>
      </c>
      <c r="B84" s="9" t="s">
        <v>113</v>
      </c>
      <c r="C84" s="162" t="s">
        <v>412</v>
      </c>
      <c r="D84" s="9" t="s">
        <v>200</v>
      </c>
      <c r="E84" s="134">
        <v>0.33</v>
      </c>
      <c r="F84" s="134">
        <v>0.65</v>
      </c>
      <c r="G84" s="134">
        <v>0.9</v>
      </c>
      <c r="H84" s="265">
        <v>0.8</v>
      </c>
      <c r="I84" s="266">
        <v>1.5554525449038146</v>
      </c>
      <c r="J84" s="265">
        <v>2.2999999999999998</v>
      </c>
      <c r="S84" s="134">
        <v>0.7</v>
      </c>
      <c r="T84" s="134">
        <v>0.8</v>
      </c>
      <c r="U84" s="134">
        <v>0.95</v>
      </c>
      <c r="V84" s="265">
        <v>0.7</v>
      </c>
      <c r="W84" s="266">
        <v>1.3375714810151687</v>
      </c>
      <c r="X84" s="265">
        <v>2</v>
      </c>
      <c r="Y84" s="36"/>
      <c r="Z84" s="36"/>
      <c r="AA84" s="36"/>
      <c r="AB84" s="36"/>
      <c r="AC84" s="36"/>
    </row>
    <row r="85" spans="1:29" s="64" customFormat="1" x14ac:dyDescent="0.25">
      <c r="A85" s="9"/>
      <c r="B85" s="9"/>
      <c r="C85" s="9"/>
      <c r="D85" s="9" t="s">
        <v>188</v>
      </c>
      <c r="E85" s="134">
        <v>0.33</v>
      </c>
      <c r="F85" s="134">
        <v>0.65</v>
      </c>
      <c r="G85" s="134">
        <v>0.9</v>
      </c>
      <c r="H85" s="265">
        <v>0.4</v>
      </c>
      <c r="I85" s="266">
        <v>1.0971596069647045</v>
      </c>
      <c r="J85" s="265">
        <v>1.8</v>
      </c>
      <c r="S85" s="134">
        <v>0.7</v>
      </c>
      <c r="T85" s="134">
        <v>0.8</v>
      </c>
      <c r="U85" s="134">
        <v>0.95</v>
      </c>
      <c r="V85" s="265">
        <v>0.4</v>
      </c>
      <c r="W85" s="266">
        <v>1.0884108872552432</v>
      </c>
      <c r="X85" s="265">
        <v>1.7</v>
      </c>
      <c r="Y85" s="36"/>
      <c r="Z85" s="36"/>
      <c r="AA85" s="36"/>
      <c r="AB85" s="36"/>
      <c r="AC85" s="36"/>
    </row>
    <row r="86" spans="1:29" s="64" customFormat="1" x14ac:dyDescent="0.25">
      <c r="A86" s="9"/>
      <c r="B86" s="9"/>
      <c r="C86" s="9"/>
      <c r="D86" s="9" t="s">
        <v>201</v>
      </c>
      <c r="E86" s="155"/>
      <c r="F86" s="155"/>
      <c r="G86" s="155"/>
      <c r="H86" s="265"/>
      <c r="I86" s="265"/>
      <c r="J86" s="265"/>
      <c r="T86" s="259"/>
      <c r="U86" s="259"/>
      <c r="V86" s="265"/>
      <c r="W86" s="265"/>
      <c r="X86" s="265"/>
      <c r="Y86" s="36"/>
      <c r="Z86" s="36"/>
      <c r="AA86" s="36"/>
      <c r="AB86" s="36"/>
      <c r="AC86" s="36"/>
    </row>
    <row r="87" spans="1:29" s="64" customFormat="1" x14ac:dyDescent="0.25">
      <c r="A87" s="9"/>
      <c r="B87" s="9"/>
      <c r="C87" s="9"/>
      <c r="D87" s="9" t="s">
        <v>189</v>
      </c>
      <c r="E87" s="155"/>
      <c r="F87" s="155"/>
      <c r="G87" s="155"/>
      <c r="H87" s="265"/>
      <c r="I87" s="266" t="s">
        <v>418</v>
      </c>
      <c r="J87" s="265"/>
      <c r="T87" s="259"/>
      <c r="U87" s="259"/>
      <c r="V87" s="265"/>
      <c r="W87" s="265"/>
      <c r="X87" s="265"/>
      <c r="Y87" s="36"/>
      <c r="Z87" s="36"/>
      <c r="AA87" s="36"/>
      <c r="AB87" s="36"/>
      <c r="AC87" s="36"/>
    </row>
    <row r="88" spans="1:29" s="64" customFormat="1" x14ac:dyDescent="0.25">
      <c r="A88" s="9"/>
      <c r="B88" s="9"/>
      <c r="C88" s="9"/>
      <c r="D88" s="9" t="s">
        <v>202</v>
      </c>
      <c r="E88" s="195">
        <f t="shared" ref="E88:J88" si="39">AVERAGE(E84,E85)</f>
        <v>0.33</v>
      </c>
      <c r="F88" s="195">
        <f t="shared" si="39"/>
        <v>0.65</v>
      </c>
      <c r="G88" s="195">
        <f t="shared" si="39"/>
        <v>0.9</v>
      </c>
      <c r="H88" s="208">
        <f t="shared" si="39"/>
        <v>0.60000000000000009</v>
      </c>
      <c r="I88" s="208">
        <f t="shared" si="39"/>
        <v>1.3263060759342595</v>
      </c>
      <c r="J88" s="208">
        <f t="shared" si="39"/>
        <v>2.0499999999999998</v>
      </c>
      <c r="S88" s="148">
        <f t="shared" ref="S88:X88" si="40">AVERAGE(S84,S85)</f>
        <v>0.7</v>
      </c>
      <c r="T88" s="148">
        <f t="shared" si="40"/>
        <v>0.8</v>
      </c>
      <c r="U88" s="148">
        <f t="shared" si="40"/>
        <v>0.95</v>
      </c>
      <c r="V88" s="208">
        <f t="shared" si="40"/>
        <v>0.55000000000000004</v>
      </c>
      <c r="W88" s="208">
        <f t="shared" si="40"/>
        <v>1.2129911841352059</v>
      </c>
      <c r="X88" s="208">
        <f t="shared" si="40"/>
        <v>1.85</v>
      </c>
      <c r="Y88" s="36"/>
      <c r="Z88" s="36"/>
      <c r="AA88" s="36"/>
      <c r="AB88" s="36"/>
      <c r="AC88" s="36"/>
    </row>
    <row r="89" spans="1:29" s="64" customFormat="1" x14ac:dyDescent="0.25">
      <c r="A89" s="9"/>
      <c r="B89" s="9"/>
      <c r="C89" s="9"/>
      <c r="D89" s="9" t="s">
        <v>203</v>
      </c>
      <c r="E89" s="195"/>
      <c r="F89" s="195"/>
      <c r="G89" s="195"/>
      <c r="H89" s="208"/>
      <c r="I89" s="208"/>
      <c r="J89" s="208"/>
      <c r="S89" s="148"/>
      <c r="T89" s="148"/>
      <c r="U89" s="148"/>
      <c r="V89" s="208"/>
      <c r="W89" s="208"/>
      <c r="X89" s="208"/>
      <c r="Y89" s="36"/>
      <c r="Z89" s="36"/>
      <c r="AA89" s="36"/>
      <c r="AB89" s="36"/>
      <c r="AC89" s="36"/>
    </row>
    <row r="90" spans="1:29" s="64" customFormat="1" x14ac:dyDescent="0.25">
      <c r="A90" s="9"/>
      <c r="B90" s="9"/>
      <c r="C90" s="9"/>
      <c r="D90" s="9" t="s">
        <v>256</v>
      </c>
      <c r="E90" s="206"/>
      <c r="F90" s="206"/>
      <c r="G90" s="206"/>
      <c r="H90" s="114"/>
      <c r="I90" s="114"/>
      <c r="J90" s="114"/>
      <c r="S90" s="15"/>
      <c r="T90" s="45"/>
      <c r="U90" s="45"/>
      <c r="V90" s="45"/>
      <c r="W90" s="45"/>
      <c r="X90" s="45"/>
      <c r="Y90" s="36"/>
      <c r="Z90" s="36"/>
      <c r="AA90" s="36"/>
      <c r="AB90" s="36"/>
      <c r="AC90" s="36"/>
    </row>
    <row r="91" spans="1:29" s="64" customFormat="1" x14ac:dyDescent="0.25">
      <c r="A91" s="162" t="s">
        <v>373</v>
      </c>
      <c r="B91" s="9" t="s">
        <v>374</v>
      </c>
      <c r="C91" s="162" t="s">
        <v>411</v>
      </c>
      <c r="D91" s="9" t="s">
        <v>200</v>
      </c>
      <c r="E91" s="134">
        <v>0</v>
      </c>
      <c r="F91" s="134"/>
      <c r="G91" s="134">
        <v>1</v>
      </c>
      <c r="H91" s="265">
        <v>0.4</v>
      </c>
      <c r="I91" s="266">
        <v>0.69922209679018155</v>
      </c>
      <c r="J91" s="265">
        <v>1</v>
      </c>
      <c r="S91" s="248">
        <f>E91</f>
        <v>0</v>
      </c>
      <c r="T91" s="154"/>
      <c r="U91" s="154">
        <f>G91</f>
        <v>1</v>
      </c>
      <c r="V91" s="265">
        <v>0.2</v>
      </c>
      <c r="W91" s="266">
        <v>0.67210674233033485</v>
      </c>
      <c r="X91" s="265">
        <v>1.1000000000000001</v>
      </c>
      <c r="Y91" s="36"/>
      <c r="Z91" s="36"/>
      <c r="AA91" s="36"/>
      <c r="AB91" s="36"/>
      <c r="AC91" s="36"/>
    </row>
    <row r="92" spans="1:29" s="64" customFormat="1" x14ac:dyDescent="0.25">
      <c r="A92" s="162" t="s">
        <v>376</v>
      </c>
      <c r="B92" s="9"/>
      <c r="C92" s="162" t="s">
        <v>375</v>
      </c>
      <c r="D92" s="9" t="s">
        <v>188</v>
      </c>
      <c r="E92" s="134">
        <v>0</v>
      </c>
      <c r="F92" s="134"/>
      <c r="G92" s="134">
        <v>1</v>
      </c>
      <c r="H92" s="265">
        <v>0.2</v>
      </c>
      <c r="I92" s="266">
        <v>0.53245213642230294</v>
      </c>
      <c r="J92" s="265">
        <v>0.8</v>
      </c>
      <c r="S92" s="248">
        <f>E92</f>
        <v>0</v>
      </c>
      <c r="T92" s="154"/>
      <c r="U92" s="154">
        <f>G92</f>
        <v>1</v>
      </c>
      <c r="V92" s="265">
        <v>0.4</v>
      </c>
      <c r="W92" s="266">
        <v>0.82788860667603514</v>
      </c>
      <c r="X92" s="265">
        <v>1.3</v>
      </c>
      <c r="Y92" s="36"/>
      <c r="Z92" s="36"/>
      <c r="AA92" s="36"/>
      <c r="AB92" s="36"/>
      <c r="AC92" s="36"/>
    </row>
    <row r="93" spans="1:29" s="64" customFormat="1" x14ac:dyDescent="0.25">
      <c r="A93" s="9"/>
      <c r="B93" s="9"/>
      <c r="C93" s="9"/>
      <c r="D93" s="9" t="s">
        <v>201</v>
      </c>
      <c r="E93" s="155"/>
      <c r="F93" s="155"/>
      <c r="G93" s="155"/>
      <c r="H93" s="265"/>
      <c r="I93" s="265"/>
      <c r="J93" s="265"/>
      <c r="S93" s="175"/>
      <c r="T93" s="259"/>
      <c r="U93" s="259"/>
      <c r="V93" s="265"/>
      <c r="W93" s="265"/>
      <c r="X93" s="265"/>
      <c r="Y93" s="36"/>
      <c r="Z93" s="36"/>
      <c r="AA93" s="36"/>
      <c r="AB93" s="36"/>
      <c r="AC93" s="36"/>
    </row>
    <row r="94" spans="1:29" s="64" customFormat="1" x14ac:dyDescent="0.25">
      <c r="A94" s="9"/>
      <c r="B94" s="9"/>
      <c r="C94" s="9"/>
      <c r="D94" s="9" t="s">
        <v>189</v>
      </c>
      <c r="E94" s="155"/>
      <c r="F94" s="155"/>
      <c r="G94" s="155"/>
      <c r="H94" s="265"/>
      <c r="I94" s="265"/>
      <c r="J94" s="265"/>
      <c r="S94" s="175"/>
      <c r="T94" s="259"/>
      <c r="U94" s="259"/>
      <c r="V94" s="265"/>
      <c r="W94" s="265"/>
      <c r="X94" s="265"/>
      <c r="Y94" s="36"/>
      <c r="Z94" s="36"/>
      <c r="AA94" s="36"/>
      <c r="AB94" s="36"/>
      <c r="AC94" s="36"/>
    </row>
    <row r="95" spans="1:29" s="64" customFormat="1" x14ac:dyDescent="0.25">
      <c r="A95" s="9"/>
      <c r="B95" s="9"/>
      <c r="C95" s="9"/>
      <c r="D95" s="9" t="s">
        <v>202</v>
      </c>
      <c r="E95" s="195">
        <f t="shared" ref="E95:J95" si="41">AVERAGE(E91,E92)</f>
        <v>0</v>
      </c>
      <c r="F95" s="195" t="e">
        <f t="shared" si="41"/>
        <v>#DIV/0!</v>
      </c>
      <c r="G95" s="195">
        <f t="shared" si="41"/>
        <v>1</v>
      </c>
      <c r="H95" s="208">
        <f t="shared" si="41"/>
        <v>0.30000000000000004</v>
      </c>
      <c r="I95" s="208">
        <f t="shared" si="41"/>
        <v>0.61583711660624219</v>
      </c>
      <c r="J95" s="208">
        <f t="shared" si="41"/>
        <v>0.9</v>
      </c>
      <c r="S95" s="148">
        <f t="shared" ref="S95:X95" si="42">AVERAGE(S91,S92)</f>
        <v>0</v>
      </c>
      <c r="T95" s="148" t="e">
        <f t="shared" si="42"/>
        <v>#DIV/0!</v>
      </c>
      <c r="U95" s="148">
        <f t="shared" si="42"/>
        <v>1</v>
      </c>
      <c r="V95" s="208">
        <f t="shared" si="42"/>
        <v>0.30000000000000004</v>
      </c>
      <c r="W95" s="208">
        <f t="shared" si="42"/>
        <v>0.749997674503185</v>
      </c>
      <c r="X95" s="208">
        <f t="shared" si="42"/>
        <v>1.2000000000000002</v>
      </c>
      <c r="Y95" s="36"/>
      <c r="Z95" s="36"/>
      <c r="AA95" s="36"/>
      <c r="AB95" s="36"/>
      <c r="AC95" s="36"/>
    </row>
    <row r="96" spans="1:29" s="64" customFormat="1" x14ac:dyDescent="0.25">
      <c r="A96" s="9"/>
      <c r="B96" s="9"/>
      <c r="C96" s="9"/>
      <c r="D96" s="9" t="s">
        <v>203</v>
      </c>
      <c r="E96" s="195"/>
      <c r="F96" s="195"/>
      <c r="G96" s="195"/>
      <c r="H96" s="208"/>
      <c r="I96" s="208"/>
      <c r="J96" s="208"/>
      <c r="S96" s="148"/>
      <c r="T96" s="148"/>
      <c r="U96" s="148"/>
      <c r="V96" s="208"/>
      <c r="W96" s="208"/>
      <c r="X96" s="208"/>
      <c r="Y96" s="36"/>
      <c r="Z96" s="36"/>
      <c r="AA96" s="36"/>
      <c r="AB96" s="36"/>
      <c r="AC96" s="36"/>
    </row>
    <row r="97" spans="1:29" s="64" customFormat="1" x14ac:dyDescent="0.25">
      <c r="A97" s="9"/>
      <c r="B97" s="9"/>
      <c r="C97" s="9"/>
      <c r="D97" s="9" t="s">
        <v>256</v>
      </c>
      <c r="E97" s="206"/>
      <c r="F97" s="206"/>
      <c r="G97" s="206"/>
      <c r="H97" s="114"/>
      <c r="I97" s="114"/>
      <c r="J97" s="114"/>
      <c r="S97" s="15"/>
      <c r="T97" s="45"/>
      <c r="U97" s="45"/>
      <c r="V97" s="45"/>
      <c r="W97" s="45"/>
      <c r="X97" s="45"/>
      <c r="Y97" s="36"/>
      <c r="Z97" s="36"/>
      <c r="AA97" s="36"/>
      <c r="AB97" s="36"/>
      <c r="AC97" s="36"/>
    </row>
    <row r="98" spans="1:29" s="64" customFormat="1" x14ac:dyDescent="0.25">
      <c r="A98" s="65" t="s">
        <v>414</v>
      </c>
      <c r="B98" s="62" t="s">
        <v>413</v>
      </c>
      <c r="C98" s="162" t="s">
        <v>415</v>
      </c>
      <c r="D98" s="9" t="s">
        <v>200</v>
      </c>
      <c r="E98" s="257">
        <v>0.11</v>
      </c>
      <c r="F98" s="257">
        <v>0.3</v>
      </c>
      <c r="G98" s="257">
        <v>0.5</v>
      </c>
      <c r="H98" s="265">
        <v>3</v>
      </c>
      <c r="I98" s="266">
        <v>4.0444156124918296</v>
      </c>
      <c r="J98" s="265">
        <v>5.0999999999999996</v>
      </c>
      <c r="S98" s="257">
        <v>0.11</v>
      </c>
      <c r="T98" s="257">
        <v>0.3</v>
      </c>
      <c r="U98" s="257">
        <v>0.5</v>
      </c>
      <c r="V98" s="265">
        <v>3.4</v>
      </c>
      <c r="W98" s="266">
        <v>4.993273786444588</v>
      </c>
      <c r="X98" s="265">
        <v>6.6</v>
      </c>
      <c r="Y98" s="36"/>
      <c r="Z98" s="36"/>
      <c r="AA98" s="36"/>
      <c r="AB98" s="36"/>
      <c r="AC98" s="36"/>
    </row>
    <row r="99" spans="1:29" s="64" customFormat="1" x14ac:dyDescent="0.25">
      <c r="A99" s="62"/>
      <c r="B99" s="62"/>
      <c r="C99" s="9"/>
      <c r="D99" s="9" t="s">
        <v>188</v>
      </c>
      <c r="E99" s="257">
        <v>0.11</v>
      </c>
      <c r="F99" s="257">
        <v>0.3</v>
      </c>
      <c r="G99" s="257">
        <v>0.5</v>
      </c>
      <c r="H99" s="265">
        <v>3.4</v>
      </c>
      <c r="I99" s="266">
        <v>4.4622933992670175</v>
      </c>
      <c r="J99" s="265">
        <v>5.6</v>
      </c>
      <c r="S99" s="257">
        <v>0.11</v>
      </c>
      <c r="T99" s="257">
        <v>0.3</v>
      </c>
      <c r="U99" s="257">
        <v>0.5</v>
      </c>
      <c r="V99" s="265">
        <v>2.2000000000000002</v>
      </c>
      <c r="W99" s="266">
        <v>3.8360425540740808</v>
      </c>
      <c r="X99" s="265">
        <v>5.5</v>
      </c>
      <c r="Y99" s="36"/>
      <c r="Z99" s="36"/>
      <c r="AA99" s="36"/>
      <c r="AB99" s="36"/>
      <c r="AC99" s="36"/>
    </row>
    <row r="100" spans="1:29" s="64" customFormat="1" x14ac:dyDescent="0.25">
      <c r="A100" s="62"/>
      <c r="B100" s="62"/>
      <c r="C100" s="9"/>
      <c r="D100" s="9" t="s">
        <v>201</v>
      </c>
      <c r="E100" s="257">
        <v>0.11</v>
      </c>
      <c r="F100" s="257">
        <v>0.3</v>
      </c>
      <c r="G100" s="257">
        <v>0.5</v>
      </c>
      <c r="H100" s="265">
        <v>1</v>
      </c>
      <c r="I100" s="268">
        <v>8</v>
      </c>
      <c r="J100" s="265">
        <v>14.1</v>
      </c>
      <c r="S100" s="257">
        <v>0.11</v>
      </c>
      <c r="T100" s="257">
        <v>0.3</v>
      </c>
      <c r="U100" s="257">
        <v>0.5</v>
      </c>
      <c r="V100" s="265">
        <v>0</v>
      </c>
      <c r="W100" s="266">
        <v>4.5986836696139379</v>
      </c>
      <c r="X100" s="265">
        <v>12</v>
      </c>
      <c r="Y100" s="36"/>
      <c r="Z100" s="36"/>
      <c r="AA100" s="36"/>
      <c r="AB100" s="36"/>
      <c r="AC100" s="36"/>
    </row>
    <row r="101" spans="1:29" s="64" customFormat="1" x14ac:dyDescent="0.25">
      <c r="A101" s="62"/>
      <c r="B101" s="62"/>
      <c r="C101" s="9"/>
      <c r="D101" s="9" t="s">
        <v>189</v>
      </c>
      <c r="E101" s="257">
        <v>0.11</v>
      </c>
      <c r="F101" s="257">
        <v>0.3</v>
      </c>
      <c r="G101" s="257">
        <v>0.5</v>
      </c>
      <c r="H101" s="265">
        <v>1.3</v>
      </c>
      <c r="I101" s="268">
        <v>8</v>
      </c>
      <c r="J101" s="265">
        <v>15.5</v>
      </c>
      <c r="S101" s="257">
        <v>0.11</v>
      </c>
      <c r="T101" s="257">
        <v>0.3</v>
      </c>
      <c r="U101" s="257">
        <v>0.5</v>
      </c>
      <c r="V101" s="265">
        <v>0</v>
      </c>
      <c r="W101" s="266">
        <v>6.966972282241553</v>
      </c>
      <c r="X101" s="265">
        <v>14.2</v>
      </c>
      <c r="Y101" s="36"/>
      <c r="Z101" s="36"/>
      <c r="AA101" s="36"/>
      <c r="AB101" s="36"/>
      <c r="AC101" s="36"/>
    </row>
    <row r="102" spans="1:29" s="64" customFormat="1" x14ac:dyDescent="0.25">
      <c r="A102" s="62"/>
      <c r="B102" s="62"/>
      <c r="C102" s="9"/>
      <c r="D102" s="9" t="s">
        <v>202</v>
      </c>
      <c r="E102" s="205">
        <f t="shared" ref="E102:J102" si="43">AVERAGE(E98,E99)</f>
        <v>0.11</v>
      </c>
      <c r="F102" s="205">
        <f t="shared" si="43"/>
        <v>0.3</v>
      </c>
      <c r="G102" s="205">
        <f t="shared" si="43"/>
        <v>0.5</v>
      </c>
      <c r="H102" s="208">
        <f t="shared" si="43"/>
        <v>3.2</v>
      </c>
      <c r="I102" s="208">
        <f t="shared" si="43"/>
        <v>4.2533545058794235</v>
      </c>
      <c r="J102" s="208">
        <f t="shared" si="43"/>
        <v>5.35</v>
      </c>
      <c r="S102" s="148">
        <f t="shared" ref="S102:X102" si="44">AVERAGE(S98,S99)</f>
        <v>0.11</v>
      </c>
      <c r="T102" s="148">
        <f t="shared" si="44"/>
        <v>0.3</v>
      </c>
      <c r="U102" s="148">
        <f t="shared" si="44"/>
        <v>0.5</v>
      </c>
      <c r="V102" s="208">
        <f t="shared" si="44"/>
        <v>2.8</v>
      </c>
      <c r="W102" s="208">
        <f t="shared" si="44"/>
        <v>4.4146581702593348</v>
      </c>
      <c r="X102" s="208">
        <f t="shared" si="44"/>
        <v>6.05</v>
      </c>
      <c r="Y102" s="36"/>
      <c r="Z102" s="36"/>
      <c r="AA102" s="36"/>
      <c r="AB102" s="36"/>
      <c r="AC102" s="36"/>
    </row>
    <row r="103" spans="1:29" s="64" customFormat="1" x14ac:dyDescent="0.25">
      <c r="A103" s="62"/>
      <c r="B103" s="62"/>
      <c r="C103" s="9"/>
      <c r="D103" s="9" t="s">
        <v>203</v>
      </c>
      <c r="E103" s="205">
        <f t="shared" ref="E103:J103" si="45">AVERAGE(E100,E101)</f>
        <v>0.11</v>
      </c>
      <c r="F103" s="205">
        <f t="shared" si="45"/>
        <v>0.3</v>
      </c>
      <c r="G103" s="205">
        <f t="shared" si="45"/>
        <v>0.5</v>
      </c>
      <c r="H103" s="208">
        <f t="shared" si="45"/>
        <v>1.1499999999999999</v>
      </c>
      <c r="I103" s="208">
        <f t="shared" si="45"/>
        <v>8</v>
      </c>
      <c r="J103" s="208">
        <f t="shared" si="45"/>
        <v>14.8</v>
      </c>
      <c r="S103" s="148">
        <f t="shared" ref="S103:X103" si="46">AVERAGE(S100,S101)</f>
        <v>0.11</v>
      </c>
      <c r="T103" s="148">
        <f t="shared" si="46"/>
        <v>0.3</v>
      </c>
      <c r="U103" s="148">
        <f t="shared" si="46"/>
        <v>0.5</v>
      </c>
      <c r="V103" s="208">
        <f t="shared" si="46"/>
        <v>0</v>
      </c>
      <c r="W103" s="208">
        <f t="shared" si="46"/>
        <v>5.782827975927745</v>
      </c>
      <c r="X103" s="208">
        <f t="shared" si="46"/>
        <v>13.1</v>
      </c>
      <c r="Y103" s="36"/>
      <c r="Z103" s="36"/>
      <c r="AA103" s="36"/>
      <c r="AB103" s="36"/>
      <c r="AC103" s="36"/>
    </row>
    <row r="104" spans="1:29" s="64" customFormat="1" x14ac:dyDescent="0.25">
      <c r="A104" s="62"/>
      <c r="B104" s="62"/>
      <c r="C104" s="9"/>
      <c r="D104" s="9" t="s">
        <v>256</v>
      </c>
      <c r="E104" s="214"/>
      <c r="F104" s="214"/>
      <c r="G104" s="214"/>
      <c r="H104" s="114"/>
      <c r="I104" s="114"/>
      <c r="J104" s="114"/>
      <c r="S104" s="15"/>
      <c r="T104" s="45"/>
      <c r="U104" s="45"/>
      <c r="V104" s="45"/>
      <c r="W104" s="45"/>
      <c r="X104" s="45"/>
      <c r="Y104" s="36"/>
      <c r="Z104" s="36"/>
      <c r="AA104" s="36"/>
      <c r="AB104" s="36"/>
      <c r="AC104" s="36"/>
    </row>
    <row r="105" spans="1:29" s="64" customFormat="1" ht="30" x14ac:dyDescent="0.25">
      <c r="A105" s="65" t="s">
        <v>112</v>
      </c>
      <c r="B105" s="62" t="s">
        <v>99</v>
      </c>
      <c r="C105" s="162" t="s">
        <v>397</v>
      </c>
      <c r="D105" s="9" t="s">
        <v>200</v>
      </c>
      <c r="E105" s="139">
        <v>0</v>
      </c>
      <c r="F105" s="139">
        <v>19</v>
      </c>
      <c r="G105" s="139">
        <v>30</v>
      </c>
      <c r="H105" s="265">
        <v>4.4000000000000004</v>
      </c>
      <c r="I105" s="266">
        <v>5.5173919412025247</v>
      </c>
      <c r="J105" s="265">
        <v>6.7</v>
      </c>
      <c r="S105" s="139">
        <v>0</v>
      </c>
      <c r="T105" s="139">
        <v>6</v>
      </c>
      <c r="U105" s="139">
        <v>10</v>
      </c>
      <c r="V105" s="265">
        <v>3.9</v>
      </c>
      <c r="W105" s="266">
        <v>5.568786697334029</v>
      </c>
      <c r="X105" s="265">
        <v>7.2</v>
      </c>
      <c r="Y105" s="36"/>
      <c r="Z105" s="36"/>
      <c r="AA105" s="36"/>
      <c r="AB105" s="36"/>
      <c r="AC105" s="36"/>
    </row>
    <row r="106" spans="1:29" s="64" customFormat="1" x14ac:dyDescent="0.25">
      <c r="A106" s="62"/>
      <c r="B106" s="62"/>
      <c r="C106" s="9"/>
      <c r="D106" s="9" t="s">
        <v>188</v>
      </c>
      <c r="E106" s="139">
        <v>0</v>
      </c>
      <c r="F106" s="139">
        <v>19</v>
      </c>
      <c r="G106" s="139">
        <v>30</v>
      </c>
      <c r="H106" s="265">
        <v>4.3</v>
      </c>
      <c r="I106" s="266">
        <v>5.4649566883434293</v>
      </c>
      <c r="J106" s="265">
        <v>6.7</v>
      </c>
      <c r="S106" s="139">
        <v>0</v>
      </c>
      <c r="T106" s="139">
        <v>6</v>
      </c>
      <c r="U106" s="139">
        <v>10</v>
      </c>
      <c r="V106" s="265">
        <v>3.6</v>
      </c>
      <c r="W106" s="266">
        <v>5.370026439034115</v>
      </c>
      <c r="X106" s="265">
        <v>7.1</v>
      </c>
      <c r="Y106" s="36"/>
      <c r="Z106" s="36"/>
      <c r="AA106" s="36"/>
      <c r="AB106" s="36"/>
      <c r="AC106" s="36"/>
    </row>
    <row r="107" spans="1:29" s="64" customFormat="1" x14ac:dyDescent="0.25">
      <c r="A107" s="62"/>
      <c r="B107" s="62"/>
      <c r="C107" s="9"/>
      <c r="D107" s="9" t="s">
        <v>201</v>
      </c>
      <c r="E107" s="139">
        <v>0</v>
      </c>
      <c r="F107" s="139">
        <v>19</v>
      </c>
      <c r="G107" s="139">
        <v>30</v>
      </c>
      <c r="H107" s="265">
        <v>0</v>
      </c>
      <c r="I107" s="268">
        <v>5.6</v>
      </c>
      <c r="J107" s="265">
        <v>13.1</v>
      </c>
      <c r="S107" s="139">
        <v>0</v>
      </c>
      <c r="T107" s="139">
        <v>6</v>
      </c>
      <c r="U107" s="139">
        <v>10</v>
      </c>
      <c r="V107" s="265">
        <v>0</v>
      </c>
      <c r="W107" s="266">
        <v>4.0407594034135199</v>
      </c>
      <c r="X107" s="265">
        <v>11.9</v>
      </c>
      <c r="Y107" s="36"/>
      <c r="Z107" s="36"/>
      <c r="AA107" s="36"/>
      <c r="AB107" s="36"/>
      <c r="AC107" s="36"/>
    </row>
    <row r="108" spans="1:29" s="64" customFormat="1" x14ac:dyDescent="0.25">
      <c r="A108" s="62"/>
      <c r="B108" s="62"/>
      <c r="C108" s="9"/>
      <c r="D108" s="9" t="s">
        <v>189</v>
      </c>
      <c r="E108" s="139">
        <v>0</v>
      </c>
      <c r="F108" s="139">
        <v>19</v>
      </c>
      <c r="G108" s="139">
        <v>30</v>
      </c>
      <c r="H108" s="265">
        <v>0</v>
      </c>
      <c r="I108" s="268">
        <v>5.6</v>
      </c>
      <c r="J108" s="265">
        <v>12.9</v>
      </c>
      <c r="S108" s="139">
        <v>0</v>
      </c>
      <c r="T108" s="139">
        <v>6</v>
      </c>
      <c r="U108" s="139">
        <v>10</v>
      </c>
      <c r="V108" s="265">
        <v>0</v>
      </c>
      <c r="W108" s="266">
        <v>6.2235642745094975</v>
      </c>
      <c r="X108" s="265">
        <v>14</v>
      </c>
      <c r="Y108" s="36"/>
      <c r="Z108" s="36"/>
      <c r="AA108" s="36"/>
      <c r="AB108" s="36"/>
      <c r="AC108" s="36"/>
    </row>
    <row r="109" spans="1:29" s="64" customFormat="1" x14ac:dyDescent="0.25">
      <c r="A109" s="62"/>
      <c r="B109" s="62"/>
      <c r="C109" s="9"/>
      <c r="D109" s="9" t="s">
        <v>202</v>
      </c>
      <c r="E109" s="209">
        <f t="shared" ref="E109:J109" si="47">AVERAGE(E105,E106)</f>
        <v>0</v>
      </c>
      <c r="F109" s="209">
        <f t="shared" si="47"/>
        <v>19</v>
      </c>
      <c r="G109" s="209">
        <f t="shared" si="47"/>
        <v>30</v>
      </c>
      <c r="H109" s="208">
        <f t="shared" si="47"/>
        <v>4.3499999999999996</v>
      </c>
      <c r="I109" s="208">
        <f t="shared" si="47"/>
        <v>5.4911743147729766</v>
      </c>
      <c r="J109" s="208">
        <f t="shared" si="47"/>
        <v>6.7</v>
      </c>
      <c r="S109" s="148">
        <f t="shared" ref="S109:X109" si="48">AVERAGE(S105,S106)</f>
        <v>0</v>
      </c>
      <c r="T109" s="148">
        <f t="shared" si="48"/>
        <v>6</v>
      </c>
      <c r="U109" s="148">
        <f t="shared" si="48"/>
        <v>10</v>
      </c>
      <c r="V109" s="208">
        <f t="shared" si="48"/>
        <v>3.75</v>
      </c>
      <c r="W109" s="208">
        <f t="shared" si="48"/>
        <v>5.4694065681840716</v>
      </c>
      <c r="X109" s="208">
        <f t="shared" si="48"/>
        <v>7.15</v>
      </c>
      <c r="Y109" s="36"/>
      <c r="Z109" s="36"/>
      <c r="AA109" s="36"/>
      <c r="AB109" s="36"/>
      <c r="AC109" s="36"/>
    </row>
    <row r="110" spans="1:29" s="64" customFormat="1" x14ac:dyDescent="0.25">
      <c r="A110" s="62"/>
      <c r="B110" s="62"/>
      <c r="C110" s="9"/>
      <c r="D110" s="9" t="s">
        <v>203</v>
      </c>
      <c r="E110" s="209">
        <f t="shared" ref="E110:J110" si="49">AVERAGE(E107,E108)</f>
        <v>0</v>
      </c>
      <c r="F110" s="209">
        <f t="shared" si="49"/>
        <v>19</v>
      </c>
      <c r="G110" s="209">
        <f t="shared" si="49"/>
        <v>30</v>
      </c>
      <c r="H110" s="208">
        <f t="shared" si="49"/>
        <v>0</v>
      </c>
      <c r="I110" s="208">
        <f t="shared" si="49"/>
        <v>5.6</v>
      </c>
      <c r="J110" s="208">
        <f t="shared" si="49"/>
        <v>13</v>
      </c>
      <c r="S110" s="148">
        <f t="shared" ref="S110:X110" si="50">AVERAGE(S107,S108)</f>
        <v>0</v>
      </c>
      <c r="T110" s="148">
        <f t="shared" si="50"/>
        <v>6</v>
      </c>
      <c r="U110" s="148">
        <f t="shared" si="50"/>
        <v>10</v>
      </c>
      <c r="V110" s="208">
        <f t="shared" si="50"/>
        <v>0</v>
      </c>
      <c r="W110" s="208">
        <f t="shared" si="50"/>
        <v>5.1321618389615082</v>
      </c>
      <c r="X110" s="208">
        <f t="shared" si="50"/>
        <v>12.95</v>
      </c>
      <c r="Y110" s="36"/>
      <c r="Z110" s="36"/>
      <c r="AA110" s="36"/>
      <c r="AB110" s="36"/>
      <c r="AC110" s="36"/>
    </row>
    <row r="111" spans="1:29" s="64" customFormat="1" x14ac:dyDescent="0.25">
      <c r="A111" s="62"/>
      <c r="B111" s="62"/>
      <c r="C111" s="9"/>
      <c r="D111" s="9" t="s">
        <v>256</v>
      </c>
      <c r="E111" s="214"/>
      <c r="F111" s="214"/>
      <c r="G111" s="214"/>
      <c r="H111" s="114"/>
      <c r="I111" s="114"/>
      <c r="J111" s="114"/>
      <c r="S111" s="15"/>
      <c r="T111" s="45"/>
      <c r="U111" s="45"/>
      <c r="V111" s="45"/>
      <c r="W111" s="45"/>
      <c r="X111" s="45"/>
      <c r="Y111" s="36"/>
      <c r="Z111" s="36"/>
      <c r="AA111" s="36"/>
      <c r="AB111" s="36"/>
      <c r="AC111" s="36"/>
    </row>
    <row r="112" spans="1:29" s="64" customFormat="1" x14ac:dyDescent="0.25">
      <c r="A112" s="62" t="s">
        <v>89</v>
      </c>
      <c r="B112" s="9" t="s">
        <v>100</v>
      </c>
      <c r="C112" s="162" t="s">
        <v>397</v>
      </c>
      <c r="D112" s="9" t="s">
        <v>200</v>
      </c>
      <c r="E112" s="139">
        <v>0</v>
      </c>
      <c r="F112" s="139">
        <v>150</v>
      </c>
      <c r="G112" s="139">
        <v>200</v>
      </c>
      <c r="H112" s="265">
        <v>4</v>
      </c>
      <c r="I112" s="266">
        <v>5.2595907834587727</v>
      </c>
      <c r="J112" s="265">
        <v>6.5</v>
      </c>
      <c r="S112" s="139">
        <v>0</v>
      </c>
      <c r="T112" s="139">
        <v>50</v>
      </c>
      <c r="U112" s="139">
        <v>100</v>
      </c>
      <c r="V112" s="265">
        <v>4.0999999999999996</v>
      </c>
      <c r="W112" s="266">
        <v>5.7650581127434766</v>
      </c>
      <c r="X112" s="265">
        <v>7.5</v>
      </c>
      <c r="Y112" s="36"/>
      <c r="Z112" s="36"/>
      <c r="AA112" s="36"/>
      <c r="AB112" s="36"/>
      <c r="AC112" s="36"/>
    </row>
    <row r="113" spans="1:29" s="64" customFormat="1" x14ac:dyDescent="0.25">
      <c r="A113" s="62"/>
      <c r="B113" s="9"/>
      <c r="C113" s="9"/>
      <c r="D113" s="9" t="s">
        <v>188</v>
      </c>
      <c r="E113" s="139">
        <v>0</v>
      </c>
      <c r="F113" s="139">
        <v>150</v>
      </c>
      <c r="G113" s="139">
        <v>200</v>
      </c>
      <c r="H113" s="265">
        <v>4.5999999999999996</v>
      </c>
      <c r="I113" s="266">
        <v>5.9109791033597512</v>
      </c>
      <c r="J113" s="265">
        <v>7.2</v>
      </c>
      <c r="S113" s="139">
        <v>0</v>
      </c>
      <c r="T113" s="139">
        <v>50</v>
      </c>
      <c r="U113" s="139">
        <v>100</v>
      </c>
      <c r="V113" s="265">
        <v>3.9</v>
      </c>
      <c r="W113" s="266">
        <v>5.732896362345782</v>
      </c>
      <c r="X113" s="265">
        <v>7.5</v>
      </c>
      <c r="Y113" s="36"/>
      <c r="Z113" s="36"/>
      <c r="AA113" s="36"/>
      <c r="AB113" s="36"/>
      <c r="AC113" s="36"/>
    </row>
    <row r="114" spans="1:29" s="64" customFormat="1" x14ac:dyDescent="0.25">
      <c r="A114" s="62"/>
      <c r="B114" s="9"/>
      <c r="C114" s="9"/>
      <c r="D114" s="9" t="s">
        <v>201</v>
      </c>
      <c r="E114" s="139">
        <v>0</v>
      </c>
      <c r="F114" s="139">
        <v>150</v>
      </c>
      <c r="G114" s="139">
        <v>200</v>
      </c>
      <c r="H114" s="265">
        <v>0</v>
      </c>
      <c r="I114" s="268">
        <v>6</v>
      </c>
      <c r="J114" s="265">
        <v>13.5</v>
      </c>
      <c r="S114" s="139">
        <v>0</v>
      </c>
      <c r="T114" s="139">
        <v>50</v>
      </c>
      <c r="U114" s="139">
        <v>100</v>
      </c>
      <c r="V114" s="265">
        <v>0</v>
      </c>
      <c r="W114" s="266">
        <v>4.6639982840826457</v>
      </c>
      <c r="X114" s="265">
        <v>12.7</v>
      </c>
      <c r="Y114" s="36"/>
      <c r="Z114" s="36"/>
      <c r="AA114" s="36"/>
      <c r="AB114" s="36"/>
      <c r="AC114" s="36"/>
    </row>
    <row r="115" spans="1:29" s="64" customFormat="1" x14ac:dyDescent="0.25">
      <c r="A115" s="62"/>
      <c r="B115" s="9"/>
      <c r="C115" s="9"/>
      <c r="D115" s="9" t="s">
        <v>189</v>
      </c>
      <c r="E115" s="139">
        <v>0</v>
      </c>
      <c r="F115" s="139">
        <v>150</v>
      </c>
      <c r="G115" s="139">
        <v>200</v>
      </c>
      <c r="H115" s="265">
        <v>0</v>
      </c>
      <c r="I115" s="268">
        <v>6</v>
      </c>
      <c r="J115" s="265">
        <v>14.3</v>
      </c>
      <c r="S115" s="139">
        <v>0</v>
      </c>
      <c r="T115" s="139">
        <v>50</v>
      </c>
      <c r="U115" s="139">
        <v>100</v>
      </c>
      <c r="V115" s="265">
        <v>0</v>
      </c>
      <c r="W115" s="266">
        <v>5.9860623270869748</v>
      </c>
      <c r="X115" s="265">
        <v>13.8</v>
      </c>
      <c r="Y115" s="36"/>
      <c r="Z115" s="36"/>
      <c r="AA115" s="36"/>
      <c r="AB115" s="36"/>
      <c r="AC115" s="36"/>
    </row>
    <row r="116" spans="1:29" s="64" customFormat="1" x14ac:dyDescent="0.25">
      <c r="A116" s="62"/>
      <c r="B116" s="9"/>
      <c r="C116" s="9"/>
      <c r="D116" s="9" t="s">
        <v>202</v>
      </c>
      <c r="E116" s="209">
        <f t="shared" ref="E116:J116" si="51">AVERAGE(E112,E113)</f>
        <v>0</v>
      </c>
      <c r="F116" s="209">
        <f t="shared" si="51"/>
        <v>150</v>
      </c>
      <c r="G116" s="209">
        <f t="shared" si="51"/>
        <v>200</v>
      </c>
      <c r="H116" s="208">
        <f t="shared" si="51"/>
        <v>4.3</v>
      </c>
      <c r="I116" s="208">
        <f t="shared" si="51"/>
        <v>5.5852849434092615</v>
      </c>
      <c r="J116" s="208">
        <f t="shared" si="51"/>
        <v>6.85</v>
      </c>
      <c r="S116" s="148">
        <f t="shared" ref="S116:X116" si="52">AVERAGE(S112,S113)</f>
        <v>0</v>
      </c>
      <c r="T116" s="148">
        <f t="shared" si="52"/>
        <v>50</v>
      </c>
      <c r="U116" s="148">
        <f t="shared" si="52"/>
        <v>100</v>
      </c>
      <c r="V116" s="208">
        <f t="shared" si="52"/>
        <v>4</v>
      </c>
      <c r="W116" s="208">
        <f t="shared" si="52"/>
        <v>5.7489772375446293</v>
      </c>
      <c r="X116" s="208">
        <f t="shared" si="52"/>
        <v>7.5</v>
      </c>
      <c r="Y116" s="36"/>
      <c r="Z116" s="36"/>
      <c r="AA116" s="36"/>
      <c r="AB116" s="36"/>
      <c r="AC116" s="36"/>
    </row>
    <row r="117" spans="1:29" s="64" customFormat="1" x14ac:dyDescent="0.25">
      <c r="A117" s="62"/>
      <c r="B117" s="9"/>
      <c r="C117" s="9"/>
      <c r="D117" s="9" t="s">
        <v>203</v>
      </c>
      <c r="E117" s="209">
        <f t="shared" ref="E117:J117" si="53">AVERAGE(E114,E115)</f>
        <v>0</v>
      </c>
      <c r="F117" s="209">
        <f t="shared" si="53"/>
        <v>150</v>
      </c>
      <c r="G117" s="209">
        <f t="shared" si="53"/>
        <v>200</v>
      </c>
      <c r="H117" s="208">
        <f t="shared" si="53"/>
        <v>0</v>
      </c>
      <c r="I117" s="208">
        <f t="shared" si="53"/>
        <v>6</v>
      </c>
      <c r="J117" s="208">
        <f t="shared" si="53"/>
        <v>13.9</v>
      </c>
      <c r="S117" s="148">
        <f t="shared" ref="S117:X117" si="54">AVERAGE(S114,S115)</f>
        <v>0</v>
      </c>
      <c r="T117" s="148">
        <f t="shared" si="54"/>
        <v>50</v>
      </c>
      <c r="U117" s="148">
        <f t="shared" si="54"/>
        <v>100</v>
      </c>
      <c r="V117" s="208">
        <f t="shared" si="54"/>
        <v>0</v>
      </c>
      <c r="W117" s="208">
        <f t="shared" si="54"/>
        <v>5.3250303055848107</v>
      </c>
      <c r="X117" s="208">
        <f t="shared" si="54"/>
        <v>13.25</v>
      </c>
      <c r="Y117" s="36"/>
      <c r="Z117" s="36"/>
      <c r="AA117" s="36"/>
      <c r="AB117" s="36"/>
      <c r="AC117" s="36"/>
    </row>
    <row r="118" spans="1:29" s="64" customFormat="1" x14ac:dyDescent="0.25">
      <c r="A118" s="62"/>
      <c r="B118" s="9"/>
      <c r="C118" s="9"/>
      <c r="D118" s="9" t="s">
        <v>256</v>
      </c>
      <c r="E118" s="177"/>
      <c r="F118" s="177"/>
      <c r="G118" s="177"/>
      <c r="H118" s="114"/>
      <c r="I118" s="114"/>
      <c r="J118" s="114"/>
      <c r="S118" s="15"/>
      <c r="T118" s="45"/>
      <c r="U118" s="45"/>
      <c r="V118" s="45"/>
      <c r="W118" s="45"/>
      <c r="X118" s="45"/>
      <c r="Y118" s="36"/>
      <c r="Z118" s="36"/>
      <c r="AA118" s="36"/>
      <c r="AB118" s="36"/>
      <c r="AC118" s="36"/>
    </row>
    <row r="119" spans="1:29" s="64" customFormat="1" x14ac:dyDescent="0.25">
      <c r="A119" s="9" t="s">
        <v>111</v>
      </c>
      <c r="B119" s="9" t="s">
        <v>97</v>
      </c>
      <c r="C119" s="9" t="s">
        <v>409</v>
      </c>
      <c r="D119" s="9" t="s">
        <v>200</v>
      </c>
      <c r="E119" s="139">
        <f>1</f>
        <v>1</v>
      </c>
      <c r="F119" s="139">
        <v>0.5</v>
      </c>
      <c r="G119" s="139">
        <v>0.2</v>
      </c>
      <c r="H119" s="265">
        <v>0.4</v>
      </c>
      <c r="I119" s="266">
        <v>1.1247559513920011</v>
      </c>
      <c r="J119" s="265">
        <v>1.9</v>
      </c>
      <c r="S119" s="139">
        <f>1</f>
        <v>1</v>
      </c>
      <c r="T119" s="139">
        <v>0.5</v>
      </c>
      <c r="U119" s="139">
        <v>0.2</v>
      </c>
      <c r="V119" s="265">
        <v>0.2</v>
      </c>
      <c r="W119" s="266">
        <v>0.94839727337148683</v>
      </c>
      <c r="X119" s="265">
        <v>1.7</v>
      </c>
      <c r="Y119" s="36"/>
      <c r="Z119" s="36"/>
      <c r="AA119" s="36"/>
      <c r="AB119" s="36"/>
      <c r="AC119" s="36"/>
    </row>
    <row r="120" spans="1:29" s="64" customFormat="1" x14ac:dyDescent="0.25">
      <c r="A120" s="9"/>
      <c r="B120" s="9"/>
      <c r="C120" s="9" t="s">
        <v>408</v>
      </c>
      <c r="D120" s="9" t="s">
        <v>188</v>
      </c>
      <c r="E120" s="140">
        <f>5*365/3</f>
        <v>608.33333333333337</v>
      </c>
      <c r="F120" s="140">
        <f>3*365/3</f>
        <v>365</v>
      </c>
      <c r="G120" s="140">
        <f>2*365/3</f>
        <v>243.33333333333334</v>
      </c>
      <c r="H120" s="265">
        <v>0.2</v>
      </c>
      <c r="I120" s="266">
        <v>1.0237253779313176</v>
      </c>
      <c r="J120" s="265">
        <v>1.8</v>
      </c>
      <c r="S120" s="140">
        <f>3*365/3</f>
        <v>365</v>
      </c>
      <c r="T120" s="140">
        <f>2*365/3</f>
        <v>243.33333333333334</v>
      </c>
      <c r="U120" s="140">
        <f>1*365/3</f>
        <v>121.66666666666667</v>
      </c>
      <c r="V120" s="265">
        <v>0.4</v>
      </c>
      <c r="W120" s="266">
        <v>1.2420833783522209</v>
      </c>
      <c r="X120" s="265">
        <v>2.1</v>
      </c>
      <c r="Y120" s="36"/>
      <c r="Z120" s="36"/>
      <c r="AA120" s="36"/>
      <c r="AB120" s="36"/>
      <c r="AC120" s="36"/>
    </row>
    <row r="121" spans="1:29" s="64" customFormat="1" x14ac:dyDescent="0.25">
      <c r="A121" s="9"/>
      <c r="B121" s="9"/>
      <c r="C121" s="162" t="s">
        <v>410</v>
      </c>
      <c r="D121" s="9" t="s">
        <v>201</v>
      </c>
      <c r="E121" s="139">
        <f>1</f>
        <v>1</v>
      </c>
      <c r="F121" s="139">
        <v>0.5</v>
      </c>
      <c r="G121" s="139">
        <v>0.2</v>
      </c>
      <c r="H121" s="265">
        <v>1</v>
      </c>
      <c r="I121" s="268">
        <v>4.9000000000000004</v>
      </c>
      <c r="J121" s="265">
        <v>10.3</v>
      </c>
      <c r="S121" s="139">
        <f>1</f>
        <v>1</v>
      </c>
      <c r="T121" s="139">
        <v>0.5</v>
      </c>
      <c r="U121" s="139">
        <v>0.2</v>
      </c>
      <c r="V121" s="265">
        <v>0.9</v>
      </c>
      <c r="W121" s="266">
        <v>4.4800608974811027</v>
      </c>
      <c r="X121" s="265">
        <v>8.1</v>
      </c>
      <c r="Y121" s="36"/>
      <c r="Z121" s="36"/>
      <c r="AA121" s="36"/>
      <c r="AB121" s="36"/>
      <c r="AC121" s="36"/>
    </row>
    <row r="122" spans="1:29" s="64" customFormat="1" x14ac:dyDescent="0.25">
      <c r="A122" s="9"/>
      <c r="B122" s="9"/>
      <c r="C122" s="9"/>
      <c r="D122" s="9" t="s">
        <v>189</v>
      </c>
      <c r="E122" s="140">
        <f>5*365/3</f>
        <v>608.33333333333337</v>
      </c>
      <c r="F122" s="140">
        <f>3*365/3</f>
        <v>365</v>
      </c>
      <c r="G122" s="140">
        <f>2*365/3</f>
        <v>243.33333333333334</v>
      </c>
      <c r="H122" s="265">
        <v>0</v>
      </c>
      <c r="I122" s="268">
        <v>4.9000000000000004</v>
      </c>
      <c r="J122" s="265">
        <v>9.1</v>
      </c>
      <c r="S122" s="140">
        <f>3*365/3</f>
        <v>365</v>
      </c>
      <c r="T122" s="140">
        <f>2*365/3</f>
        <v>243.33333333333334</v>
      </c>
      <c r="U122" s="140">
        <f>1*365/3</f>
        <v>121.66666666666667</v>
      </c>
      <c r="V122" s="265">
        <v>0</v>
      </c>
      <c r="W122" s="266">
        <v>3.5347707754555424</v>
      </c>
      <c r="X122" s="265">
        <v>7.1</v>
      </c>
      <c r="Y122" s="36"/>
      <c r="Z122" s="36"/>
      <c r="AA122" s="36"/>
      <c r="AB122" s="36"/>
      <c r="AC122" s="36"/>
    </row>
    <row r="123" spans="1:29" s="64" customFormat="1" x14ac:dyDescent="0.25">
      <c r="A123" s="9"/>
      <c r="B123" s="9"/>
      <c r="C123" s="9"/>
      <c r="D123" s="9" t="s">
        <v>202</v>
      </c>
      <c r="E123" s="207">
        <f>E120</f>
        <v>608.33333333333337</v>
      </c>
      <c r="F123" s="207">
        <f>F120</f>
        <v>365</v>
      </c>
      <c r="G123" s="207">
        <f>G120</f>
        <v>243.33333333333334</v>
      </c>
      <c r="H123" s="208">
        <f>AVERAGE(H119,H120)</f>
        <v>0.30000000000000004</v>
      </c>
      <c r="I123" s="208">
        <f>AVERAGE(I119,I120)</f>
        <v>1.0742406646616594</v>
      </c>
      <c r="J123" s="208">
        <f>AVERAGE(J119,J120)</f>
        <v>1.85</v>
      </c>
      <c r="K123" s="36"/>
      <c r="L123" s="36"/>
      <c r="M123" s="36"/>
      <c r="N123" s="36"/>
      <c r="O123" s="36"/>
      <c r="P123" s="36"/>
      <c r="Q123" s="36"/>
      <c r="R123" s="36"/>
      <c r="S123" s="148">
        <f t="shared" ref="S123:X123" si="55">AVERAGE(S119,S120)</f>
        <v>183</v>
      </c>
      <c r="T123" s="148">
        <f t="shared" si="55"/>
        <v>121.91666666666667</v>
      </c>
      <c r="U123" s="148">
        <f t="shared" si="55"/>
        <v>60.933333333333337</v>
      </c>
      <c r="V123" s="208">
        <f t="shared" si="55"/>
        <v>0.30000000000000004</v>
      </c>
      <c r="W123" s="208">
        <f t="shared" si="55"/>
        <v>1.0952403258618539</v>
      </c>
      <c r="X123" s="208">
        <f t="shared" si="55"/>
        <v>1.9</v>
      </c>
      <c r="Y123" s="36"/>
      <c r="Z123" s="36"/>
      <c r="AA123" s="36"/>
      <c r="AB123" s="36"/>
      <c r="AC123" s="36"/>
    </row>
    <row r="124" spans="1:29" s="64" customFormat="1" x14ac:dyDescent="0.25">
      <c r="A124" s="9"/>
      <c r="B124" s="9"/>
      <c r="C124" s="9"/>
      <c r="D124" s="9" t="s">
        <v>203</v>
      </c>
      <c r="E124" s="207">
        <f>E122</f>
        <v>608.33333333333337</v>
      </c>
      <c r="F124" s="207">
        <f>F122</f>
        <v>365</v>
      </c>
      <c r="G124" s="207">
        <f>G122</f>
        <v>243.33333333333334</v>
      </c>
      <c r="H124" s="208">
        <f>AVERAGE(H121,H122)</f>
        <v>0.5</v>
      </c>
      <c r="I124" s="208">
        <f>AVERAGE(I121,I122)</f>
        <v>4.9000000000000004</v>
      </c>
      <c r="J124" s="208">
        <f>AVERAGE(J121,J122)</f>
        <v>9.6999999999999993</v>
      </c>
      <c r="K124" s="36"/>
      <c r="L124" s="36"/>
      <c r="M124" s="36"/>
      <c r="N124" s="36"/>
      <c r="O124" s="36"/>
      <c r="P124" s="36"/>
      <c r="Q124" s="36"/>
      <c r="R124" s="36"/>
      <c r="S124" s="148">
        <f t="shared" ref="S124:X124" si="56">AVERAGE(S121,S122)</f>
        <v>183</v>
      </c>
      <c r="T124" s="148">
        <f t="shared" si="56"/>
        <v>121.91666666666667</v>
      </c>
      <c r="U124" s="148">
        <f t="shared" si="56"/>
        <v>60.933333333333337</v>
      </c>
      <c r="V124" s="208">
        <f t="shared" si="56"/>
        <v>0.45</v>
      </c>
      <c r="W124" s="208">
        <f t="shared" si="56"/>
        <v>4.0074158364683221</v>
      </c>
      <c r="X124" s="208">
        <f t="shared" si="56"/>
        <v>7.6</v>
      </c>
      <c r="Y124" s="36"/>
      <c r="Z124" s="36"/>
      <c r="AA124" s="36"/>
      <c r="AB124" s="36"/>
      <c r="AC124" s="36"/>
    </row>
    <row r="125" spans="1:29" s="64" customFormat="1" x14ac:dyDescent="0.25">
      <c r="A125" s="9"/>
      <c r="B125" s="9"/>
      <c r="C125" s="9"/>
      <c r="D125" s="9" t="s">
        <v>256</v>
      </c>
      <c r="E125" s="177"/>
      <c r="F125" s="177"/>
      <c r="G125" s="177"/>
      <c r="H125" s="269"/>
      <c r="I125" s="269"/>
      <c r="J125" s="269"/>
      <c r="K125" s="36"/>
      <c r="L125" s="36"/>
      <c r="M125" s="36"/>
      <c r="N125" s="36"/>
      <c r="O125" s="36"/>
      <c r="P125" s="36"/>
      <c r="Q125" s="36"/>
      <c r="R125" s="36"/>
      <c r="S125" s="15"/>
      <c r="T125" s="45"/>
      <c r="U125" s="45"/>
      <c r="V125" s="45"/>
      <c r="W125" s="45"/>
      <c r="X125" s="45"/>
      <c r="Y125" s="36"/>
      <c r="Z125" s="36"/>
      <c r="AA125" s="36"/>
      <c r="AB125" s="36"/>
      <c r="AC125" s="36"/>
    </row>
    <row r="126" spans="1:29" s="64" customFormat="1" x14ac:dyDescent="0.25">
      <c r="A126" s="258"/>
      <c r="B126" s="9"/>
      <c r="C126" s="9"/>
      <c r="D126" s="259"/>
      <c r="H126" s="260"/>
      <c r="I126" s="260"/>
      <c r="J126" s="260"/>
      <c r="K126" s="36"/>
      <c r="L126" s="36"/>
      <c r="M126" s="36"/>
      <c r="N126" s="36"/>
      <c r="O126" s="36"/>
      <c r="P126" s="36"/>
      <c r="Q126" s="36"/>
      <c r="R126" s="36"/>
      <c r="S126" s="36"/>
      <c r="T126" s="36"/>
      <c r="U126" s="36"/>
      <c r="V126" s="36"/>
      <c r="W126" s="36"/>
      <c r="X126" s="36"/>
      <c r="Y126" s="36"/>
      <c r="Z126" s="36"/>
      <c r="AA126" s="36"/>
      <c r="AB126" s="36"/>
      <c r="AC126" s="36"/>
    </row>
    <row r="127" spans="1:29" s="64" customFormat="1" x14ac:dyDescent="0.25">
      <c r="A127" s="258"/>
      <c r="B127" s="9"/>
      <c r="C127" s="9"/>
      <c r="D127" s="259"/>
      <c r="H127" s="260"/>
      <c r="I127" s="260"/>
      <c r="J127" s="260"/>
      <c r="K127" s="36"/>
      <c r="L127" s="36"/>
      <c r="M127" s="36"/>
      <c r="N127" s="36"/>
      <c r="O127" s="36"/>
      <c r="P127" s="36"/>
      <c r="Q127" s="36"/>
      <c r="R127" s="36"/>
      <c r="S127" s="36"/>
      <c r="T127" s="36"/>
      <c r="U127" s="36"/>
      <c r="V127" s="36"/>
      <c r="W127" s="36"/>
      <c r="X127" s="36"/>
      <c r="Y127" s="36"/>
      <c r="Z127" s="36"/>
      <c r="AA127" s="36"/>
      <c r="AB127" s="36"/>
      <c r="AC127" s="36"/>
    </row>
    <row r="128" spans="1:29" s="64" customFormat="1" x14ac:dyDescent="0.25">
      <c r="A128" s="258"/>
      <c r="B128" s="9"/>
      <c r="C128" s="9"/>
      <c r="D128" s="259"/>
      <c r="H128" s="260"/>
      <c r="I128" s="260"/>
      <c r="J128" s="260"/>
      <c r="K128" s="36"/>
      <c r="L128" s="36"/>
      <c r="M128" s="36"/>
      <c r="N128" s="36"/>
      <c r="O128" s="36"/>
      <c r="P128" s="36"/>
      <c r="Q128" s="36"/>
      <c r="R128" s="36"/>
      <c r="S128" s="36"/>
      <c r="T128" s="36"/>
      <c r="U128" s="36"/>
      <c r="V128" s="36"/>
      <c r="W128" s="36"/>
      <c r="X128" s="36"/>
      <c r="Y128" s="36"/>
      <c r="Z128" s="36"/>
      <c r="AA128" s="36"/>
      <c r="AB128" s="36"/>
      <c r="AC128" s="36"/>
    </row>
    <row r="129" spans="1:44" s="175" customFormat="1" x14ac:dyDescent="0.25">
      <c r="A129" s="60"/>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c r="AF129" s="60"/>
      <c r="AG129" s="60"/>
      <c r="AH129" s="60"/>
      <c r="AI129" s="60"/>
      <c r="AJ129" s="60"/>
      <c r="AK129" s="64"/>
      <c r="AL129" s="60"/>
      <c r="AM129" s="60"/>
      <c r="AN129" s="60"/>
      <c r="AO129" s="60"/>
      <c r="AP129" s="60"/>
      <c r="AQ129" s="60"/>
      <c r="AR129" s="60"/>
    </row>
    <row r="130" spans="1:44" s="176" customFormat="1" ht="19.5" x14ac:dyDescent="0.3">
      <c r="A130" s="271" t="s">
        <v>250</v>
      </c>
      <c r="B130" s="60"/>
      <c r="C130" s="129"/>
      <c r="D130" s="129"/>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c r="AI130" s="129"/>
      <c r="AJ130" s="129"/>
      <c r="AK130" s="64"/>
      <c r="AL130" s="129"/>
      <c r="AM130" s="129"/>
      <c r="AN130" s="129"/>
      <c r="AO130" s="129"/>
      <c r="AP130" s="129"/>
      <c r="AQ130" s="129"/>
      <c r="AR130" s="129"/>
    </row>
    <row r="131" spans="1:44" s="9" customFormat="1" ht="15.75" thickBot="1" x14ac:dyDescent="0.3">
      <c r="A131" s="60"/>
      <c r="B131" s="63"/>
      <c r="C131" s="245"/>
      <c r="D131" s="129"/>
      <c r="E131" s="193" t="s">
        <v>419</v>
      </c>
      <c r="F131" s="193"/>
      <c r="G131" s="273"/>
      <c r="H131" s="129"/>
      <c r="I131" s="130"/>
      <c r="J131" s="1014"/>
      <c r="K131" s="1013"/>
      <c r="L131" s="831"/>
      <c r="M131" s="831"/>
      <c r="N131" s="831"/>
      <c r="O131" s="831"/>
      <c r="P131" s="60"/>
      <c r="Q131" s="60"/>
      <c r="R131" s="60"/>
      <c r="S131" s="129" t="s">
        <v>419</v>
      </c>
      <c r="T131" s="193"/>
      <c r="U131" s="274"/>
      <c r="V131" s="129"/>
      <c r="W131" s="129"/>
      <c r="X131" s="130"/>
      <c r="Y131" s="1014"/>
      <c r="Z131" s="832"/>
      <c r="AA131" s="832"/>
      <c r="AB131" s="832"/>
      <c r="AC131" s="832"/>
      <c r="AD131" s="1013"/>
      <c r="AE131" s="60"/>
      <c r="AF131" s="60"/>
      <c r="AG131" s="60"/>
      <c r="AH131" s="60"/>
      <c r="AI131" s="60"/>
      <c r="AJ131" s="60"/>
    </row>
    <row r="132" spans="1:44" s="65" customFormat="1" x14ac:dyDescent="0.25">
      <c r="A132" s="66" t="s">
        <v>382</v>
      </c>
      <c r="B132" s="66" t="s">
        <v>251</v>
      </c>
      <c r="C132" s="246"/>
      <c r="D132" s="116"/>
      <c r="E132" s="116" t="s">
        <v>364</v>
      </c>
      <c r="F132" s="372" t="s">
        <v>363</v>
      </c>
      <c r="G132" s="116"/>
      <c r="H132" s="116"/>
      <c r="I132" s="116"/>
      <c r="J132" s="1014"/>
      <c r="K132" s="1013"/>
      <c r="L132" s="831"/>
      <c r="M132" s="831"/>
      <c r="N132" s="831"/>
      <c r="O132" s="831"/>
      <c r="P132" s="116"/>
      <c r="Q132" s="116"/>
      <c r="R132" s="116"/>
      <c r="S132" s="116" t="s">
        <v>364</v>
      </c>
      <c r="T132" s="372" t="s">
        <v>363</v>
      </c>
      <c r="U132" s="116"/>
      <c r="V132" s="116"/>
      <c r="W132" s="116"/>
      <c r="X132" s="116"/>
      <c r="Y132" s="1014"/>
      <c r="Z132" s="832"/>
      <c r="AA132" s="832"/>
      <c r="AB132" s="832"/>
      <c r="AC132" s="832"/>
      <c r="AD132" s="1013"/>
      <c r="AE132" s="116"/>
      <c r="AF132" s="116"/>
      <c r="AG132" s="831"/>
      <c r="AH132" s="831"/>
      <c r="AI132" s="831"/>
      <c r="AJ132" s="831"/>
    </row>
    <row r="133" spans="1:44" s="176" customFormat="1" x14ac:dyDescent="0.25">
      <c r="A133" s="9" t="s">
        <v>3</v>
      </c>
      <c r="B133" s="9" t="s">
        <v>71</v>
      </c>
      <c r="E133" s="192">
        <f ca="1">INDEX(INDIRECT("SSW_WTPCore_DCE_"&amp;$A133&amp;"_MaxDiffUIndex"),MATCH("COMBINED-HH",WTPCore_Group,0),MATCH("MEAN",LMH,0))</f>
        <v>4.9557034454909141</v>
      </c>
      <c r="F133" s="378">
        <f ca="1">E133*100/E$136</f>
        <v>71.844210310034214</v>
      </c>
      <c r="G133" s="118"/>
      <c r="H133" s="11"/>
      <c r="S133" s="192">
        <f ca="1">INDEX(INDIRECT("CAM_WTPCore_"&amp;$A133&amp;"_MaxDiffUIndex"),MATCH("COMBINED-HH",WTPCore_Group,0),MATCH("MEAN",LMH,0))</f>
        <v>4.7602601012312515</v>
      </c>
      <c r="T133" s="378">
        <f ca="1">S133*100/S$136</f>
        <v>70.802972337403205</v>
      </c>
      <c r="U133" s="118"/>
      <c r="V133" s="11"/>
      <c r="W133" s="145"/>
      <c r="X133" s="145"/>
      <c r="Y133" s="145"/>
      <c r="Z133" s="145"/>
      <c r="AA133" s="145"/>
      <c r="AB133" s="145"/>
      <c r="AC133" s="145"/>
      <c r="AD133" s="145"/>
      <c r="AE133" s="145"/>
      <c r="AP133" s="9"/>
      <c r="AQ133" s="9"/>
      <c r="AR133" s="9"/>
    </row>
    <row r="134" spans="1:44" s="176" customFormat="1" x14ac:dyDescent="0.25">
      <c r="A134" s="9" t="s">
        <v>318</v>
      </c>
      <c r="B134" s="9" t="s">
        <v>246</v>
      </c>
      <c r="E134" s="192">
        <f ca="1">INDEX(INDIRECT("SSW_WTPCore_DCE_"&amp;$A134&amp;"_MaxDiffUIndex"),MATCH("COMBINED-HH",WTPCore_Group,0),MATCH("MEAN",LMH,0))</f>
        <v>1.3263060759342595</v>
      </c>
      <c r="F134" s="378">
        <f ca="1">E134*100/E$136</f>
        <v>19.22782783574289</v>
      </c>
      <c r="G134" s="118"/>
      <c r="H134" s="11"/>
      <c r="S134" s="192">
        <f ca="1">INDEX(INDIRECT("CAM_WTPCore_"&amp;$A134&amp;"_MaxDiffUIndex"),MATCH("COMBINED-HH",WTPCore_Group,0),MATCH("MEAN",LMH,0))</f>
        <v>1.2129911841352059</v>
      </c>
      <c r="T134" s="378">
        <f ca="1">S134*100/S$136</f>
        <v>18.041741297628889</v>
      </c>
      <c r="U134" s="118"/>
      <c r="V134" s="11"/>
      <c r="W134" s="146"/>
      <c r="X134" s="146"/>
      <c r="Y134" s="146"/>
      <c r="Z134" s="146"/>
      <c r="AA134" s="146"/>
      <c r="AB134" s="146"/>
      <c r="AC134" s="146"/>
      <c r="AD134" s="146"/>
      <c r="AE134" s="146"/>
      <c r="AP134" s="9"/>
      <c r="AQ134" s="9"/>
      <c r="AR134" s="9"/>
    </row>
    <row r="135" spans="1:44" s="176" customFormat="1" x14ac:dyDescent="0.25">
      <c r="A135" s="9" t="s">
        <v>402</v>
      </c>
      <c r="B135" s="9" t="s">
        <v>74</v>
      </c>
      <c r="E135" s="192">
        <f ca="1">INDEX(INDIRECT("SSW_WTPCore_DCE_"&amp;$A135&amp;"_MaxDiffUIndex"),MATCH("COMBINED-HH",WTPCore_Group,0),MATCH("MEAN",LMH,0))</f>
        <v>0.61583711660624219</v>
      </c>
      <c r="F135" s="378">
        <f ca="1">E135*100/E$136</f>
        <v>8.9279618542229091</v>
      </c>
      <c r="G135" s="118"/>
      <c r="H135" s="11"/>
      <c r="S135" s="192">
        <f ca="1">INDEX(INDIRECT("CAM_WTPCore_"&amp;$A135&amp;"_MaxDiffUIndex"),MATCH("COMBINED-HH",WTPCore_Group,0),MATCH("MEAN",LMH,0))</f>
        <v>0.749997674503185</v>
      </c>
      <c r="T135" s="378">
        <f ca="1">S135*100/S$136</f>
        <v>11.15528636496791</v>
      </c>
      <c r="U135" s="118"/>
      <c r="V135" s="11"/>
      <c r="W135" s="146"/>
      <c r="X135" s="146"/>
      <c r="Y135" s="146"/>
      <c r="Z135" s="146"/>
      <c r="AA135" s="146"/>
      <c r="AB135" s="146"/>
      <c r="AC135" s="146"/>
      <c r="AD135" s="146"/>
      <c r="AE135" s="146"/>
      <c r="AP135" s="9"/>
      <c r="AQ135" s="9"/>
      <c r="AR135" s="9"/>
    </row>
    <row r="136" spans="1:44" s="176" customFormat="1" ht="15.75" thickBot="1" x14ac:dyDescent="0.3">
      <c r="E136" s="35">
        <f ca="1">SUM(E133:E135)</f>
        <v>6.8978466380314156</v>
      </c>
      <c r="F136" s="380">
        <f ca="1">SUM(F133:F135)</f>
        <v>100.00000000000001</v>
      </c>
      <c r="G136" s="251"/>
      <c r="H136" s="126"/>
      <c r="S136" s="35">
        <f ca="1">SUM(S133:S135)</f>
        <v>6.7232489598696423</v>
      </c>
      <c r="T136" s="380">
        <f ca="1">SUM(T133:T135)</f>
        <v>100</v>
      </c>
      <c r="U136" s="251"/>
      <c r="V136" s="126"/>
      <c r="W136" s="146"/>
      <c r="X136" s="146"/>
      <c r="Y136" s="146"/>
      <c r="Z136" s="146"/>
      <c r="AA136" s="146"/>
      <c r="AB136" s="146"/>
      <c r="AC136" s="146"/>
      <c r="AD136" s="146"/>
      <c r="AE136" s="146"/>
      <c r="AP136" s="9"/>
      <c r="AQ136" s="9"/>
      <c r="AR136" s="9"/>
    </row>
    <row r="137" spans="1:44" s="176" customFormat="1" x14ac:dyDescent="0.25">
      <c r="A137" s="162" t="s">
        <v>487</v>
      </c>
      <c r="S137" s="146"/>
      <c r="T137" s="146"/>
      <c r="U137" s="146"/>
      <c r="V137" s="146"/>
      <c r="W137" s="146"/>
      <c r="X137" s="146"/>
      <c r="Y137" s="146"/>
      <c r="Z137" s="146"/>
      <c r="AA137" s="146"/>
      <c r="AB137" s="146"/>
      <c r="AC137" s="146"/>
      <c r="AD137" s="146"/>
      <c r="AE137" s="146"/>
      <c r="AP137" s="9"/>
      <c r="AQ137" s="9"/>
      <c r="AR137" s="9"/>
    </row>
    <row r="138" spans="1:44" s="64" customFormat="1" x14ac:dyDescent="0.25">
      <c r="A138" s="258"/>
      <c r="B138" s="9"/>
      <c r="C138" s="9"/>
      <c r="D138" s="259"/>
      <c r="H138" s="260"/>
      <c r="I138" s="260"/>
      <c r="J138" s="260"/>
      <c r="K138" s="36"/>
      <c r="L138" s="36"/>
      <c r="M138" s="36"/>
      <c r="N138" s="36"/>
      <c r="O138" s="36"/>
      <c r="P138" s="36"/>
      <c r="Q138" s="36"/>
      <c r="R138" s="36"/>
      <c r="S138" s="36"/>
      <c r="T138" s="36"/>
      <c r="U138" s="36"/>
      <c r="V138" s="36"/>
      <c r="W138" s="36"/>
      <c r="X138" s="36"/>
      <c r="Y138" s="36"/>
      <c r="Z138" s="36"/>
      <c r="AA138" s="36"/>
      <c r="AB138" s="36"/>
      <c r="AC138" s="36"/>
    </row>
    <row r="139" spans="1:44" s="9" customFormat="1" x14ac:dyDescent="0.25">
      <c r="A139" s="60"/>
      <c r="B139" s="60"/>
      <c r="C139" s="60"/>
      <c r="D139" s="66"/>
      <c r="E139" s="110"/>
      <c r="F139" s="110"/>
      <c r="G139" s="110"/>
      <c r="H139" s="110"/>
      <c r="I139" s="110"/>
      <c r="J139" s="110"/>
      <c r="K139" s="111"/>
      <c r="L139" s="111"/>
      <c r="M139" s="111"/>
      <c r="N139" s="111"/>
      <c r="O139" s="111"/>
      <c r="P139" s="110"/>
      <c r="Q139" s="110"/>
      <c r="R139" s="110"/>
      <c r="S139" s="111"/>
      <c r="T139" s="110"/>
      <c r="U139" s="110"/>
      <c r="V139" s="110"/>
      <c r="W139" s="110"/>
      <c r="X139" s="110"/>
      <c r="Y139" s="110"/>
      <c r="Z139" s="110"/>
      <c r="AA139" s="110"/>
      <c r="AB139" s="110"/>
      <c r="AC139" s="110"/>
      <c r="AD139" s="110"/>
      <c r="AE139" s="110"/>
      <c r="AF139" s="110"/>
      <c r="AG139" s="110"/>
      <c r="AH139" s="110"/>
      <c r="AI139" s="110"/>
      <c r="AJ139" s="110"/>
    </row>
    <row r="140" spans="1:44" s="9" customFormat="1" ht="19.5" x14ac:dyDescent="0.3">
      <c r="A140" s="112" t="s">
        <v>510</v>
      </c>
      <c r="B140" s="60"/>
      <c r="C140" s="60"/>
      <c r="D140" s="66"/>
      <c r="E140" s="242"/>
      <c r="F140" s="241"/>
      <c r="G140" s="241"/>
      <c r="H140" s="241"/>
      <c r="I140" s="241"/>
      <c r="J140" s="241"/>
      <c r="K140" s="243"/>
      <c r="L140" s="243"/>
      <c r="M140" s="243"/>
      <c r="N140" s="243"/>
      <c r="O140" s="243"/>
      <c r="P140" s="110"/>
      <c r="Q140" s="110"/>
      <c r="R140" s="110"/>
      <c r="S140" s="111"/>
      <c r="T140" s="110"/>
      <c r="U140" s="110"/>
      <c r="V140" s="110"/>
      <c r="W140" s="110"/>
      <c r="X140" s="110"/>
      <c r="Y140" s="110"/>
      <c r="Z140" s="110"/>
      <c r="AA140" s="110"/>
      <c r="AB140" s="110"/>
      <c r="AC140" s="110"/>
      <c r="AD140" s="110"/>
      <c r="AE140" s="110"/>
      <c r="AF140" s="110"/>
      <c r="AG140" s="110"/>
      <c r="AH140" s="110"/>
      <c r="AI140" s="110"/>
      <c r="AJ140" s="110"/>
    </row>
    <row r="141" spans="1:44" s="9" customFormat="1" ht="15" customHeight="1" thickBot="1" x14ac:dyDescent="0.3">
      <c r="A141" s="60"/>
      <c r="B141" s="63"/>
      <c r="C141" s="245"/>
      <c r="D141" s="66"/>
      <c r="E141" s="129" t="s">
        <v>988</v>
      </c>
      <c r="F141" s="193"/>
      <c r="G141" s="193"/>
      <c r="H141" s="129" t="s">
        <v>987</v>
      </c>
      <c r="I141" s="129"/>
      <c r="J141" s="130"/>
      <c r="K141" s="1014" t="s">
        <v>393</v>
      </c>
      <c r="L141" s="832"/>
      <c r="M141" s="832"/>
      <c r="N141" s="832"/>
      <c r="O141" s="832"/>
      <c r="P141" s="1013" t="s">
        <v>333</v>
      </c>
      <c r="Q141" s="60"/>
      <c r="R141" s="60"/>
      <c r="S141" s="129" t="s">
        <v>988</v>
      </c>
      <c r="T141" s="193"/>
      <c r="U141" s="193"/>
      <c r="V141" s="129" t="s">
        <v>987</v>
      </c>
      <c r="W141" s="129"/>
      <c r="X141" s="130"/>
      <c r="Y141" s="1014" t="s">
        <v>393</v>
      </c>
      <c r="Z141" s="832"/>
      <c r="AA141" s="832"/>
      <c r="AB141" s="832"/>
      <c r="AC141" s="832"/>
      <c r="AD141" s="1013" t="s">
        <v>333</v>
      </c>
      <c r="AE141" s="60"/>
      <c r="AF141" s="60"/>
      <c r="AG141" s="60"/>
      <c r="AH141" s="60"/>
      <c r="AI141" s="60"/>
      <c r="AJ141" s="60"/>
    </row>
    <row r="142" spans="1:44" s="65" customFormat="1" ht="45" x14ac:dyDescent="0.25">
      <c r="A142" s="66" t="s">
        <v>249</v>
      </c>
      <c r="B142" s="66"/>
      <c r="C142" s="246" t="s">
        <v>264</v>
      </c>
      <c r="D142" s="66"/>
      <c r="E142" s="116" t="s">
        <v>259</v>
      </c>
      <c r="F142" s="116" t="s">
        <v>260</v>
      </c>
      <c r="G142" s="116" t="s">
        <v>261</v>
      </c>
      <c r="H142" s="116" t="s">
        <v>313</v>
      </c>
      <c r="I142" s="116" t="s">
        <v>312</v>
      </c>
      <c r="J142" s="116" t="s">
        <v>311</v>
      </c>
      <c r="K142" s="1014"/>
      <c r="L142" s="832" t="s">
        <v>989</v>
      </c>
      <c r="M142" s="832" t="s">
        <v>990</v>
      </c>
      <c r="N142" s="832" t="s">
        <v>991</v>
      </c>
      <c r="O142" s="808" t="s">
        <v>992</v>
      </c>
      <c r="P142" s="1013"/>
      <c r="Q142" s="116" t="s">
        <v>368</v>
      </c>
      <c r="R142" s="372" t="s">
        <v>367</v>
      </c>
      <c r="S142" s="116" t="s">
        <v>259</v>
      </c>
      <c r="T142" s="116" t="s">
        <v>260</v>
      </c>
      <c r="U142" s="116" t="s">
        <v>261</v>
      </c>
      <c r="V142" s="116" t="s">
        <v>313</v>
      </c>
      <c r="W142" s="116" t="s">
        <v>312</v>
      </c>
      <c r="X142" s="116" t="s">
        <v>311</v>
      </c>
      <c r="Y142" s="1014"/>
      <c r="Z142" s="832" t="s">
        <v>989</v>
      </c>
      <c r="AA142" s="832" t="s">
        <v>990</v>
      </c>
      <c r="AB142" s="832" t="s">
        <v>991</v>
      </c>
      <c r="AC142" s="808" t="s">
        <v>992</v>
      </c>
      <c r="AD142" s="1013"/>
      <c r="AE142" s="116" t="s">
        <v>368</v>
      </c>
      <c r="AF142" s="372" t="s">
        <v>367</v>
      </c>
      <c r="AG142" s="316"/>
      <c r="AH142" s="316"/>
      <c r="AI142" s="316"/>
      <c r="AJ142" s="316"/>
    </row>
    <row r="143" spans="1:44" s="64" customFormat="1" x14ac:dyDescent="0.25">
      <c r="A143" s="64" t="s">
        <v>370</v>
      </c>
      <c r="B143" s="165"/>
      <c r="C143" s="64" t="s">
        <v>399</v>
      </c>
      <c r="D143" s="165"/>
      <c r="E143" s="42">
        <f t="shared" ref="E143:E149" ca="1" si="57">INDEX(INDIRECT("SSW_WTPCore2_"&amp;$C143&amp;"_Levels"),1,MATCH(E$142,WTPCore2_AttLevels,0))</f>
        <v>1.2500000000000001E-2</v>
      </c>
      <c r="F143" s="42"/>
      <c r="G143" s="42">
        <f t="shared" ref="G143:G149" ca="1" si="58">INDEX(INDIRECT("SSW_WTPCore2_"&amp;$C143&amp;"_Levels"),1,MATCH(G$142,WTPCore2_AttLevels,0))</f>
        <v>8.3333333333333332E-3</v>
      </c>
      <c r="H143" s="117">
        <f t="shared" ref="H143:H149" ca="1" si="59">INDEX(INDIRECT("SSW_WTPCore2_"&amp;$C143&amp;"_LevelValues"),1,MATCH("S1 MEAN",WTPCore2_LevelValues,0))</f>
        <v>0.88929876177631462</v>
      </c>
      <c r="I143" s="117">
        <f t="shared" ref="I143:I149" ca="1" si="60">INDEX(INDIRECT("SSW_WTPCore2_"&amp;$C143&amp;"_LevelValues"),1,MATCH("S2 MEAN",WTPCore2_LevelValues,0))</f>
        <v>0.22437782965097952</v>
      </c>
      <c r="J143" s="272">
        <f ca="1">H143+I143</f>
        <v>1.1136765914272941</v>
      </c>
      <c r="K143" s="192">
        <f ca="1">INDEX(INDIRECT("SSW_WTPCore_DCE_"&amp;$C143&amp;"_MaxDiffUIndex"),MATCH("COMBINED-HH",WTPCore_Group,0),MATCH("MEAN",LMH,0))</f>
        <v>38.337777718834076</v>
      </c>
      <c r="L143" s="579">
        <f t="shared" ref="L143:L159" ca="1" si="61">INDEX(INDIRECT("SSW_WTPCore_DCE_"&amp;$C143&amp;"_UnitValues"),MATCH("COMBINED-HH",WTPCore_Group,0),MATCH("MEAN",LMH,0))</f>
        <v>751.24482173174863</v>
      </c>
      <c r="M143" s="579">
        <f ca="1">L143*($E143-$G143)*(AllProps_SSW/HHProps_SSW)</f>
        <v>3.3400000000000003</v>
      </c>
      <c r="N143" s="117">
        <f ca="1">INDEX(INDIRECT("SSW_WTPCore2_"&amp;$C143&amp;"_UnitValues"),1,MATCH("MEAN",LMH,0))</f>
        <v>250.4921474232392</v>
      </c>
      <c r="O143" s="848">
        <f ca="1">N143*($E143-$G143)*(AllProps_SSW/HHProps_SSW)</f>
        <v>1.1136765914272941</v>
      </c>
      <c r="P143" s="118">
        <f ca="1">(K143*N$161)/K$160</f>
        <v>15.060119807488956</v>
      </c>
      <c r="Q143" s="236" t="s">
        <v>369</v>
      </c>
      <c r="R143" s="375">
        <f t="shared" ref="R143:R148" ca="1" si="62">(P143*HHProps_SSW)/((E143-G143)*AllProps_SSW)</f>
        <v>3387.376353304137</v>
      </c>
      <c r="S143" s="42">
        <f t="shared" ref="S143:S149" ca="1" si="63">INDEX(INDIRECT("CAM_WTPCore2_"&amp;$C143&amp;"_Levels"),1,MATCH(S$142,WTPCore2_AttLevels,0))</f>
        <v>1.2500000000000001E-2</v>
      </c>
      <c r="T143" s="42"/>
      <c r="U143" s="42">
        <f t="shared" ref="U143:U149" ca="1" si="64">INDEX(INDIRECT("CAM_WTPCore2_"&amp;$C143&amp;"_Levels"),1,MATCH(U$142,WTPCore2_AttLevels,0))</f>
        <v>8.3333333333333332E-3</v>
      </c>
      <c r="V143" s="117">
        <f t="shared" ref="V143:V149" ca="1" si="65">INDEX(INDIRECT("CAM_WTPCore2_"&amp;$C143&amp;"_LevelValues"),1,MATCH("S1 MEAN",WTPCore2_LevelValues,0))</f>
        <v>1.0483009561625427</v>
      </c>
      <c r="W143" s="117">
        <f t="shared" ref="W143:W149" ca="1" si="66">INDEX(INDIRECT("CAM_WTPCore2_"&amp;$C143&amp;"_LevelValues"),1,MATCH("S2 MEAN",WTPCore2_LevelValues,0))</f>
        <v>1.4106837870846367</v>
      </c>
      <c r="X143" s="272">
        <f ca="1">V143+W143</f>
        <v>2.4589847432471794</v>
      </c>
      <c r="Y143" s="192">
        <f t="shared" ref="Y143:Y159" ca="1" si="67">INDEX(INDIRECT("CAM_WTPCore_"&amp;$C143&amp;"_MaxDiffUIndex"),MATCH("COMBINED-HH",WTPCore_Group,0),MATCH("MEAN",LMH,0))</f>
        <v>35.009927011282585</v>
      </c>
      <c r="Z143" s="579">
        <f t="shared" ref="Z143:Z159" ca="1" si="68">INDEX(INDIRECT("CAM_WTPCore_"&amp;$C143&amp;"_UnitValues"),MATCH("COMBINED-HH",WTPCore_Group,0),MATCH("MEAN",LMH,0))</f>
        <v>495.01276595744673</v>
      </c>
      <c r="AA143" s="579">
        <f ca="1">Z143*($S143-$U143)*(AllProps_CAM/HHProps_CAM)</f>
        <v>2.2200000000000002</v>
      </c>
      <c r="AB143" s="117">
        <f t="shared" ref="AB143:AB149" ca="1" si="69">INDEX(INDIRECT("CAM_WTPCore2_"&amp;$C143&amp;"_UnitValues"),1,MATCH("MEAN",LMH,0))</f>
        <v>548.30127891979646</v>
      </c>
      <c r="AC143" s="848">
        <f ca="1">AB143*($S143-$U143)*(AllProps_CAM/HHProps_CAM)</f>
        <v>2.458984743247179</v>
      </c>
      <c r="AD143" s="118">
        <f ca="1">(Y143*AB$211)/Y$160</f>
        <v>15.493767200512629</v>
      </c>
      <c r="AE143" s="236" t="s">
        <v>369</v>
      </c>
      <c r="AF143" s="375">
        <f t="shared" ref="AF143:AF148" ca="1" si="70">(AD143*HHProps_CAM)/((S143-U143)*AllProps_CAM)</f>
        <v>3454.7804310930278</v>
      </c>
      <c r="AG143" s="846"/>
      <c r="AH143" s="846"/>
      <c r="AI143" s="846"/>
      <c r="AJ143" s="846"/>
    </row>
    <row r="144" spans="1:44" s="64" customFormat="1" x14ac:dyDescent="0.25">
      <c r="A144" s="258" t="s">
        <v>25</v>
      </c>
      <c r="B144" s="258"/>
      <c r="C144" s="9" t="s">
        <v>266</v>
      </c>
      <c r="D144" s="258"/>
      <c r="E144" s="42">
        <f t="shared" ca="1" si="57"/>
        <v>6.6666666666666666E-2</v>
      </c>
      <c r="F144" s="42"/>
      <c r="G144" s="42">
        <f t="shared" ca="1" si="58"/>
        <v>0.04</v>
      </c>
      <c r="H144" s="117">
        <f t="shared" ca="1" si="59"/>
        <v>3.3679929677046498</v>
      </c>
      <c r="I144" s="117">
        <f t="shared" ca="1" si="60"/>
        <v>0.60669022375558512</v>
      </c>
      <c r="J144" s="272">
        <f t="shared" ref="J144:J159" ca="1" si="71">H144+I144</f>
        <v>3.974683191460235</v>
      </c>
      <c r="K144" s="192">
        <f t="shared" ref="K144:K159" ca="1" si="72">INDEX(INDIRECT("SSW_WTPCore_DCE_"&amp;$C144&amp;"_MaxDiffUIndex"),MATCH("COMBINED-HH",WTPCore_Group,0),MATCH("MEAN",LMH,0))</f>
        <v>3.8771371620975081</v>
      </c>
      <c r="L144" s="579">
        <f t="shared" ca="1" si="61"/>
        <v>27.809917858229387</v>
      </c>
      <c r="M144" s="579">
        <f ca="1">L144*($E144-$G144)*(AllProps_SSW/HHProps_SSW)</f>
        <v>0.79130635838150276</v>
      </c>
      <c r="N144" s="117">
        <f t="shared" ref="N144:N158" ca="1" si="73">INDEX(INDIRECT("SSW_WTPCore2_"&amp;$C144&amp;"_UnitValues"),1,MATCH("MEAN",LMH,0))</f>
        <v>139.68750774741403</v>
      </c>
      <c r="O144" s="848">
        <f ca="1">N144*($E144-$G144)*(AllProps_SSW/HHProps_SSW)</f>
        <v>3.974683191460235</v>
      </c>
      <c r="P144" s="118">
        <f t="shared" ref="P144:P159" ca="1" si="74">(K144*N$161)/K$160</f>
        <v>1.5230447262615083</v>
      </c>
      <c r="Q144" s="236" t="s">
        <v>369</v>
      </c>
      <c r="R144" s="375">
        <f t="shared" ca="1" si="62"/>
        <v>53.526359649598</v>
      </c>
      <c r="S144" s="42">
        <f t="shared" ca="1" si="63"/>
        <v>2.2222222222222223E-2</v>
      </c>
      <c r="T144" s="42"/>
      <c r="U144" s="42">
        <f t="shared" ca="1" si="64"/>
        <v>1.5384615384615385E-2</v>
      </c>
      <c r="V144" s="117">
        <f t="shared" ca="1" si="65"/>
        <v>3.1155463151224057</v>
      </c>
      <c r="W144" s="117">
        <f t="shared" ca="1" si="66"/>
        <v>1.3419840000849801</v>
      </c>
      <c r="X144" s="272">
        <f t="shared" ref="X144:X159" ca="1" si="75">V144+W144</f>
        <v>4.4575303152073857</v>
      </c>
      <c r="Y144" s="192">
        <f t="shared" ca="1" si="67"/>
        <v>4.6043643487963033</v>
      </c>
      <c r="Z144" s="579">
        <f t="shared" ca="1" si="68"/>
        <v>305.14240121580548</v>
      </c>
      <c r="AA144" s="579">
        <f ca="1">Z144*($S144-$U144)*(AllProps_CAM/HHProps_CAM)</f>
        <v>2.2457142857142856</v>
      </c>
      <c r="AB144" s="117">
        <f t="shared" ca="1" si="69"/>
        <v>605.67878671262065</v>
      </c>
      <c r="AC144" s="848">
        <f ca="1">AB144*($S144-$U144)*(AllProps_CAM/HHProps_CAM)</f>
        <v>4.4575303152073857</v>
      </c>
      <c r="AD144" s="118">
        <f t="shared" ref="AD144:AD159" ca="1" si="76">(Y144*AB$211)/Y$160</f>
        <v>2.0376777507590802</v>
      </c>
      <c r="AE144" s="236" t="s">
        <v>369</v>
      </c>
      <c r="AF144" s="375">
        <f t="shared" ca="1" si="70"/>
        <v>276.87488374011008</v>
      </c>
      <c r="AG144" s="846"/>
      <c r="AH144" s="846"/>
      <c r="AI144" s="846"/>
      <c r="AJ144" s="846"/>
    </row>
    <row r="145" spans="1:36" s="64" customFormat="1" x14ac:dyDescent="0.25">
      <c r="A145" s="258" t="s">
        <v>255</v>
      </c>
      <c r="B145" s="258"/>
      <c r="C145" s="9" t="s">
        <v>265</v>
      </c>
      <c r="D145" s="258"/>
      <c r="E145" s="42">
        <f t="shared" ca="1" si="57"/>
        <v>1.6666666666666666E-2</v>
      </c>
      <c r="F145" s="42"/>
      <c r="G145" s="42">
        <f t="shared" ca="1" si="58"/>
        <v>1.1111111111111112E-2</v>
      </c>
      <c r="H145" s="117">
        <f t="shared" ca="1" si="59"/>
        <v>0.30818609087835352</v>
      </c>
      <c r="I145" s="117">
        <f t="shared" ca="1" si="60"/>
        <v>0.18578205633963885</v>
      </c>
      <c r="J145" s="272">
        <f t="shared" ca="1" si="71"/>
        <v>0.49396814721799237</v>
      </c>
      <c r="K145" s="192">
        <f t="shared" ca="1" si="72"/>
        <v>6.4309454784850333</v>
      </c>
      <c r="L145" s="579">
        <f t="shared" ca="1" si="61"/>
        <v>171.97536823750744</v>
      </c>
      <c r="M145" s="579">
        <f ca="1">L145*(E145-G145)*(AllProps_SSW/HHProps_SSW)</f>
        <v>1.0194594594594593</v>
      </c>
      <c r="N145" s="117">
        <f t="shared" ca="1" si="73"/>
        <v>83.328820216603944</v>
      </c>
      <c r="O145" s="848">
        <f ca="1">N145*(E145-G145)*(AllProps_SSW/HHProps_SSW)</f>
        <v>0.49396814721799231</v>
      </c>
      <c r="P145" s="118">
        <f t="shared" ca="1" si="74"/>
        <v>2.5262499587667651</v>
      </c>
      <c r="Q145" s="236" t="s">
        <v>369</v>
      </c>
      <c r="R145" s="375">
        <f t="shared" ca="1" si="62"/>
        <v>426.15992513253963</v>
      </c>
      <c r="S145" s="42">
        <f t="shared" ca="1" si="63"/>
        <v>1.4285714285714285E-2</v>
      </c>
      <c r="T145" s="42"/>
      <c r="U145" s="42">
        <f t="shared" ca="1" si="64"/>
        <v>0.01</v>
      </c>
      <c r="V145" s="117">
        <f t="shared" ca="1" si="65"/>
        <v>4.7204807663126298E-2</v>
      </c>
      <c r="W145" s="117">
        <f t="shared" ca="1" si="66"/>
        <v>0.1217094578997745</v>
      </c>
      <c r="X145" s="272">
        <f t="shared" ca="1" si="75"/>
        <v>0.16891426556290079</v>
      </c>
      <c r="Y145" s="192">
        <f t="shared" ca="1" si="67"/>
        <v>8.1307714641182258</v>
      </c>
      <c r="Z145" s="579">
        <f t="shared" ca="1" si="68"/>
        <v>205.16697061803447</v>
      </c>
      <c r="AA145" s="579">
        <f ca="1">Z145*($S145-$U145)*(AllProps_CAM/HHProps_CAM)</f>
        <v>0.94640816326530608</v>
      </c>
      <c r="AB145" s="117">
        <f t="shared" ca="1" si="69"/>
        <v>36.618057097205678</v>
      </c>
      <c r="AC145" s="848">
        <f ca="1">AB145*($S145-$U145)*(AllProps_CAM/HHProps_CAM)</f>
        <v>0.16891426556290076</v>
      </c>
      <c r="AD145" s="118">
        <f t="shared" ca="1" si="76"/>
        <v>3.5983017098270693</v>
      </c>
      <c r="AE145" s="236" t="s">
        <v>369</v>
      </c>
      <c r="AF145" s="375">
        <f t="shared" ca="1" si="70"/>
        <v>780.05736830057288</v>
      </c>
      <c r="AG145" s="846"/>
      <c r="AH145" s="846"/>
      <c r="AI145" s="846"/>
      <c r="AJ145" s="846"/>
    </row>
    <row r="146" spans="1:36" s="64" customFormat="1" x14ac:dyDescent="0.25">
      <c r="A146" s="258" t="s">
        <v>81</v>
      </c>
      <c r="B146" s="258"/>
      <c r="C146" s="9" t="s">
        <v>267</v>
      </c>
      <c r="D146" s="258"/>
      <c r="E146" s="42">
        <f t="shared" ca="1" si="57"/>
        <v>0.33333333333333331</v>
      </c>
      <c r="F146" s="42"/>
      <c r="G146" s="42">
        <f t="shared" ca="1" si="58"/>
        <v>0.2</v>
      </c>
      <c r="H146" s="117">
        <f t="shared" ca="1" si="59"/>
        <v>2.1317184182528393</v>
      </c>
      <c r="I146" s="117">
        <f t="shared" ca="1" si="60"/>
        <v>1.3756516158641041</v>
      </c>
      <c r="J146" s="272">
        <f t="shared" ca="1" si="71"/>
        <v>3.5073700341169434</v>
      </c>
      <c r="K146" s="192">
        <f t="shared" ca="1" si="72"/>
        <v>7.6520267510919124</v>
      </c>
      <c r="L146" s="579">
        <f t="shared" ca="1" si="61"/>
        <v>25.360135823429545</v>
      </c>
      <c r="M146" s="579">
        <f ca="1">L146*(E146-G146)*(AllProps_SSW/HHProps_SSW)</f>
        <v>3.6079999999999992</v>
      </c>
      <c r="N146" s="117">
        <f t="shared" ca="1" si="73"/>
        <v>24.652821631993461</v>
      </c>
      <c r="O146" s="848">
        <f ca="1">N146*(E146-G146)*(AllProps_SSW/HHProps_SSW)</f>
        <v>3.5073700341169429</v>
      </c>
      <c r="P146" s="118">
        <f t="shared" ca="1" si="74"/>
        <v>3.0059238301895852</v>
      </c>
      <c r="Q146" s="236" t="s">
        <v>369</v>
      </c>
      <c r="R146" s="375">
        <f t="shared" ca="1" si="62"/>
        <v>21.128225224083</v>
      </c>
      <c r="S146" s="42">
        <f t="shared" ca="1" si="63"/>
        <v>0.33333333333333331</v>
      </c>
      <c r="T146" s="42"/>
      <c r="U146" s="42">
        <f t="shared" ca="1" si="64"/>
        <v>0.2</v>
      </c>
      <c r="V146" s="117">
        <f t="shared" ca="1" si="65"/>
        <v>0.4252755260698568</v>
      </c>
      <c r="W146" s="117">
        <f t="shared" ca="1" si="66"/>
        <v>0.21698708612330625</v>
      </c>
      <c r="X146" s="272">
        <f t="shared" ca="1" si="75"/>
        <v>0.64226261219316305</v>
      </c>
      <c r="Y146" s="192">
        <f t="shared" ca="1" si="67"/>
        <v>9.336429178153665</v>
      </c>
      <c r="Z146" s="579">
        <f t="shared" ca="1" si="68"/>
        <v>24.945744680851064</v>
      </c>
      <c r="AA146" s="579">
        <f ca="1">Z146*($S146-$U146)*(AllProps_CAM/HHProps_CAM)</f>
        <v>3.5799999999999987</v>
      </c>
      <c r="AB146" s="117">
        <f t="shared" ca="1" si="69"/>
        <v>4.4753405424098069</v>
      </c>
      <c r="AC146" s="848">
        <f ca="1">AB146*($S146-$U146)*(AllProps_CAM/HHProps_CAM)</f>
        <v>0.64226261219316283</v>
      </c>
      <c r="AD146" s="118">
        <f t="shared" ca="1" si="76"/>
        <v>4.1318698014928223</v>
      </c>
      <c r="AE146" s="236" t="s">
        <v>369</v>
      </c>
      <c r="AF146" s="375">
        <f t="shared" ca="1" si="70"/>
        <v>28.791220425295734</v>
      </c>
      <c r="AG146" s="846"/>
      <c r="AH146" s="846"/>
      <c r="AI146" s="846"/>
      <c r="AJ146" s="846"/>
    </row>
    <row r="147" spans="1:36" s="64" customFormat="1" x14ac:dyDescent="0.25">
      <c r="A147" s="258" t="s">
        <v>82</v>
      </c>
      <c r="B147" s="258"/>
      <c r="C147" s="9" t="s">
        <v>268</v>
      </c>
      <c r="D147" s="258"/>
      <c r="E147" s="43">
        <f t="shared" ca="1" si="57"/>
        <v>0</v>
      </c>
      <c r="F147" s="42"/>
      <c r="G147" s="43">
        <f t="shared" ca="1" si="58"/>
        <v>4000</v>
      </c>
      <c r="H147" s="117">
        <f t="shared" ca="1" si="59"/>
        <v>5.2894480160712298</v>
      </c>
      <c r="I147" s="117">
        <f t="shared" ca="1" si="60"/>
        <v>0.60625599239311434</v>
      </c>
      <c r="J147" s="272">
        <f t="shared" ca="1" si="71"/>
        <v>5.8957040084643442</v>
      </c>
      <c r="K147" s="192">
        <f t="shared" ca="1" si="72"/>
        <v>1.8956613671772529</v>
      </c>
      <c r="L147" s="579">
        <f t="shared" ca="1" si="61"/>
        <v>6.1197962648556876</v>
      </c>
      <c r="M147" s="579">
        <f ca="1">-L147*(E147-G147)/HHProps_SSW</f>
        <v>4.4346349745331068E-2</v>
      </c>
      <c r="N147" s="117">
        <f t="shared" ca="1" si="73"/>
        <v>813.60715316807944</v>
      </c>
      <c r="O147" s="848">
        <f ca="1">-N147*(E147-G147)/HHProps_SSW</f>
        <v>5.8957040084643442</v>
      </c>
      <c r="P147" s="118">
        <f t="shared" ca="1" si="74"/>
        <v>0.74466724476031954</v>
      </c>
      <c r="Q147" s="236" t="s">
        <v>369</v>
      </c>
      <c r="R147" s="1008">
        <f ca="1">-(P147*HHProps_SSW)/((E147-G147))</f>
        <v>102.76407977692409</v>
      </c>
      <c r="S147" s="43">
        <f t="shared" ca="1" si="63"/>
        <v>0</v>
      </c>
      <c r="T147" s="43"/>
      <c r="U147" s="43">
        <f t="shared" ca="1" si="64"/>
        <v>1350</v>
      </c>
      <c r="V147" s="117">
        <f t="shared" ca="1" si="65"/>
        <v>2.6407734226292283</v>
      </c>
      <c r="W147" s="117">
        <f t="shared" ca="1" si="66"/>
        <v>0.50756688037153719</v>
      </c>
      <c r="X147" s="272">
        <f t="shared" ca="1" si="75"/>
        <v>3.1483403030007655</v>
      </c>
      <c r="Y147" s="192">
        <f t="shared" ca="1" si="67"/>
        <v>3.4261414881284389</v>
      </c>
      <c r="Z147" s="579">
        <f t="shared" ca="1" si="68"/>
        <v>5.6209219858156025</v>
      </c>
      <c r="AA147" s="579">
        <f ca="1">-Z147*(S147-U147)/HHProps_CAM</f>
        <v>5.7925531914893615E-2</v>
      </c>
      <c r="AB147" s="117">
        <f t="shared" ca="1" si="69"/>
        <v>305.50561458748172</v>
      </c>
      <c r="AC147" s="848">
        <f ca="1">-AB147*(S147-U147)/HHProps_CAM</f>
        <v>3.1483403030007655</v>
      </c>
      <c r="AD147" s="118">
        <f t="shared" ca="1" si="76"/>
        <v>1.5162510506226623</v>
      </c>
      <c r="AE147" s="236" t="s">
        <v>369</v>
      </c>
      <c r="AF147" s="375">
        <f ca="1">-(AD147*HHProps_CAM)/((S147-U147))</f>
        <v>147.13250935671761</v>
      </c>
      <c r="AG147" s="847"/>
      <c r="AH147" s="847"/>
      <c r="AI147" s="847"/>
      <c r="AJ147" s="847"/>
    </row>
    <row r="148" spans="1:36" s="64" customFormat="1" x14ac:dyDescent="0.25">
      <c r="A148" s="258" t="s">
        <v>83</v>
      </c>
      <c r="B148" s="258"/>
      <c r="C148" s="9" t="s">
        <v>269</v>
      </c>
      <c r="D148" s="258"/>
      <c r="E148" s="42">
        <f t="shared" ca="1" si="57"/>
        <v>1.4285714285714285E-2</v>
      </c>
      <c r="F148" s="42"/>
      <c r="G148" s="42">
        <f t="shared" ca="1" si="58"/>
        <v>9.5238095238095247E-3</v>
      </c>
      <c r="H148" s="117">
        <f t="shared" ca="1" si="59"/>
        <v>0.39718669024665654</v>
      </c>
      <c r="I148" s="117">
        <f t="shared" ca="1" si="60"/>
        <v>0.53859352958370721</v>
      </c>
      <c r="J148" s="272">
        <f t="shared" ca="1" si="71"/>
        <v>0.93578021983036375</v>
      </c>
      <c r="K148" s="192">
        <f t="shared" ca="1" si="72"/>
        <v>7.7979415900630844</v>
      </c>
      <c r="L148" s="579">
        <f t="shared" ca="1" si="61"/>
        <v>160.37052631578945</v>
      </c>
      <c r="M148" s="579">
        <f ca="1">L148*($E148-$G148)*(AllProps_SSW/HHProps_SSW)</f>
        <v>0.8148571428571425</v>
      </c>
      <c r="N148" s="117">
        <f t="shared" ca="1" si="73"/>
        <v>184.16917331534088</v>
      </c>
      <c r="O148" s="848">
        <f ca="1">N148*($E148-$G148)*(AllProps_SSW/HHProps_SSW)</f>
        <v>0.93578021983036364</v>
      </c>
      <c r="P148" s="118">
        <f t="shared" ca="1" si="74"/>
        <v>3.0632431399501185</v>
      </c>
      <c r="Q148" s="236" t="s">
        <v>369</v>
      </c>
      <c r="R148" s="375">
        <f t="shared" ca="1" si="62"/>
        <v>602.87121355351076</v>
      </c>
      <c r="S148" s="42">
        <f t="shared" ca="1" si="63"/>
        <v>2.5000000000000001E-2</v>
      </c>
      <c r="T148" s="42"/>
      <c r="U148" s="42">
        <f t="shared" ca="1" si="64"/>
        <v>1.6666666666666666E-2</v>
      </c>
      <c r="V148" s="117">
        <f t="shared" ca="1" si="65"/>
        <v>5.3490671066612649E-2</v>
      </c>
      <c r="W148" s="117">
        <f t="shared" ca="1" si="66"/>
        <v>0.33457681646237136</v>
      </c>
      <c r="X148" s="272">
        <f t="shared" ca="1" si="75"/>
        <v>0.38806748752898401</v>
      </c>
      <c r="Y148" s="192">
        <f t="shared" ca="1" si="67"/>
        <v>6.7700319694207094</v>
      </c>
      <c r="Z148" s="579">
        <f t="shared" ca="1" si="68"/>
        <v>27.921526908635794</v>
      </c>
      <c r="AA148" s="579">
        <f ca="1">Z148*($S148-$U148)*(AllProps_CAM/HHProps_CAM)</f>
        <v>0.25044117647058822</v>
      </c>
      <c r="AB148" s="117">
        <f t="shared" ca="1" si="69"/>
        <v>43.265396481954809</v>
      </c>
      <c r="AC148" s="848">
        <f ca="1">AB148*($S148-$U148)*(AllProps_CAM/HHProps_CAM)</f>
        <v>0.38806748752898401</v>
      </c>
      <c r="AD148" s="118">
        <f t="shared" ca="1" si="76"/>
        <v>2.9961016268451162</v>
      </c>
      <c r="AE148" s="236" t="s">
        <v>369</v>
      </c>
      <c r="AF148" s="375">
        <f t="shared" ca="1" si="70"/>
        <v>334.03345797166821</v>
      </c>
      <c r="AG148" s="846"/>
      <c r="AH148" s="846"/>
      <c r="AI148" s="846"/>
      <c r="AJ148" s="846"/>
    </row>
    <row r="149" spans="1:36" s="64" customFormat="1" x14ac:dyDescent="0.25">
      <c r="A149" s="258" t="s">
        <v>28</v>
      </c>
      <c r="B149" s="258"/>
      <c r="C149" s="9" t="s">
        <v>319</v>
      </c>
      <c r="D149" s="258"/>
      <c r="E149" s="42">
        <f t="shared" ca="1" si="57"/>
        <v>2.5000000000000001E-2</v>
      </c>
      <c r="F149" s="42"/>
      <c r="G149" s="42">
        <f t="shared" ca="1" si="58"/>
        <v>1.5384615384615385E-2</v>
      </c>
      <c r="H149" s="117">
        <f t="shared" ca="1" si="59"/>
        <v>0.4084226191643695</v>
      </c>
      <c r="I149" s="117">
        <f t="shared" ca="1" si="60"/>
        <v>0.28250000903457151</v>
      </c>
      <c r="J149" s="272">
        <f t="shared" ca="1" si="71"/>
        <v>0.69092262819894101</v>
      </c>
      <c r="K149" s="192">
        <f t="shared" ca="1" si="72"/>
        <v>1.6227297255644868</v>
      </c>
      <c r="L149" s="579">
        <f t="shared" ca="1" si="61"/>
        <v>251711.99999999994</v>
      </c>
      <c r="M149" s="579">
        <f ca="1">L149*(E149-G149)/HHProps_SSW*100</f>
        <v>0.43846153846153835</v>
      </c>
      <c r="N149" s="117">
        <f t="shared" ca="1" si="73"/>
        <v>396644.86239644804</v>
      </c>
      <c r="O149" s="848">
        <f ca="1">N149*(E149-G149)/HHProps_SSW*100</f>
        <v>0.69092262819894101</v>
      </c>
      <c r="P149" s="118">
        <f t="shared" ca="1" si="74"/>
        <v>0.63745228691669886</v>
      </c>
      <c r="Q149" s="236" t="s">
        <v>422</v>
      </c>
      <c r="R149" s="375">
        <f ca="1">(P149*HHProps_SSW)/((E149-G149)*100)</f>
        <v>365948.6088731385</v>
      </c>
      <c r="S149" s="42">
        <f t="shared" ca="1" si="63"/>
        <v>0.05</v>
      </c>
      <c r="T149" s="42"/>
      <c r="U149" s="42">
        <f t="shared" ca="1" si="64"/>
        <v>3.3333333333333333E-2</v>
      </c>
      <c r="V149" s="117">
        <f t="shared" ca="1" si="65"/>
        <v>0.15591350717379643</v>
      </c>
      <c r="W149" s="117">
        <f t="shared" ca="1" si="66"/>
        <v>5.0130987785217407E-2</v>
      </c>
      <c r="X149" s="272">
        <f t="shared" ca="1" si="75"/>
        <v>0.20604449495901384</v>
      </c>
      <c r="Y149" s="192">
        <f t="shared" ca="1" si="67"/>
        <v>1.7761304539433538</v>
      </c>
      <c r="Z149" s="579">
        <f t="shared" ca="1" si="68"/>
        <v>452735.99999999994</v>
      </c>
      <c r="AA149" s="579">
        <f ca="1">Z149*(S149-U149)/HHProps_CAM*100</f>
        <v>5.7600000000000007</v>
      </c>
      <c r="AB149" s="117">
        <f t="shared" ca="1" si="69"/>
        <v>16195.097303778484</v>
      </c>
      <c r="AC149" s="848">
        <f ca="1">AB149*(S149-U149)/HHProps_CAM*100</f>
        <v>0.20604449495901386</v>
      </c>
      <c r="AD149" s="118">
        <f t="shared" ca="1" si="76"/>
        <v>0.78603282326954482</v>
      </c>
      <c r="AE149" s="236" t="s">
        <v>422</v>
      </c>
      <c r="AF149" s="375">
        <f ca="1">(AD149*HHProps_CAM)/((S149-U149)*100)</f>
        <v>61782.179908986211</v>
      </c>
      <c r="AG149" s="846"/>
      <c r="AH149" s="846"/>
      <c r="AI149" s="846"/>
      <c r="AJ149" s="846"/>
    </row>
    <row r="150" spans="1:36" s="64" customFormat="1" x14ac:dyDescent="0.25">
      <c r="A150" s="258" t="s">
        <v>86</v>
      </c>
      <c r="B150" s="258"/>
      <c r="C150" s="7" t="s">
        <v>323</v>
      </c>
      <c r="D150" s="258"/>
      <c r="E150" s="42">
        <f ca="1">INDEX(INDIRECT("SSW_WTPCore_DCE_"&amp;$C150&amp;"_Levels"),MATCH("COMBINED-HH",WTPCore_Group,0),MATCH(E$142,WTPCore_AttLevels,0))</f>
        <v>1.2500000000000001E-2</v>
      </c>
      <c r="F150" s="42"/>
      <c r="G150" s="42">
        <v>8.3000000000000001E-3</v>
      </c>
      <c r="H150" s="117">
        <f ca="1">INDEX(INDIRECT("SSW_WTPCore_DCE_"&amp;$C150&amp;"_LevelValues"),MATCH("COMBINED-HH",WTPCore_Group,0),MATCH("S1 MEAN",WTPCore_LevelValues,0))</f>
        <v>7.0000000000000007E-2</v>
      </c>
      <c r="I150" s="117">
        <f t="shared" ref="I150:I159" ca="1" si="77">INDEX(INDIRECT("SSW_WTPCore_DCE_"&amp;$C150&amp;"_LevelValues"),MATCH("COMBINED-HH",WTPCore_Group,0),MATCH("S2 MEAN",WTPCore_LevelValues,0))</f>
        <v>0.56999999999999995</v>
      </c>
      <c r="J150" s="272">
        <f ca="1">H150</f>
        <v>7.0000000000000007E-2</v>
      </c>
      <c r="K150" s="192">
        <f t="shared" ca="1" si="72"/>
        <v>1.9297006560271037</v>
      </c>
      <c r="L150" s="579">
        <f t="shared" ca="1" si="61"/>
        <v>92736</v>
      </c>
      <c r="M150" s="117">
        <f ca="1">L150*(E150-G150)/HHProps_SSW*100</f>
        <v>7.0560000000000012E-2</v>
      </c>
      <c r="N150" s="117">
        <f ca="1">L150</f>
        <v>92736</v>
      </c>
      <c r="O150" s="849">
        <f ca="1">(N150*(E150-G150)*100)/HHProps_SSW</f>
        <v>7.0560000000000012E-2</v>
      </c>
      <c r="P150" s="118">
        <f t="shared" ca="1" si="74"/>
        <v>0.75803880145304448</v>
      </c>
      <c r="Q150" s="236" t="s">
        <v>422</v>
      </c>
      <c r="R150" s="375">
        <f ca="1">(P150*HHProps_SSW)/((E150-G150)*100)</f>
        <v>996279.56762400118</v>
      </c>
      <c r="S150" s="42">
        <f t="shared" ref="S150" ca="1" si="78">INDEX(INDIRECT("CAM_WTPCore_"&amp;$C150&amp;"_Levels"),MATCH("COMBINED-HH",WTPCore_Group,0),MATCH(S$142,WTPCore_AttLevels,0))</f>
        <v>1.2500000000000001E-2</v>
      </c>
      <c r="T150" s="42"/>
      <c r="U150" s="42">
        <v>8.3000000000000001E-3</v>
      </c>
      <c r="V150" s="117">
        <f ca="1">INDEX(INDIRECT("CAM_WTPCore_"&amp;$C150&amp;"_LevelValues"),MATCH("COMBINED-HH",WTPCore_Group,0),MATCH("S1 MEAN",WTPCore_LevelValues,0))</f>
        <v>1.5029903774694477</v>
      </c>
      <c r="W150" s="117">
        <f t="shared" ref="W150:W159" ca="1" si="79">INDEX(INDIRECT("CAM_WTPCore_"&amp;$C150&amp;"_LevelValues"),MATCH("COMBINED-HH",WTPCore_Group,0),MATCH("S2 MEAN",WTPCore_LevelValues,0))</f>
        <v>0.31632762130063785</v>
      </c>
      <c r="X150" s="272">
        <f ca="1">V150</f>
        <v>1.5029903774694477</v>
      </c>
      <c r="Y150" s="192">
        <f t="shared" ca="1" si="67"/>
        <v>1.7383167242816295</v>
      </c>
      <c r="Z150" s="579">
        <f t="shared" ca="1" si="68"/>
        <v>472540.17467639426</v>
      </c>
      <c r="AA150" s="117">
        <f ca="1">Z150*(S150-U150)/HHProps_CAM*100</f>
        <v>1.5150143004892032</v>
      </c>
      <c r="AB150" s="117">
        <f ca="1">Z150</f>
        <v>472540.17467639426</v>
      </c>
      <c r="AC150" s="849">
        <f ca="1">(AB150*(S150-U150)*100)/HHProps_CAM</f>
        <v>1.5150143004892032</v>
      </c>
      <c r="AD150" s="118">
        <f t="shared" ca="1" si="76"/>
        <v>0.76929822327528974</v>
      </c>
      <c r="AE150" s="236" t="s">
        <v>422</v>
      </c>
      <c r="AF150" s="375">
        <f ca="1">(AD150*HHProps_CAM)/((S150-U150)*100)</f>
        <v>239947.77916443557</v>
      </c>
      <c r="AG150" s="846"/>
      <c r="AH150" s="846"/>
      <c r="AI150" s="846"/>
      <c r="AJ150" s="846"/>
    </row>
    <row r="151" spans="1:36" s="64" customFormat="1" x14ac:dyDescent="0.25">
      <c r="A151" s="258" t="s">
        <v>85</v>
      </c>
      <c r="B151" s="258"/>
      <c r="C151" s="9" t="s">
        <v>270</v>
      </c>
      <c r="D151" s="258"/>
      <c r="E151" s="42">
        <f ca="1">INDEX(INDIRECT("SSW_WTPCore2_"&amp;$C151&amp;"_Levels"),1,MATCH(E$142,WTPCore2_AttLevels,0))</f>
        <v>0.1</v>
      </c>
      <c r="F151" s="42"/>
      <c r="G151" s="42">
        <f ca="1">INDEX(INDIRECT("SSW_WTPCore2_"&amp;$C151&amp;"_Levels"),1,MATCH(G$142,WTPCore2_AttLevels,0))</f>
        <v>6.6666666666666666E-2</v>
      </c>
      <c r="H151" s="117">
        <f ca="1">INDEX(INDIRECT("SSW_WTPCore2_"&amp;$C151&amp;"_LevelValues"),1,MATCH("S1 MEAN",WTPCore2_LevelValues,0))</f>
        <v>0.78010561855806027</v>
      </c>
      <c r="I151" s="117">
        <f ca="1">INDEX(INDIRECT("SSW_WTPCore2_"&amp;$C151&amp;"_LevelValues"),1,MATCH("S2 MEAN",WTPCore2_LevelValues,0))</f>
        <v>0.37050953266002729</v>
      </c>
      <c r="J151" s="272">
        <f t="shared" ca="1" si="71"/>
        <v>1.1506151512180876</v>
      </c>
      <c r="K151" s="192">
        <f t="shared" ca="1" si="72"/>
        <v>1.5676774867699259</v>
      </c>
      <c r="L151" s="579">
        <f t="shared" ca="1" si="61"/>
        <v>40.646907591559547</v>
      </c>
      <c r="M151" s="579">
        <f ca="1">L151*(E151-G151)*(AllProps_SSW/HHProps_SSW)</f>
        <v>1.445714285714286</v>
      </c>
      <c r="N151" s="117">
        <f t="shared" ca="1" si="73"/>
        <v>32.35006265563927</v>
      </c>
      <c r="O151" s="848">
        <f ca="1">N151*(E151-G151)*(AllProps_SSW/HHProps_SSW)</f>
        <v>1.1506151512180878</v>
      </c>
      <c r="P151" s="118">
        <f t="shared" ca="1" si="74"/>
        <v>0.61582627306693749</v>
      </c>
      <c r="Q151" s="236" t="s">
        <v>369</v>
      </c>
      <c r="R151" s="375">
        <f ca="1">(P151*HHProps_SSW)/((E151-G151)*AllProps_SSW)</f>
        <v>17.314232736822554</v>
      </c>
      <c r="S151" s="42">
        <f ca="1">INDEX(INDIRECT("CAM_WTPCore2_"&amp;$C151&amp;"_Levels"),1,MATCH(S$142,WTPCore2_AttLevels,0))</f>
        <v>9.0909090909090912E-2</v>
      </c>
      <c r="T151" s="42"/>
      <c r="U151" s="42">
        <f ca="1">INDEX(INDIRECT("CAM_WTPCore2_"&amp;$C151&amp;"_Levels"),1,MATCH(U$142,WTPCore2_AttLevels,0))</f>
        <v>6.6666666666666666E-2</v>
      </c>
      <c r="V151" s="117">
        <f ca="1">INDEX(INDIRECT("CAM_WTPCore2_"&amp;$C151&amp;"_LevelValues"),1,MATCH("S1 MEAN",WTPCore2_LevelValues,0))</f>
        <v>2.1416418362159599</v>
      </c>
      <c r="W151" s="117">
        <f ca="1">INDEX(INDIRECT("CAM_WTPCore2_"&amp;$C151&amp;"_LevelValues"),1,MATCH("S2 MEAN",WTPCore2_LevelValues,0))</f>
        <v>0.84070533256091329</v>
      </c>
      <c r="X151" s="272">
        <f t="shared" ca="1" si="75"/>
        <v>2.9823471687768732</v>
      </c>
      <c r="Y151" s="192">
        <f t="shared" ca="1" si="67"/>
        <v>1.5689314706712434</v>
      </c>
      <c r="Z151" s="579">
        <f t="shared" ca="1" si="68"/>
        <v>18.356144634344844</v>
      </c>
      <c r="AA151" s="579">
        <f ca="1">Z151*(S151-U151)*(AllProps_CAM/HHProps_CAM)</f>
        <v>0.47896671634376553</v>
      </c>
      <c r="AB151" s="117">
        <f ca="1">INDEX(INDIRECT("CAM_WTPCore2_"&amp;$C151&amp;"_UnitValues"),1,MATCH("MEAN",LMH,0))</f>
        <v>114.29686888849665</v>
      </c>
      <c r="AC151" s="848">
        <f ca="1">AB151*(S151-U151)*(AllProps_CAM/HHProps_CAM)</f>
        <v>2.9823471687768732</v>
      </c>
      <c r="AD151" s="118">
        <f t="shared" ca="1" si="76"/>
        <v>0.69433617934433989</v>
      </c>
      <c r="AE151" s="236" t="s">
        <v>369</v>
      </c>
      <c r="AF151" s="375">
        <f ca="1">(AD151*HHProps_CAM)/((S151-U151)*AllProps_CAM)</f>
        <v>26.610064745616853</v>
      </c>
      <c r="AG151" s="846"/>
      <c r="AH151" s="846"/>
      <c r="AI151" s="846"/>
      <c r="AJ151" s="846"/>
    </row>
    <row r="152" spans="1:36" s="64" customFormat="1" x14ac:dyDescent="0.25">
      <c r="A152" s="258" t="s">
        <v>84</v>
      </c>
      <c r="B152" s="258"/>
      <c r="C152" s="9" t="s">
        <v>272</v>
      </c>
      <c r="D152" s="258"/>
      <c r="E152" s="42">
        <f ca="1">INDEX(INDIRECT("SSW_WTPCore2_"&amp;$C152&amp;"_Levels"),1,MATCH(E$142,WTPCore2_AttLevels,0))</f>
        <v>1.2500000000000001E-2</v>
      </c>
      <c r="F152" s="42"/>
      <c r="G152" s="42">
        <f ca="1">INDEX(INDIRECT("SSW_WTPCore2_"&amp;$C152&amp;"_Levels"),1,MATCH(G$142,WTPCore2_AttLevels,0))</f>
        <v>8.3333333333333332E-3</v>
      </c>
      <c r="H152" s="117">
        <f ca="1">INDEX(INDIRECT("SSW_WTPCore2_"&amp;$C152&amp;"_LevelValues"),1,MATCH("S1 MEAN",WTPCore2_LevelValues,0))</f>
        <v>1.4255548334023851</v>
      </c>
      <c r="I152" s="117">
        <f ca="1">INDEX(INDIRECT("SSW_WTPCore2_"&amp;$C152&amp;"_LevelValues"),1,MATCH("S2 MEAN",WTPCore2_LevelValues,0))</f>
        <v>0.20311814361894776</v>
      </c>
      <c r="J152" s="272">
        <f t="shared" ca="1" si="71"/>
        <v>1.6286729770213328</v>
      </c>
      <c r="K152" s="192">
        <f t="shared" ca="1" si="72"/>
        <v>5.586500997134884</v>
      </c>
      <c r="L152" s="579">
        <f t="shared" ca="1" si="61"/>
        <v>474.58879456706273</v>
      </c>
      <c r="M152" s="579">
        <f ca="1">L152*(E152-G152)*(AllProps_SSW/HHProps_SSW)</f>
        <v>2.11</v>
      </c>
      <c r="N152" s="117">
        <f t="shared" ca="1" si="73"/>
        <v>366.32698810829567</v>
      </c>
      <c r="O152" s="848">
        <f ca="1">N152*(E152-G152)*(AllProps_SSW/HHProps_SSW)</f>
        <v>1.6286729770213331</v>
      </c>
      <c r="P152" s="118">
        <f t="shared" ca="1" si="74"/>
        <v>2.194529243153704</v>
      </c>
      <c r="Q152" s="236" t="s">
        <v>369</v>
      </c>
      <c r="R152" s="375">
        <f ca="1">(P152*HHProps_SSW)/((E152-G152)*AllProps_SSW)</f>
        <v>493.6014161850639</v>
      </c>
      <c r="S152" s="42">
        <f ca="1">INDEX(INDIRECT("CAM_WTPCore2_"&amp;$C152&amp;"_Levels"),1,MATCH(S$142,WTPCore2_AttLevels,0))</f>
        <v>1.2500000000000001E-2</v>
      </c>
      <c r="T152" s="42"/>
      <c r="U152" s="42">
        <f ca="1">INDEX(INDIRECT("CAM_WTPCore2_"&amp;$C152&amp;"_Levels"),1,MATCH(U$142,WTPCore2_AttLevels,0))</f>
        <v>8.3333333333333332E-3</v>
      </c>
      <c r="V152" s="117">
        <f ca="1">INDEX(INDIRECT("CAM_WTPCore2_"&amp;$C152&amp;"_LevelValues"),1,MATCH("S1 MEAN",WTPCore2_LevelValues,0))</f>
        <v>1.309191820402853</v>
      </c>
      <c r="W152" s="117">
        <f ca="1">INDEX(INDIRECT("CAM_WTPCore2_"&amp;$C152&amp;"_LevelValues"),1,MATCH("S2 MEAN",WTPCore2_LevelValues,0))</f>
        <v>0.52259303136744828</v>
      </c>
      <c r="X152" s="272">
        <f t="shared" ca="1" si="75"/>
        <v>1.8317848517703013</v>
      </c>
      <c r="Y152" s="192">
        <f t="shared" ca="1" si="67"/>
        <v>4.1874246294843038</v>
      </c>
      <c r="Z152" s="579">
        <f t="shared" ca="1" si="68"/>
        <v>613.191489361702</v>
      </c>
      <c r="AA152" s="579">
        <f ca="1">Z152*(S152-U152)*(AllProps_CAM/HHProps_CAM)</f>
        <v>2.75</v>
      </c>
      <c r="AB152" s="117">
        <f ca="1">INDEX(INDIRECT("CAM_WTPCore2_"&amp;$C152&amp;"_UnitValues"),1,MATCH("MEAN",LMH,0))</f>
        <v>408.44904779899474</v>
      </c>
      <c r="AC152" s="848">
        <f ca="1">AB152*(S152-U152)*(AllProps_CAM/HHProps_CAM)</f>
        <v>1.831784851770301</v>
      </c>
      <c r="AD152" s="118">
        <f t="shared" ca="1" si="76"/>
        <v>1.8531596012186551</v>
      </c>
      <c r="AE152" s="236" t="s">
        <v>369</v>
      </c>
      <c r="AF152" s="375">
        <f ca="1">(AD152*HHProps_CAM)/((S152-U152)*AllProps_CAM)</f>
        <v>413.2151621440745</v>
      </c>
      <c r="AG152" s="846"/>
      <c r="AH152" s="846"/>
      <c r="AI152" s="846"/>
      <c r="AJ152" s="846"/>
    </row>
    <row r="153" spans="1:36" s="64" customFormat="1" x14ac:dyDescent="0.25">
      <c r="A153" s="258" t="s">
        <v>27</v>
      </c>
      <c r="B153" s="258"/>
      <c r="C153" s="9" t="s">
        <v>3</v>
      </c>
      <c r="D153" s="258"/>
      <c r="E153" s="192">
        <f ca="1">INDEX(INDIRECT("SSW_WTPCore2_"&amp;$C153&amp;"_Levels"),1,MATCH(E$142,WTPCore2_AttLevels,0))</f>
        <v>70.5</v>
      </c>
      <c r="F153" s="247"/>
      <c r="G153" s="192">
        <f ca="1">INDEX(INDIRECT("SSW_WTPCore2_"&amp;$C153&amp;"_Levels"),1,MATCH(G$142,WTPCore2_AttLevels,0))</f>
        <v>35.25</v>
      </c>
      <c r="H153" s="117">
        <f ca="1">INDEX(INDIRECT("SSW_WTPCore2_"&amp;$C153&amp;"_LevelValues"),1,MATCH("S1 MEAN",WTPCore2_LevelValues,0))</f>
        <v>1.2301339708448666</v>
      </c>
      <c r="I153" s="117">
        <f ca="1">INDEX(INDIRECT("SSW_WTPCore2_"&amp;$C153&amp;"_LevelValues"),1,MATCH("S2 MEAN",WTPCore2_LevelValues,0))</f>
        <v>0.44133293088857806</v>
      </c>
      <c r="J153" s="272">
        <f t="shared" ca="1" si="71"/>
        <v>1.6714669017334447</v>
      </c>
      <c r="K153" s="192">
        <f t="shared" ca="1" si="72"/>
        <v>4.9557034454909141</v>
      </c>
      <c r="L153" s="579">
        <f t="shared" ca="1" si="61"/>
        <v>31319.148936170212</v>
      </c>
      <c r="M153" s="579">
        <f ca="1">L153*(E153-$G153)/HHProps_SSW</f>
        <v>2</v>
      </c>
      <c r="N153" s="117">
        <f t="shared" ca="1" si="73"/>
        <v>26174.460418634368</v>
      </c>
      <c r="O153" s="848">
        <f ca="1">N153*(E153-$G153)/HHProps_SSW</f>
        <v>1.6714669017334447</v>
      </c>
      <c r="P153" s="118">
        <f t="shared" ca="1" si="74"/>
        <v>1.9467348412011378</v>
      </c>
      <c r="Q153" s="236" t="s">
        <v>396</v>
      </c>
      <c r="R153" s="375">
        <f ca="1">(P153*HHProps_SSW)/((E153-G153))</f>
        <v>30485.03921540505</v>
      </c>
      <c r="S153" s="192">
        <f ca="1">INDEX(INDIRECT("CAM_WTPCore2_"&amp;$C153&amp;"_Levels"),1,MATCH(S$142,WTPCore2_AttLevels,0))</f>
        <v>13.5</v>
      </c>
      <c r="T153" s="192"/>
      <c r="U153" s="192">
        <f ca="1">INDEX(INDIRECT("CAM_WTPCore2_"&amp;$C153&amp;"_Levels"),1,MATCH(U$142,WTPCore2_AttLevels,0))</f>
        <v>6.75</v>
      </c>
      <c r="V153" s="117">
        <f ca="1">INDEX(INDIRECT("CAM_WTPCore2_"&amp;$C153&amp;"_LevelValues"),1,MATCH("S1 MEAN",WTPCore2_LevelValues,0))</f>
        <v>3.1349723048319831</v>
      </c>
      <c r="W153" s="117">
        <f ca="1">INDEX(INDIRECT("CAM_WTPCore2_"&amp;$C153&amp;"_LevelValues"),1,MATCH("S2 MEAN",WTPCore2_LevelValues,0))</f>
        <v>5.1405797633106154E-3</v>
      </c>
      <c r="X153" s="272">
        <f t="shared" ca="1" si="75"/>
        <v>3.1401128845952937</v>
      </c>
      <c r="Y153" s="192">
        <f t="shared" ca="1" si="67"/>
        <v>4.7602601012312515</v>
      </c>
      <c r="Z153" s="579">
        <f t="shared" ca="1" si="68"/>
        <v>140121.48148148149</v>
      </c>
      <c r="AA153" s="579">
        <f ca="1">Z153*(S153-$U153)/HHProps_CAM</f>
        <v>7.22</v>
      </c>
      <c r="AB153" s="117">
        <f ca="1">INDEX(INDIRECT("CAM_WTPCore2_"&amp;$C153&amp;"_UnitValues"),1,MATCH("MEAN",LMH,0))</f>
        <v>60941.450056590147</v>
      </c>
      <c r="AC153" s="848">
        <f ca="1">AB153*(S153-$U153)/HHProps_CAM</f>
        <v>3.1401128845952937</v>
      </c>
      <c r="AD153" s="118">
        <f t="shared" ca="1" si="76"/>
        <v>2.1066699681663725</v>
      </c>
      <c r="AE153" s="236" t="s">
        <v>396</v>
      </c>
      <c r="AF153" s="375">
        <f ca="1">(AD153*HHProps_CAM)/((S153-U153))</f>
        <v>40885.00234515479</v>
      </c>
      <c r="AG153" s="846"/>
      <c r="AH153" s="846"/>
      <c r="AI153" s="846"/>
      <c r="AJ153" s="846"/>
    </row>
    <row r="154" spans="1:36" s="64" customFormat="1" x14ac:dyDescent="0.25">
      <c r="A154" s="258" t="s">
        <v>87</v>
      </c>
      <c r="B154" s="258"/>
      <c r="C154" s="29" t="s">
        <v>318</v>
      </c>
      <c r="D154" s="258"/>
      <c r="E154" s="119">
        <f ca="1">INDEX(INDIRECT("SSW_WTPCore2_"&amp;$C154&amp;"_Levels"),1,MATCH(E$142,WTPCore2_AttLevels,0))</f>
        <v>0.33</v>
      </c>
      <c r="F154" s="42"/>
      <c r="G154" s="119">
        <f ca="1">INDEX(INDIRECT("SSW_WTPCore2_"&amp;$C154&amp;"_Levels"),1,MATCH(G$142,WTPCore2_AttLevels,0))</f>
        <v>0.5</v>
      </c>
      <c r="H154" s="117">
        <f ca="1">INDEX(INDIRECT("SSW_WTPCore2_"&amp;$C154&amp;"_LevelValues"),1,MATCH("S1 MEAN",WTPCore2_LevelValues,0))</f>
        <v>3.9796847923577343</v>
      </c>
      <c r="I154" s="117">
        <f ca="1">INDEX(INDIRECT("SSW_WTPCore2_"&amp;$C154&amp;"_LevelValues"),1,MATCH("S2 MEAN",WTPCore2_LevelValues,0))</f>
        <v>0.52424962900217631</v>
      </c>
      <c r="J154" s="272">
        <f t="shared" ca="1" si="71"/>
        <v>4.5039344213599106</v>
      </c>
      <c r="K154" s="192">
        <f t="shared" ca="1" si="72"/>
        <v>1.3263060759342595</v>
      </c>
      <c r="L154" s="579">
        <f t="shared" ca="1" si="61"/>
        <v>1.7719298245614032</v>
      </c>
      <c r="M154" s="117">
        <f ca="1">-L154*($E154-$G154)</f>
        <v>0.30122807017543851</v>
      </c>
      <c r="N154" s="117">
        <f t="shared" ca="1" si="73"/>
        <v>26.493731890352418</v>
      </c>
      <c r="O154" s="849">
        <f ca="1">-N154*($E154-$G154)</f>
        <v>4.5039344213599106</v>
      </c>
      <c r="P154" s="118">
        <f t="shared" ca="1" si="74"/>
        <v>0.52100903060841131</v>
      </c>
      <c r="Q154" s="236" t="s">
        <v>423</v>
      </c>
      <c r="R154" s="376">
        <f ca="1">-P154/(E154-G154)</f>
        <v>3.0647590035788905</v>
      </c>
      <c r="S154" s="856">
        <f ca="1">INDEX(INDIRECT("CAM_WTPCore2_"&amp;$C154&amp;"_Levels"),1,MATCH(S$142,WTPCore2_AttLevels,0))</f>
        <v>0.7</v>
      </c>
      <c r="T154" s="856"/>
      <c r="U154" s="856">
        <f ca="1">INDEX(INDIRECT("CAM_WTPCore2_"&amp;$C154&amp;"_Levels"),1,MATCH(U$142,WTPCore2_AttLevels,0))</f>
        <v>0.95</v>
      </c>
      <c r="V154" s="117">
        <f ca="1">INDEX(INDIRECT("CAM_WTPCore2_"&amp;$C154&amp;"_LevelValues"),1,MATCH("S1 MEAN",WTPCore2_LevelValues,0))</f>
        <v>1.4360208416640492</v>
      </c>
      <c r="W154" s="117">
        <f ca="1">INDEX(INDIRECT("CAM_WTPCore2_"&amp;$C154&amp;"_LevelValues"),1,MATCH("S2 MEAN",WTPCore2_LevelValues,0))</f>
        <v>0.918140410423955</v>
      </c>
      <c r="X154" s="272">
        <f t="shared" ca="1" si="75"/>
        <v>2.3541612520880042</v>
      </c>
      <c r="Y154" s="192">
        <f t="shared" ca="1" si="67"/>
        <v>1.2129911841352059</v>
      </c>
      <c r="Z154" s="579">
        <f t="shared" ca="1" si="68"/>
        <v>8.64</v>
      </c>
      <c r="AA154" s="117">
        <f ca="1">-Z154*($S154-$U154)</f>
        <v>2.16</v>
      </c>
      <c r="AB154" s="117">
        <f ca="1">INDEX(INDIRECT("CAM_WTPCore2_"&amp;$C154&amp;"_UnitValues"),1,MATCH("MEAN",LMH,0))</f>
        <v>9.4166450083520168</v>
      </c>
      <c r="AC154" s="849">
        <f ca="1">-AB154*($S154-$U154)</f>
        <v>2.3541612520880042</v>
      </c>
      <c r="AD154" s="118">
        <f t="shared" ca="1" si="76"/>
        <v>0.53681354483282373</v>
      </c>
      <c r="AE154" s="236" t="s">
        <v>423</v>
      </c>
      <c r="AF154" s="376">
        <f ca="1">-AD154/(S154-U154)</f>
        <v>2.1472541793312949</v>
      </c>
      <c r="AG154" s="847"/>
      <c r="AH154" s="847"/>
      <c r="AI154" s="847"/>
      <c r="AJ154" s="847"/>
    </row>
    <row r="155" spans="1:36" s="64" customFormat="1" x14ac:dyDescent="0.25">
      <c r="A155" s="258" t="s">
        <v>373</v>
      </c>
      <c r="B155" s="258"/>
      <c r="C155" s="7" t="s">
        <v>402</v>
      </c>
      <c r="D155" s="258"/>
      <c r="E155" s="42">
        <f ca="1">INDEX(INDIRECT("SSW_WTPCore_DCE_"&amp;$C155&amp;"_Levels"),MATCH("COMBINED-HH",WTPCore_Group,0),MATCH(E$142,WTPCore_AttLevels,0))</f>
        <v>0</v>
      </c>
      <c r="F155" s="42"/>
      <c r="G155" s="42">
        <f ca="1">INDEX(INDIRECT("SSW_WTPCore_DCE_"&amp;$C155&amp;"_Levels"),MATCH("COMBINED-HH",WTPCore_Group,0),MATCH(G$142,WTPCore_AttLevels,0))</f>
        <v>1</v>
      </c>
      <c r="H155" s="117">
        <f t="shared" ref="H155:H159" ca="1" si="80">INDEX(INDIRECT("SSW_WTPCore_DCE_"&amp;$C155&amp;"_LevelValues"),MATCH("COMBINED-HH",WTPCore_Group,0),MATCH("S1 MEAN",WTPCore_LevelValues,0))</f>
        <v>8.5999999999999993E-2</v>
      </c>
      <c r="I155" s="117">
        <f t="shared" ca="1" si="77"/>
        <v>0.35599999999999998</v>
      </c>
      <c r="J155" s="272">
        <f t="shared" ca="1" si="71"/>
        <v>0.44199999999999995</v>
      </c>
      <c r="K155" s="192">
        <f t="shared" ca="1" si="72"/>
        <v>0.61583711660624219</v>
      </c>
      <c r="L155" s="579">
        <f t="shared" ca="1" si="61"/>
        <v>0.44199999999999995</v>
      </c>
      <c r="M155" s="117">
        <f ca="1">-L155*($E155-$G155)</f>
        <v>0.44199999999999995</v>
      </c>
      <c r="N155" s="117">
        <f ca="1">L155</f>
        <v>0.44199999999999995</v>
      </c>
      <c r="O155" s="849">
        <f ca="1">-N155*($E155-$G155)</f>
        <v>0.44199999999999995</v>
      </c>
      <c r="P155" s="118">
        <f t="shared" ca="1" si="74"/>
        <v>0.24191753695291163</v>
      </c>
      <c r="Q155" s="236" t="s">
        <v>423</v>
      </c>
      <c r="R155" s="376">
        <f ca="1">-P155/(E155-G155)</f>
        <v>0.24191753695291163</v>
      </c>
      <c r="S155" s="42">
        <f ca="1">INDEX(INDIRECT("CAM_WTPCore_"&amp;$C155&amp;"_Levels"),MATCH("COMBINED-HH",WTPCore_Group,0),MATCH(S$142,WTPCore_AttLevels,0))</f>
        <v>0</v>
      </c>
      <c r="T155" s="42"/>
      <c r="U155" s="42">
        <f ca="1">INDEX(INDIRECT("CAM_WTPCore_"&amp;$C155&amp;"_Levels"),MATCH("COMBINED-HH",WTPCore_Group,0),MATCH(U$142,WTPCore_AttLevels,0))</f>
        <v>1</v>
      </c>
      <c r="V155" s="117">
        <f t="shared" ref="V155:V159" ca="1" si="81">INDEX(INDIRECT("CAM_WTPCore_"&amp;$C155&amp;"_LevelValues"),MATCH("COMBINED-HH",WTPCore_Group,0),MATCH("S1 MEAN",WTPCore_LevelValues,0))</f>
        <v>1.133</v>
      </c>
      <c r="W155" s="117">
        <f t="shared" ca="1" si="79"/>
        <v>1.7649999999999999</v>
      </c>
      <c r="X155" s="272">
        <f t="shared" ca="1" si="75"/>
        <v>2.8979999999999997</v>
      </c>
      <c r="Y155" s="192">
        <f t="shared" ca="1" si="67"/>
        <v>0.749997674503185</v>
      </c>
      <c r="Z155" s="579">
        <f t="shared" ca="1" si="68"/>
        <v>2.8979999999999997</v>
      </c>
      <c r="AA155" s="117">
        <f ca="1">-Z155*($S155-$U155)</f>
        <v>2.8979999999999997</v>
      </c>
      <c r="AB155" s="117">
        <f ca="1">Z155</f>
        <v>2.8979999999999997</v>
      </c>
      <c r="AC155" s="849">
        <f ca="1">-AB155*($S155-$U155)</f>
        <v>2.8979999999999997</v>
      </c>
      <c r="AD155" s="118">
        <f t="shared" ca="1" si="76"/>
        <v>0.33191412726834152</v>
      </c>
      <c r="AE155" s="236" t="s">
        <v>423</v>
      </c>
      <c r="AF155" s="376">
        <f ca="1">-AD155/(S155-U155)</f>
        <v>0.33191412726834152</v>
      </c>
      <c r="AG155" s="847"/>
      <c r="AH155" s="847"/>
      <c r="AI155" s="847"/>
      <c r="AJ155" s="847"/>
    </row>
    <row r="156" spans="1:36" s="64" customFormat="1" x14ac:dyDescent="0.25">
      <c r="A156" s="258" t="s">
        <v>414</v>
      </c>
      <c r="B156" s="258"/>
      <c r="C156" s="9" t="s">
        <v>421</v>
      </c>
      <c r="D156" s="258"/>
      <c r="E156" s="42">
        <f ca="1">INDEX(INDIRECT("SSW_WTPCore2_"&amp;$C156&amp;"_Levels"),1,MATCH(E$142,WTPCore2_AttLevels,0))</f>
        <v>0.11</v>
      </c>
      <c r="F156" s="42"/>
      <c r="G156" s="42">
        <f ca="1">INDEX(INDIRECT("SSW_WTPCore2_"&amp;$C156&amp;"_Levels"),1,MATCH(G$142,WTPCore2_AttLevels,0))</f>
        <v>0.18</v>
      </c>
      <c r="H156" s="117">
        <f ca="1">INDEX(INDIRECT("SSW_WTPCore2_"&amp;$C156&amp;"_LevelValues"),1,MATCH("S1 MEAN",WTPCore2_LevelValues,0))</f>
        <v>0.81357078115486769</v>
      </c>
      <c r="I156" s="117">
        <f ca="1">INDEX(INDIRECT("SSW_WTPCore2_"&amp;$C156&amp;"_LevelValues"),1,MATCH("S2 MEAN",WTPCore2_LevelValues,0))</f>
        <v>0.84359983447308762</v>
      </c>
      <c r="J156" s="272">
        <f ca="1">H156+I156</f>
        <v>1.6571706156279553</v>
      </c>
      <c r="K156" s="192">
        <f t="shared" ca="1" si="72"/>
        <v>4.2533545058794235</v>
      </c>
      <c r="L156" s="579">
        <f t="shared" ca="1" si="61"/>
        <v>41187.692307692305</v>
      </c>
      <c r="M156" s="117">
        <f ca="1">-L156*($E156-$G156)/100</f>
        <v>28.831384615384607</v>
      </c>
      <c r="N156" s="343">
        <f ca="1">INDEX(INDIRECT("SSW_WTPCore2_"&amp;$C156&amp;"_UnitValues"),1,MATCH("MEAN",LMH,0))</f>
        <v>130679.73997523305</v>
      </c>
      <c r="O156" s="849">
        <f ca="1">-N156*($E156-$G156)*100/(HHProps_SSW)</f>
        <v>1.6571706156279551</v>
      </c>
      <c r="P156" s="118">
        <f t="shared" ca="1" si="74"/>
        <v>1.6708331117168149</v>
      </c>
      <c r="Q156" s="236" t="s">
        <v>424</v>
      </c>
      <c r="R156" s="375">
        <f ca="1">-(P156*HHProps_SSW)/((E156-G156)*100)</f>
        <v>131757.1253810974</v>
      </c>
      <c r="S156" s="42">
        <f ca="1">INDEX(INDIRECT("CAM_WTPCore2_"&amp;$C156&amp;"_Levels"),1,MATCH(S$142,WTPCore2_AttLevels,0))</f>
        <v>0.11</v>
      </c>
      <c r="T156" s="42"/>
      <c r="U156" s="42">
        <f ca="1">INDEX(INDIRECT("CAM_WTPCore2_"&amp;$C156&amp;"_Levels"),1,MATCH(U$142,WTPCore2_AttLevels,0))</f>
        <v>0.18</v>
      </c>
      <c r="V156" s="117">
        <f ca="1">INDEX(INDIRECT("CAM_WTPCore2_"&amp;$C156&amp;"_LevelValues"),1,MATCH("S1 MEAN",WTPCore2_LevelValues,0))</f>
        <v>9.7726891758161544E-3</v>
      </c>
      <c r="W156" s="117">
        <f ca="1">INDEX(INDIRECT("CAM_WTPCore2_"&amp;$C156&amp;"_LevelValues"),1,MATCH("S2 MEAN",WTPCore2_LevelValues,0))</f>
        <v>0.12232845270381847</v>
      </c>
      <c r="X156" s="272">
        <f t="shared" ca="1" si="75"/>
        <v>0.13210114187963462</v>
      </c>
      <c r="Y156" s="192">
        <f t="shared" ca="1" si="67"/>
        <v>4.4146581702593348</v>
      </c>
      <c r="Z156" s="579">
        <f t="shared" ca="1" si="68"/>
        <v>35235.641025641024</v>
      </c>
      <c r="AA156" s="117">
        <f ca="1">-Z156*($S156-$U156)/100</f>
        <v>24.664948717948715</v>
      </c>
      <c r="AB156" s="117">
        <f ca="1">INDEX(INDIRECT("CAM_WTPCore2_"&amp;$C156&amp;"_UnitValues"),1,MATCH("MEAN",LMH,0))</f>
        <v>2472.1785123188765</v>
      </c>
      <c r="AC156" s="849">
        <f ca="1">-AB156*($S156-$U156)*100/(HHProps_CAM)</f>
        <v>0.13210114187963462</v>
      </c>
      <c r="AD156" s="118">
        <f t="shared" ca="1" si="76"/>
        <v>1.953722609527182</v>
      </c>
      <c r="AE156" s="236" t="s">
        <v>424</v>
      </c>
      <c r="AF156" s="375">
        <f ca="1">-(AD156*HHProps_CAM)/((S156-U156)*100)</f>
        <v>36562.523121151557</v>
      </c>
      <c r="AG156" s="846"/>
      <c r="AH156" s="846"/>
      <c r="AI156" s="846"/>
      <c r="AJ156" s="846"/>
    </row>
    <row r="157" spans="1:36" s="64" customFormat="1" x14ac:dyDescent="0.25">
      <c r="A157" s="258" t="s">
        <v>88</v>
      </c>
      <c r="B157" s="258"/>
      <c r="C157" s="9" t="s">
        <v>315</v>
      </c>
      <c r="D157" s="258"/>
      <c r="E157" s="43">
        <f ca="1">INDEX(INDIRECT("SSW_WTPCore2_"&amp;$C157&amp;"_Levels"),1,MATCH(E$142,WTPCore2_AttLevels,0))</f>
        <v>0</v>
      </c>
      <c r="F157" s="247"/>
      <c r="G157" s="43">
        <f ca="1">INDEX(INDIRECT("SSW_WTPCore2_"&amp;$C157&amp;"_Levels"),1,MATCH(G$142,WTPCore2_AttLevels,0))</f>
        <v>50</v>
      </c>
      <c r="H157" s="117">
        <f ca="1">INDEX(INDIRECT("SSW_WTPCore2_"&amp;$C157&amp;"_LevelValues"),1,MATCH("S1 MEAN",WTPCore2_LevelValues,0))</f>
        <v>0.31132700138064179</v>
      </c>
      <c r="I157" s="117">
        <f ca="1">INDEX(INDIRECT("SSW_WTPCore2_"&amp;$C157&amp;"_LevelValues"),1,MATCH("S2 MEAN",WTPCore2_LevelValues,0))</f>
        <v>0.13284027031511708</v>
      </c>
      <c r="J157" s="272">
        <f t="shared" ca="1" si="71"/>
        <v>0.44416727169575887</v>
      </c>
      <c r="K157" s="192">
        <f t="shared" ca="1" si="72"/>
        <v>5.4911743147729766</v>
      </c>
      <c r="L157" s="579">
        <f t="shared" ca="1" si="61"/>
        <v>10488</v>
      </c>
      <c r="M157" s="579">
        <f ca="1">-L157*(E157-G157)/HHProps_SSW</f>
        <v>0.95</v>
      </c>
      <c r="N157" s="117">
        <f t="shared" ca="1" si="73"/>
        <v>4903.6066795211782</v>
      </c>
      <c r="O157" s="848">
        <f ca="1">-N157*(E157-G157)/HHProps_SSW</f>
        <v>0.44416727169575887</v>
      </c>
      <c r="P157" s="118">
        <f t="shared" ca="1" si="74"/>
        <v>2.1570823345783143</v>
      </c>
      <c r="Q157" s="236" t="s">
        <v>397</v>
      </c>
      <c r="R157" s="375">
        <f ca="1">-(P157*HHProps_SSW)/((E157-G157))</f>
        <v>23814.188973744589</v>
      </c>
      <c r="S157" s="43">
        <f ca="1">INDEX(INDIRECT("CAM_WTPCore2_"&amp;$C157&amp;"_Levels"),1,MATCH(S$142,WTPCore2_AttLevels,0))</f>
        <v>0</v>
      </c>
      <c r="T157" s="43"/>
      <c r="U157" s="43">
        <f ca="1">INDEX(INDIRECT("CAM_WTPCore2_"&amp;$C157&amp;"_Levels"),1,MATCH(U$142,WTPCore2_AttLevels,0))</f>
        <v>9</v>
      </c>
      <c r="V157" s="117">
        <f ca="1">INDEX(INDIRECT("CAM_WTPCore2_"&amp;$C157&amp;"_LevelValues"),1,MATCH("S1 MEAN",WTPCore2_LevelValues,0))</f>
        <v>0.16524275196632074</v>
      </c>
      <c r="W157" s="117">
        <f ca="1">INDEX(INDIRECT("CAM_WTPCore2_"&amp;$C157&amp;"_LevelValues"),1,MATCH("S2 MEAN",WTPCore2_LevelValues,0))</f>
        <v>2.2165878650139109E-2</v>
      </c>
      <c r="X157" s="272">
        <f t="shared" ca="1" si="75"/>
        <v>0.18740863061645985</v>
      </c>
      <c r="Y157" s="192">
        <f t="shared" ca="1" si="67"/>
        <v>5.4694065681840716</v>
      </c>
      <c r="Z157" s="579">
        <f t="shared" ca="1" si="68"/>
        <v>14803.000000000004</v>
      </c>
      <c r="AA157" s="579">
        <f ca="1">-Z157*(S157-U157)/HHProps_CAM</f>
        <v>1.0170000000000001</v>
      </c>
      <c r="AB157" s="117">
        <f ca="1">INDEX(INDIRECT("CAM_WTPCore2_"&amp;$C157&amp;"_UnitValues"),1,MATCH("MEAN",LMH,0))</f>
        <v>2727.836734528471</v>
      </c>
      <c r="AC157" s="848">
        <f ca="1">-AB157*(S157-U157)/HHProps_CAM</f>
        <v>0.18740863061645985</v>
      </c>
      <c r="AD157" s="118">
        <f t="shared" ca="1" si="76"/>
        <v>2.4205052488423973</v>
      </c>
      <c r="AE157" s="236" t="s">
        <v>397</v>
      </c>
      <c r="AF157" s="375">
        <f ca="1">-(AD157*HHProps_CAM)/((S157-U157))</f>
        <v>35231.798622039343</v>
      </c>
      <c r="AG157" s="846"/>
      <c r="AH157" s="846"/>
      <c r="AI157" s="846"/>
      <c r="AJ157" s="846"/>
    </row>
    <row r="158" spans="1:36" s="64" customFormat="1" x14ac:dyDescent="0.25">
      <c r="A158" s="258" t="s">
        <v>89</v>
      </c>
      <c r="B158" s="258"/>
      <c r="C158" s="9" t="s">
        <v>320</v>
      </c>
      <c r="D158" s="258"/>
      <c r="E158" s="43">
        <f ca="1">INDEX(INDIRECT("SSW_WTPCore2_"&amp;$C158&amp;"_Levels"),1,MATCH(E$142,WTPCore2_AttLevels,0))</f>
        <v>0</v>
      </c>
      <c r="F158" s="247"/>
      <c r="G158" s="43">
        <f ca="1">INDEX(INDIRECT("SSW_WTPCore2_"&amp;$C158&amp;"_Levels"),1,MATCH(G$142,WTPCore2_AttLevels,0))</f>
        <v>200</v>
      </c>
      <c r="H158" s="117">
        <f ca="1">INDEX(INDIRECT("SSW_WTPCore2_"&amp;$C158&amp;"_LevelValues"),1,MATCH("S1 MEAN",WTPCore2_LevelValues,0))</f>
        <v>1.6031866034099231</v>
      </c>
      <c r="I158" s="117">
        <f ca="1">INDEX(INDIRECT("SSW_WTPCore2_"&amp;$C158&amp;"_LevelValues"),1,MATCH("S2 MEAN",WTPCore2_LevelValues,0))</f>
        <v>1.0142326286036367</v>
      </c>
      <c r="J158" s="272">
        <f t="shared" ca="1" si="71"/>
        <v>2.6174192320135599</v>
      </c>
      <c r="K158" s="192">
        <f t="shared" ca="1" si="72"/>
        <v>5.5852849434092615</v>
      </c>
      <c r="L158" s="579">
        <f t="shared" ca="1" si="61"/>
        <v>1435.2</v>
      </c>
      <c r="M158" s="579">
        <f ca="1">-L158*(E158-G158)/HHProps_SSW</f>
        <v>0.52</v>
      </c>
      <c r="N158" s="117">
        <f t="shared" ca="1" si="73"/>
        <v>7224.0770803574251</v>
      </c>
      <c r="O158" s="848">
        <f ca="1">-N158*(E158-G158)/HHProps_SSW</f>
        <v>2.6174192320135599</v>
      </c>
      <c r="P158" s="118">
        <f t="shared" ca="1" si="74"/>
        <v>2.1940515442392141</v>
      </c>
      <c r="Q158" s="236" t="s">
        <v>397</v>
      </c>
      <c r="R158" s="375">
        <f ca="1">-(P158*HHProps_SSW)/((E158-G158))</f>
        <v>6055.5822621002308</v>
      </c>
      <c r="S158" s="43">
        <f ca="1">INDEX(INDIRECT("CAM_WTPCore2_"&amp;$C158&amp;"_Levels"),1,MATCH(S$142,WTPCore2_AttLevels,0))</f>
        <v>0</v>
      </c>
      <c r="T158" s="43"/>
      <c r="U158" s="43">
        <f ca="1">INDEX(INDIRECT("CAM_WTPCore2_"&amp;$C158&amp;"_Levels"),1,MATCH(U$142,WTPCore2_AttLevels,0))</f>
        <v>100</v>
      </c>
      <c r="V158" s="117">
        <f ca="1">INDEX(INDIRECT("CAM_WTPCore2_"&amp;$C158&amp;"_LevelValues"),1,MATCH("S1 MEAN",WTPCore2_LevelValues,0))</f>
        <v>0.89295998455831449</v>
      </c>
      <c r="W158" s="117">
        <f ca="1">INDEX(INDIRECT("CAM_WTPCore2_"&amp;$C158&amp;"_LevelValues"),1,MATCH("S2 MEAN",WTPCore2_LevelValues,0))</f>
        <v>0.44225505143140054</v>
      </c>
      <c r="X158" s="272">
        <f t="shared" ca="1" si="75"/>
        <v>1.335215035989715</v>
      </c>
      <c r="Y158" s="192">
        <f t="shared" ca="1" si="67"/>
        <v>5.7489772375446293</v>
      </c>
      <c r="Z158" s="579">
        <f t="shared" ca="1" si="68"/>
        <v>1912.6</v>
      </c>
      <c r="AA158" s="579">
        <f ca="1">-Z158*(S158-U158)/HHProps_CAM</f>
        <v>1.46</v>
      </c>
      <c r="AB158" s="117">
        <f ca="1">INDEX(INDIRECT("CAM_WTPCore2_"&amp;$C158&amp;"_UnitValues"),1,MATCH("MEAN",LMH,0))</f>
        <v>1749.1316971465267</v>
      </c>
      <c r="AC158" s="848">
        <f ca="1">-AB158*(S158-U158)/HHProps_CAM</f>
        <v>1.335215035989715</v>
      </c>
      <c r="AD158" s="118">
        <f t="shared" ca="1" si="76"/>
        <v>2.5442302387793378</v>
      </c>
      <c r="AE158" s="236" t="s">
        <v>397</v>
      </c>
      <c r="AF158" s="375">
        <f ca="1">-(AD158*HHProps_CAM)/((S158-U158))</f>
        <v>3332.9416128009325</v>
      </c>
      <c r="AG158" s="846"/>
      <c r="AH158" s="846"/>
      <c r="AI158" s="846"/>
      <c r="AJ158" s="846"/>
    </row>
    <row r="159" spans="1:36" s="64" customFormat="1" ht="15.75" thickBot="1" x14ac:dyDescent="0.3">
      <c r="A159" s="258" t="s">
        <v>111</v>
      </c>
      <c r="B159" s="258"/>
      <c r="C159" s="7" t="s">
        <v>271</v>
      </c>
      <c r="D159" s="258"/>
      <c r="E159" s="43">
        <f ca="1">INDEX(INDIRECT("SSW_WTPCore_DCE_"&amp;$C159&amp;"_Levels"),MATCH("COMBINED-HH",WTPCore_Group,0),MATCH(E$142,WTPCore_AttLevels,0))</f>
        <v>608.33333333333337</v>
      </c>
      <c r="F159" s="43"/>
      <c r="G159" s="43">
        <f ca="1">INDEX(INDIRECT("SSW_WTPCore_DCE_"&amp;$C159&amp;"_Levels"),MATCH("COMBINED-HH",WTPCore_Group,0),MATCH(G$142,WTPCore_AttLevels,0))</f>
        <v>243.33333333333334</v>
      </c>
      <c r="H159" s="117">
        <f t="shared" ca="1" si="80"/>
        <v>0.06</v>
      </c>
      <c r="I159" s="117">
        <f t="shared" ca="1" si="77"/>
        <v>0.46</v>
      </c>
      <c r="J159" s="272">
        <f t="shared" ca="1" si="71"/>
        <v>0.52</v>
      </c>
      <c r="K159" s="192">
        <f t="shared" ca="1" si="72"/>
        <v>1.0742406646616594</v>
      </c>
      <c r="L159" s="579">
        <f t="shared" ca="1" si="61"/>
        <v>786.41095890410963</v>
      </c>
      <c r="M159" s="579">
        <f ca="1">L159*(E159-G159)/HHProps_SSW</f>
        <v>0.52</v>
      </c>
      <c r="N159" s="117">
        <f ca="1">L159</f>
        <v>786.41095890410963</v>
      </c>
      <c r="O159" s="848">
        <f ca="1">N159*(E159-G159)/HHProps_SSW</f>
        <v>0.52</v>
      </c>
      <c r="P159" s="118">
        <f t="shared" ca="1" si="74"/>
        <v>0.42199089447830324</v>
      </c>
      <c r="Q159" s="236" t="s">
        <v>398</v>
      </c>
      <c r="R159" s="377">
        <f ca="1">(P159*HHProps_SSW)/((E159-G159))</f>
        <v>638.18896918362577</v>
      </c>
      <c r="S159" s="43">
        <f ca="1">INDEX(INDIRECT("CAM_WTPCore_"&amp;$C159&amp;"_Levels"),MATCH("COMBINED-HH",WTPCore_Group,0),MATCH(S$142,WTPCore_AttLevels,0))</f>
        <v>365</v>
      </c>
      <c r="T159" s="43"/>
      <c r="U159" s="43">
        <f ca="1">INDEX(INDIRECT("CAM_WTPCore_"&amp;$C159&amp;"_Levels"),MATCH("COMBINED-HH",WTPCore_Group,0),MATCH(U$142,WTPCore_AttLevels,0))</f>
        <v>121.66666666666667</v>
      </c>
      <c r="V159" s="117">
        <f t="shared" ca="1" si="81"/>
        <v>0.21</v>
      </c>
      <c r="W159" s="117">
        <f t="shared" ca="1" si="79"/>
        <v>0.51</v>
      </c>
      <c r="X159" s="272">
        <f t="shared" ca="1" si="75"/>
        <v>0.72</v>
      </c>
      <c r="Y159" s="192">
        <f t="shared" ca="1" si="67"/>
        <v>1.0952403258618539</v>
      </c>
      <c r="Z159" s="579">
        <f t="shared" ca="1" si="68"/>
        <v>387.61643835616439</v>
      </c>
      <c r="AA159" s="579">
        <f ca="1">Z159*(S159-U159)/HHProps_CAM</f>
        <v>0.72</v>
      </c>
      <c r="AB159" s="117">
        <f ca="1">Z159</f>
        <v>387.61643835616439</v>
      </c>
      <c r="AC159" s="848">
        <f ca="1">AB159*(S159-U159)/HHProps_CAM</f>
        <v>0.72</v>
      </c>
      <c r="AD159" s="118">
        <f t="shared" ca="1" si="76"/>
        <v>0.48470248544215649</v>
      </c>
      <c r="AE159" s="236" t="s">
        <v>398</v>
      </c>
      <c r="AF159" s="377">
        <f ca="1">(AD159*HHProps_CAM)/((S159-U159))</f>
        <v>260.94257092981854</v>
      </c>
      <c r="AG159" s="846"/>
      <c r="AH159" s="846"/>
      <c r="AI159" s="846"/>
      <c r="AJ159" s="846"/>
    </row>
    <row r="160" spans="1:36" s="64" customFormat="1" x14ac:dyDescent="0.25">
      <c r="A160" s="258"/>
      <c r="B160" s="9"/>
      <c r="C160" s="9"/>
      <c r="D160" s="9"/>
      <c r="E160" s="261"/>
      <c r="F160" s="262"/>
      <c r="G160" s="9"/>
      <c r="H160" s="251"/>
      <c r="I160" s="251"/>
      <c r="J160" s="850">
        <f ca="1">SUM(J143:J159)</f>
        <v>31.317551391386161</v>
      </c>
      <c r="K160" s="368">
        <f ca="1">SUM(K143:K159)</f>
        <v>100</v>
      </c>
      <c r="L160" s="368"/>
      <c r="M160" s="368">
        <f ca="1">SUM(M143:M159)</f>
        <v>47.247317820179319</v>
      </c>
      <c r="N160" s="368"/>
      <c r="O160" s="35">
        <f ca="1">SUM(O143:O159)</f>
        <v>31.318111391386164</v>
      </c>
      <c r="P160" s="251">
        <f ca="1">SUM(P143:P159)</f>
        <v>39.282714605782736</v>
      </c>
      <c r="Q160" s="9"/>
      <c r="R160" s="9"/>
      <c r="S160" s="261"/>
      <c r="T160" s="262"/>
      <c r="U160" s="9"/>
      <c r="V160" s="251"/>
      <c r="W160" s="251"/>
      <c r="X160" s="251">
        <f ca="1">SUM(X143:X159)</f>
        <v>28.554265564885121</v>
      </c>
      <c r="Y160" s="126">
        <f ca="1">SUM(Y143:Y159)</f>
        <v>99.999999999999972</v>
      </c>
      <c r="Z160" s="126"/>
      <c r="AA160" s="251">
        <f ca="1">SUM(AA143:AA159)</f>
        <v>59.944418892146757</v>
      </c>
      <c r="AB160" s="126"/>
      <c r="AC160" s="251">
        <f ca="1">SUM(AC143:AC159)</f>
        <v>28.566289487904875</v>
      </c>
      <c r="AD160" s="251">
        <f ca="1">SUM(AD143:AD159)</f>
        <v>44.25535419002582</v>
      </c>
      <c r="AE160" s="9"/>
      <c r="AF160" s="9"/>
      <c r="AG160" s="9"/>
      <c r="AH160" s="9"/>
      <c r="AI160" s="9"/>
      <c r="AJ160" s="9"/>
    </row>
    <row r="161" spans="1:36" s="64" customFormat="1" x14ac:dyDescent="0.25">
      <c r="A161" s="239"/>
      <c r="B161" s="9"/>
      <c r="C161" s="9"/>
      <c r="D161" s="9"/>
      <c r="E161" s="9"/>
      <c r="F161" s="9"/>
      <c r="G161" s="9"/>
      <c r="H161" s="9"/>
      <c r="I161" s="9"/>
      <c r="J161" s="9"/>
      <c r="K161" s="9"/>
      <c r="L161" s="9"/>
      <c r="M161" s="4" t="s">
        <v>1004</v>
      </c>
      <c r="N161" s="368">
        <f ca="1">AVERAGE(M160,O160)</f>
        <v>39.282714605782743</v>
      </c>
      <c r="O161" s="9"/>
      <c r="P161" s="9"/>
      <c r="Q161" s="9"/>
      <c r="R161" s="9"/>
      <c r="S161" s="9"/>
      <c r="T161" s="9"/>
      <c r="U161" s="9"/>
      <c r="V161" s="9"/>
      <c r="W161" s="9"/>
      <c r="X161" s="9"/>
      <c r="Y161" s="9"/>
      <c r="Z161" s="9"/>
      <c r="AA161" s="9"/>
      <c r="AB161" s="9"/>
      <c r="AC161" s="9"/>
      <c r="AD161" s="9"/>
      <c r="AE161" s="9"/>
      <c r="AF161" s="9"/>
      <c r="AG161" s="9"/>
      <c r="AH161" s="9"/>
      <c r="AI161" s="9"/>
      <c r="AJ161" s="9"/>
    </row>
    <row r="162" spans="1:36" hidden="1" x14ac:dyDescent="0.25">
      <c r="A162" s="12" t="s">
        <v>27</v>
      </c>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10"/>
      <c r="AG162" s="10"/>
      <c r="AH162" s="10"/>
      <c r="AI162" s="10"/>
      <c r="AJ162" s="10"/>
    </row>
    <row r="163" spans="1:36" hidden="1" x14ac:dyDescent="0.25">
      <c r="A163" s="1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10"/>
      <c r="AG163" s="10"/>
      <c r="AH163" s="10"/>
      <c r="AI163" s="10"/>
      <c r="AJ163" s="10"/>
    </row>
    <row r="164" spans="1:36" hidden="1" x14ac:dyDescent="0.25">
      <c r="A164" s="12" t="s">
        <v>87</v>
      </c>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10"/>
      <c r="AG164" s="10"/>
      <c r="AH164" s="10"/>
      <c r="AI164" s="10"/>
      <c r="AJ164" s="10"/>
    </row>
    <row r="165" spans="1:36" hidden="1" x14ac:dyDescent="0.25">
      <c r="A165" s="1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10"/>
      <c r="AG165" s="10"/>
      <c r="AH165" s="10"/>
      <c r="AI165" s="10"/>
      <c r="AJ165" s="10"/>
    </row>
    <row r="166" spans="1:36" hidden="1" x14ac:dyDescent="0.25">
      <c r="A166" s="12" t="s">
        <v>88</v>
      </c>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10"/>
      <c r="AG166" s="10"/>
      <c r="AH166" s="10"/>
      <c r="AI166" s="10"/>
      <c r="AJ166" s="10"/>
    </row>
    <row r="167" spans="1:36" hidden="1" x14ac:dyDescent="0.25">
      <c r="A167" s="1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10"/>
      <c r="AG167" s="10"/>
      <c r="AH167" s="10"/>
      <c r="AI167" s="10"/>
      <c r="AJ167" s="10"/>
    </row>
    <row r="168" spans="1:36" hidden="1" x14ac:dyDescent="0.25">
      <c r="A168" s="12" t="s">
        <v>89</v>
      </c>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10"/>
      <c r="AG168" s="10"/>
      <c r="AH168" s="10"/>
      <c r="AI168" s="10"/>
      <c r="AJ168" s="10"/>
    </row>
    <row r="169" spans="1:36" hidden="1" x14ac:dyDescent="0.25">
      <c r="AF169" s="10"/>
      <c r="AG169" s="10"/>
      <c r="AH169" s="10"/>
      <c r="AI169" s="10"/>
      <c r="AJ169" s="10"/>
    </row>
    <row r="170" spans="1:36" hidden="1" x14ac:dyDescent="0.25">
      <c r="AF170" s="10"/>
      <c r="AG170" s="10"/>
      <c r="AH170" s="10"/>
      <c r="AI170" s="10"/>
      <c r="AJ170" s="10"/>
    </row>
    <row r="171" spans="1:36" hidden="1" x14ac:dyDescent="0.25">
      <c r="AF171" s="10"/>
      <c r="AG171" s="10"/>
      <c r="AH171" s="10"/>
      <c r="AI171" s="10"/>
      <c r="AJ171" s="10"/>
    </row>
    <row r="172" spans="1:36" hidden="1" x14ac:dyDescent="0.25">
      <c r="AF172" s="10"/>
      <c r="AG172" s="10"/>
      <c r="AH172" s="10"/>
      <c r="AI172" s="10"/>
      <c r="AJ172" s="10"/>
    </row>
    <row r="173" spans="1:36" hidden="1" x14ac:dyDescent="0.25">
      <c r="AF173" s="10"/>
      <c r="AG173" s="10"/>
      <c r="AH173" s="10"/>
      <c r="AI173" s="10"/>
      <c r="AJ173" s="10"/>
    </row>
    <row r="174" spans="1:36" hidden="1" x14ac:dyDescent="0.25">
      <c r="AF174" s="10"/>
      <c r="AG174" s="10"/>
      <c r="AH174" s="10"/>
      <c r="AI174" s="10"/>
      <c r="AJ174" s="10"/>
    </row>
    <row r="175" spans="1:36" hidden="1" x14ac:dyDescent="0.25">
      <c r="AF175" s="10"/>
      <c r="AG175" s="10"/>
      <c r="AH175" s="10"/>
      <c r="AI175" s="10"/>
      <c r="AJ175" s="10"/>
    </row>
    <row r="176" spans="1:36" hidden="1" x14ac:dyDescent="0.25">
      <c r="AF176" s="10"/>
      <c r="AG176" s="10"/>
      <c r="AH176" s="10"/>
      <c r="AI176" s="10"/>
      <c r="AJ176" s="10"/>
    </row>
    <row r="177" spans="32:36" hidden="1" x14ac:dyDescent="0.25">
      <c r="AF177" s="10"/>
      <c r="AG177" s="10"/>
      <c r="AH177" s="10"/>
      <c r="AI177" s="10"/>
      <c r="AJ177" s="10"/>
    </row>
    <row r="178" spans="32:36" hidden="1" x14ac:dyDescent="0.25">
      <c r="AF178" s="10"/>
      <c r="AG178" s="10"/>
      <c r="AH178" s="10"/>
      <c r="AI178" s="10"/>
      <c r="AJ178" s="10"/>
    </row>
    <row r="179" spans="32:36" hidden="1" x14ac:dyDescent="0.25">
      <c r="AF179" s="10"/>
      <c r="AG179" s="10"/>
      <c r="AH179" s="10"/>
      <c r="AI179" s="10"/>
      <c r="AJ179" s="10"/>
    </row>
    <row r="180" spans="32:36" hidden="1" x14ac:dyDescent="0.25">
      <c r="AF180" s="10"/>
      <c r="AG180" s="10"/>
      <c r="AH180" s="10"/>
      <c r="AI180" s="10"/>
      <c r="AJ180" s="10"/>
    </row>
    <row r="181" spans="32:36" hidden="1" x14ac:dyDescent="0.25">
      <c r="AF181" s="10"/>
      <c r="AG181" s="10"/>
      <c r="AH181" s="10"/>
      <c r="AI181" s="10"/>
      <c r="AJ181" s="10"/>
    </row>
    <row r="182" spans="32:36" hidden="1" x14ac:dyDescent="0.25">
      <c r="AF182" s="10"/>
      <c r="AG182" s="10"/>
      <c r="AH182" s="10"/>
      <c r="AI182" s="10"/>
      <c r="AJ182" s="10"/>
    </row>
    <row r="183" spans="32:36" hidden="1" x14ac:dyDescent="0.25">
      <c r="AF183" s="10"/>
      <c r="AG183" s="10"/>
      <c r="AH183" s="10"/>
      <c r="AI183" s="10"/>
      <c r="AJ183" s="10"/>
    </row>
    <row r="184" spans="32:36" hidden="1" x14ac:dyDescent="0.25">
      <c r="AF184" s="10"/>
      <c r="AG184" s="10"/>
      <c r="AH184" s="10"/>
      <c r="AI184" s="10"/>
      <c r="AJ184" s="10"/>
    </row>
    <row r="185" spans="32:36" hidden="1" x14ac:dyDescent="0.25">
      <c r="AF185" s="10"/>
      <c r="AG185" s="10"/>
      <c r="AH185" s="10"/>
      <c r="AI185" s="10"/>
      <c r="AJ185" s="10"/>
    </row>
    <row r="186" spans="32:36" hidden="1" x14ac:dyDescent="0.25">
      <c r="AF186" s="10"/>
      <c r="AG186" s="10"/>
      <c r="AH186" s="10"/>
      <c r="AI186" s="10"/>
      <c r="AJ186" s="10"/>
    </row>
    <row r="187" spans="32:36" hidden="1" x14ac:dyDescent="0.25">
      <c r="AF187" s="10"/>
      <c r="AG187" s="10"/>
      <c r="AH187" s="10"/>
      <c r="AI187" s="10"/>
      <c r="AJ187" s="10"/>
    </row>
    <row r="188" spans="32:36" hidden="1" x14ac:dyDescent="0.25">
      <c r="AF188" s="10"/>
      <c r="AG188" s="10"/>
      <c r="AH188" s="10"/>
      <c r="AI188" s="10"/>
      <c r="AJ188" s="10"/>
    </row>
    <row r="189" spans="32:36" hidden="1" x14ac:dyDescent="0.25">
      <c r="AF189" s="10"/>
      <c r="AG189" s="10"/>
      <c r="AH189" s="10"/>
      <c r="AI189" s="10"/>
      <c r="AJ189" s="10"/>
    </row>
    <row r="190" spans="32:36" hidden="1" x14ac:dyDescent="0.25">
      <c r="AF190" s="10"/>
      <c r="AG190" s="10"/>
      <c r="AH190" s="10"/>
      <c r="AI190" s="10"/>
      <c r="AJ190" s="10"/>
    </row>
    <row r="191" spans="32:36" hidden="1" x14ac:dyDescent="0.25">
      <c r="AF191" s="10"/>
      <c r="AG191" s="10"/>
      <c r="AH191" s="10"/>
      <c r="AI191" s="10"/>
      <c r="AJ191" s="10"/>
    </row>
    <row r="192" spans="32:36" hidden="1" x14ac:dyDescent="0.25">
      <c r="AF192" s="10"/>
      <c r="AG192" s="10"/>
      <c r="AH192" s="10"/>
      <c r="AI192" s="10"/>
      <c r="AJ192" s="10"/>
    </row>
    <row r="193" spans="32:36" hidden="1" x14ac:dyDescent="0.25">
      <c r="AF193" s="10"/>
      <c r="AG193" s="10"/>
      <c r="AH193" s="10"/>
      <c r="AI193" s="10"/>
      <c r="AJ193" s="10"/>
    </row>
    <row r="194" spans="32:36" hidden="1" x14ac:dyDescent="0.25">
      <c r="AF194" s="10"/>
      <c r="AG194" s="10"/>
      <c r="AH194" s="10"/>
      <c r="AI194" s="10"/>
      <c r="AJ194" s="10"/>
    </row>
    <row r="195" spans="32:36" hidden="1" x14ac:dyDescent="0.25">
      <c r="AF195" s="10"/>
      <c r="AG195" s="10"/>
      <c r="AH195" s="10"/>
      <c r="AI195" s="10"/>
      <c r="AJ195" s="10"/>
    </row>
    <row r="196" spans="32:36" hidden="1" x14ac:dyDescent="0.25">
      <c r="AF196" s="10"/>
      <c r="AG196" s="10"/>
      <c r="AH196" s="10"/>
      <c r="AI196" s="10"/>
      <c r="AJ196" s="10"/>
    </row>
    <row r="197" spans="32:36" hidden="1" x14ac:dyDescent="0.25">
      <c r="AF197" s="10"/>
      <c r="AG197" s="10"/>
      <c r="AH197" s="10"/>
      <c r="AI197" s="10"/>
      <c r="AJ197" s="10"/>
    </row>
    <row r="198" spans="32:36" hidden="1" x14ac:dyDescent="0.25">
      <c r="AF198" s="10"/>
      <c r="AG198" s="10"/>
      <c r="AH198" s="10"/>
      <c r="AI198" s="10"/>
      <c r="AJ198" s="10"/>
    </row>
    <row r="199" spans="32:36" hidden="1" x14ac:dyDescent="0.25">
      <c r="AF199" s="10"/>
      <c r="AG199" s="10"/>
      <c r="AH199" s="10"/>
      <c r="AI199" s="10"/>
      <c r="AJ199" s="10"/>
    </row>
    <row r="200" spans="32:36" hidden="1" x14ac:dyDescent="0.25">
      <c r="AF200" s="10"/>
      <c r="AG200" s="10"/>
      <c r="AH200" s="10"/>
      <c r="AI200" s="10"/>
      <c r="AJ200" s="10"/>
    </row>
    <row r="201" spans="32:36" hidden="1" x14ac:dyDescent="0.25">
      <c r="AF201" s="10"/>
      <c r="AG201" s="10"/>
      <c r="AH201" s="10"/>
      <c r="AI201" s="10"/>
      <c r="AJ201" s="10"/>
    </row>
    <row r="202" spans="32:36" hidden="1" x14ac:dyDescent="0.25">
      <c r="AF202" s="10"/>
      <c r="AG202" s="10"/>
      <c r="AH202" s="10"/>
      <c r="AI202" s="10"/>
      <c r="AJ202" s="10"/>
    </row>
    <row r="203" spans="32:36" hidden="1" x14ac:dyDescent="0.25">
      <c r="AF203" s="10"/>
      <c r="AG203" s="10"/>
      <c r="AH203" s="10"/>
      <c r="AI203" s="10"/>
      <c r="AJ203" s="10"/>
    </row>
    <row r="204" spans="32:36" hidden="1" x14ac:dyDescent="0.25">
      <c r="AF204" s="10"/>
      <c r="AG204" s="10"/>
      <c r="AH204" s="10"/>
      <c r="AI204" s="10"/>
      <c r="AJ204" s="10"/>
    </row>
    <row r="205" spans="32:36" hidden="1" x14ac:dyDescent="0.25">
      <c r="AF205" s="10"/>
      <c r="AG205" s="10"/>
      <c r="AH205" s="10"/>
      <c r="AI205" s="10"/>
      <c r="AJ205" s="10"/>
    </row>
    <row r="206" spans="32:36" hidden="1" x14ac:dyDescent="0.25">
      <c r="AF206" s="10"/>
      <c r="AG206" s="10"/>
      <c r="AH206" s="10"/>
      <c r="AI206" s="10"/>
      <c r="AJ206" s="10"/>
    </row>
    <row r="207" spans="32:36" hidden="1" x14ac:dyDescent="0.25">
      <c r="AF207" s="10"/>
      <c r="AG207" s="10"/>
      <c r="AH207" s="10"/>
      <c r="AI207" s="10"/>
      <c r="AJ207" s="10"/>
    </row>
    <row r="208" spans="32:36" hidden="1" x14ac:dyDescent="0.25">
      <c r="AF208" s="10"/>
      <c r="AG208" s="10"/>
      <c r="AH208" s="10"/>
      <c r="AI208" s="10"/>
      <c r="AJ208" s="10"/>
    </row>
    <row r="209" spans="1:36" hidden="1" x14ac:dyDescent="0.25">
      <c r="AF209" s="10"/>
      <c r="AG209" s="10"/>
      <c r="AH209" s="10"/>
      <c r="AI209" s="10"/>
      <c r="AJ209" s="10"/>
    </row>
    <row r="210" spans="1:36" hidden="1" x14ac:dyDescent="0.25">
      <c r="AF210" s="10"/>
      <c r="AG210" s="10"/>
      <c r="AH210" s="10"/>
      <c r="AI210" s="10"/>
      <c r="AJ210" s="10"/>
    </row>
    <row r="211" spans="1:36" x14ac:dyDescent="0.25">
      <c r="AA211" s="126" t="s">
        <v>997</v>
      </c>
      <c r="AB211" s="251">
        <f ca="1">AVERAGE(AA160,AC160)</f>
        <v>44.255354190025812</v>
      </c>
      <c r="AF211" s="10"/>
      <c r="AG211" s="10"/>
      <c r="AH211" s="10"/>
      <c r="AI211" s="10"/>
      <c r="AJ211" s="10"/>
    </row>
    <row r="212" spans="1:36" hidden="1" x14ac:dyDescent="0.25">
      <c r="AF212" s="10"/>
      <c r="AG212" s="10"/>
      <c r="AH212" s="10"/>
      <c r="AI212" s="10"/>
      <c r="AJ212" s="10"/>
    </row>
    <row r="213" spans="1:36" s="9" customFormat="1" x14ac:dyDescent="0.25">
      <c r="A213" s="60"/>
      <c r="B213" s="60"/>
      <c r="C213" s="60"/>
      <c r="D213" s="66"/>
      <c r="E213" s="110"/>
      <c r="F213" s="110"/>
      <c r="G213" s="110"/>
      <c r="H213" s="110"/>
      <c r="I213" s="110"/>
      <c r="J213" s="110"/>
      <c r="K213" s="111"/>
      <c r="L213" s="111"/>
      <c r="M213" s="111"/>
      <c r="N213" s="111"/>
      <c r="O213" s="111"/>
      <c r="P213" s="110"/>
      <c r="Q213" s="110"/>
      <c r="R213" s="110"/>
      <c r="S213" s="111"/>
      <c r="T213" s="110"/>
      <c r="U213" s="110"/>
      <c r="V213" s="110"/>
      <c r="W213" s="110"/>
      <c r="X213" s="110"/>
      <c r="Y213" s="110"/>
      <c r="Z213" s="110"/>
      <c r="AA213" s="110"/>
      <c r="AB213" s="110"/>
      <c r="AC213" s="110"/>
      <c r="AD213" s="110"/>
      <c r="AE213" s="110"/>
      <c r="AF213" s="110"/>
      <c r="AG213" s="110"/>
      <c r="AH213" s="110"/>
      <c r="AI213" s="110"/>
      <c r="AJ213" s="110"/>
    </row>
    <row r="214" spans="1:36" s="9" customFormat="1" ht="19.5" x14ac:dyDescent="0.3">
      <c r="A214" s="112" t="s">
        <v>511</v>
      </c>
      <c r="B214" s="60"/>
      <c r="C214" s="60"/>
      <c r="D214" s="66"/>
      <c r="E214" s="242"/>
      <c r="F214" s="241"/>
      <c r="G214" s="241"/>
      <c r="H214" s="241"/>
      <c r="I214" s="241"/>
      <c r="J214" s="241"/>
      <c r="K214" s="243"/>
      <c r="L214" s="243"/>
      <c r="M214" s="243"/>
      <c r="N214" s="243"/>
      <c r="O214" s="243"/>
      <c r="P214" s="110"/>
      <c r="Q214" s="110"/>
      <c r="R214" s="110"/>
      <c r="S214" s="111"/>
      <c r="T214" s="110"/>
      <c r="U214" s="110"/>
      <c r="V214" s="110"/>
      <c r="W214" s="110"/>
      <c r="X214" s="110"/>
      <c r="Y214" s="110"/>
      <c r="Z214" s="110"/>
      <c r="AA214" s="110"/>
      <c r="AB214" s="110"/>
      <c r="AC214" s="110"/>
      <c r="AD214" s="110"/>
      <c r="AE214" s="110"/>
      <c r="AF214" s="110"/>
      <c r="AG214" s="110"/>
      <c r="AH214" s="110"/>
      <c r="AI214" s="110"/>
      <c r="AJ214" s="110"/>
    </row>
    <row r="215" spans="1:36" s="9" customFormat="1" ht="15" customHeight="1" thickBot="1" x14ac:dyDescent="0.3">
      <c r="A215" s="60"/>
      <c r="B215" s="63"/>
      <c r="C215" s="245"/>
      <c r="D215" s="66"/>
      <c r="E215" s="129" t="s">
        <v>988</v>
      </c>
      <c r="F215" s="193"/>
      <c r="G215" s="193"/>
      <c r="H215" s="129" t="s">
        <v>987</v>
      </c>
      <c r="I215" s="129"/>
      <c r="J215" s="130"/>
      <c r="K215" s="1014" t="s">
        <v>393</v>
      </c>
      <c r="L215" s="832"/>
      <c r="M215" s="832"/>
      <c r="N215" s="832"/>
      <c r="O215" s="832"/>
      <c r="P215" s="1013" t="s">
        <v>333</v>
      </c>
      <c r="Q215" s="60"/>
      <c r="R215" s="60"/>
      <c r="S215" s="129" t="s">
        <v>988</v>
      </c>
      <c r="T215" s="193"/>
      <c r="U215" s="193"/>
      <c r="V215" s="129" t="s">
        <v>987</v>
      </c>
      <c r="W215" s="129"/>
      <c r="X215" s="130"/>
      <c r="Y215" s="1014" t="s">
        <v>393</v>
      </c>
      <c r="Z215" s="832"/>
      <c r="AA215" s="832"/>
      <c r="AB215" s="832"/>
      <c r="AC215" s="832"/>
      <c r="AD215" s="1013" t="s">
        <v>333</v>
      </c>
      <c r="AE215" s="60"/>
      <c r="AF215" s="60"/>
      <c r="AG215" s="60"/>
      <c r="AH215" s="60"/>
      <c r="AI215" s="60"/>
      <c r="AJ215" s="60"/>
    </row>
    <row r="216" spans="1:36" s="65" customFormat="1" ht="45" x14ac:dyDescent="0.25">
      <c r="A216" s="66" t="s">
        <v>249</v>
      </c>
      <c r="B216" s="66"/>
      <c r="C216" s="246" t="s">
        <v>264</v>
      </c>
      <c r="D216" s="66"/>
      <c r="E216" s="586" t="s">
        <v>259</v>
      </c>
      <c r="F216" s="586" t="s">
        <v>260</v>
      </c>
      <c r="G216" s="586" t="s">
        <v>261</v>
      </c>
      <c r="H216" s="586" t="s">
        <v>313</v>
      </c>
      <c r="I216" s="586" t="s">
        <v>312</v>
      </c>
      <c r="J216" s="586" t="s">
        <v>311</v>
      </c>
      <c r="K216" s="1014"/>
      <c r="L216" s="832" t="s">
        <v>989</v>
      </c>
      <c r="M216" s="832" t="s">
        <v>990</v>
      </c>
      <c r="N216" s="832" t="s">
        <v>991</v>
      </c>
      <c r="O216" s="808" t="s">
        <v>992</v>
      </c>
      <c r="P216" s="1013"/>
      <c r="Q216" s="586" t="s">
        <v>368</v>
      </c>
      <c r="R216" s="372" t="s">
        <v>367</v>
      </c>
      <c r="S216" s="586" t="s">
        <v>259</v>
      </c>
      <c r="T216" s="586" t="s">
        <v>260</v>
      </c>
      <c r="U216" s="586" t="s">
        <v>261</v>
      </c>
      <c r="V216" s="586" t="s">
        <v>313</v>
      </c>
      <c r="W216" s="586" t="s">
        <v>312</v>
      </c>
      <c r="X216" s="586" t="s">
        <v>311</v>
      </c>
      <c r="Y216" s="1014"/>
      <c r="Z216" s="832" t="s">
        <v>989</v>
      </c>
      <c r="AA216" s="832" t="s">
        <v>990</v>
      </c>
      <c r="AB216" s="832" t="s">
        <v>991</v>
      </c>
      <c r="AC216" s="808" t="s">
        <v>992</v>
      </c>
      <c r="AD216" s="1013"/>
      <c r="AE216" s="586" t="s">
        <v>368</v>
      </c>
      <c r="AF216" s="372" t="s">
        <v>367</v>
      </c>
      <c r="AG216" s="316"/>
      <c r="AH216" s="316"/>
      <c r="AI216" s="316"/>
      <c r="AJ216" s="316"/>
    </row>
    <row r="217" spans="1:36" s="64" customFormat="1" x14ac:dyDescent="0.25">
      <c r="A217" s="64" t="s">
        <v>370</v>
      </c>
      <c r="B217" s="165"/>
      <c r="C217" s="64" t="s">
        <v>399</v>
      </c>
      <c r="D217" s="165"/>
      <c r="E217" s="42">
        <f t="shared" ref="E217:E223" ca="1" si="82">INDEX(INDIRECT("SSW_WTPCore2_"&amp;$C217&amp;"_Levels"),2,MATCH(E$142,WTPCore2_AttLevels,0))</f>
        <v>1.2500000000000001E-2</v>
      </c>
      <c r="F217" s="42"/>
      <c r="G217" s="42">
        <f t="shared" ref="G217:G223" ca="1" si="83">INDEX(INDIRECT("SSW_WTPCore2_"&amp;$C217&amp;"_Levels"),2,MATCH(G$142,WTPCore2_AttLevels,0))</f>
        <v>8.3333333333333332E-3</v>
      </c>
      <c r="H217" s="570">
        <f t="shared" ref="H217:H223" ca="1" si="84">INDEX(INDIRECT("SSW_WTPCore2_"&amp;$C217&amp;"_LevelValues"),2,MATCH("S1 MEAN",WTPCore2_LevelValues,0))</f>
        <v>1.5617999911371258E-4</v>
      </c>
      <c r="I217" s="570">
        <f t="shared" ref="I217:I223" ca="1" si="85">INDEX(INDIRECT("SSW_WTPCore2_"&amp;$C217&amp;"_LevelValues"),2,MATCH("S2 MEAN",WTPCore2_LevelValues,0))</f>
        <v>6.9518632551394011E-4</v>
      </c>
      <c r="J217" s="854">
        <f ca="1">H217+I217</f>
        <v>8.5136632462765266E-4</v>
      </c>
      <c r="K217" s="192">
        <f t="shared" ref="K217:K227" ca="1" si="86">INDEX(INDIRECT("SSW_WTPCore_DCE_"&amp;$C217&amp;"_MaxDiffUIndex"),MATCH("COMBINED-NHH",WTPCore_Group,0),MATCH("MEAN",LMH,0))</f>
        <v>9.1999999999999993</v>
      </c>
      <c r="L217" s="579">
        <f t="shared" ref="L217:L227" ca="1" si="87">INDEX(INDIRECT("SSW_WTPCore_DCE_"&amp;$C217&amp;"_UnitValues"),MATCH("COMBINED-nHH",WTPCore_Group,0),MATCH("MEAN",LMH,0))</f>
        <v>800.37595925297103</v>
      </c>
      <c r="M217" s="579">
        <f ca="1">L217*($E217-$G217)*(AllProps_SSW/NHHProps_SSW)</f>
        <v>53.088000000000001</v>
      </c>
      <c r="N217" s="117">
        <f t="shared" ref="N217:N223" ca="1" si="88">INDEX(INDIRECT("SSW_WTPCore2_"&amp;$C217&amp;"_UnitValues"),2,MATCH("MEAN",LMH,0))</f>
        <v>56.784428229127826</v>
      </c>
      <c r="O217" s="848">
        <f ca="1">N217*($E217-$G217)*(AllProps_SSW/NHHProps_SSW)</f>
        <v>3.7664446201527362</v>
      </c>
      <c r="P217" s="118">
        <f ca="1">(K217*N$235)/K$234</f>
        <v>34.641446219847694</v>
      </c>
      <c r="Q217" s="236" t="s">
        <v>369</v>
      </c>
      <c r="R217" s="375">
        <f t="shared" ref="R217:R222" ca="1" si="89">(P217*NHHProps_SSW)/((E217-G217)*AllProps_SSW)</f>
        <v>522.26832331451192</v>
      </c>
      <c r="S217" s="42">
        <f t="shared" ref="S217:S223" ca="1" si="90">INDEX(INDIRECT("CAM_WTPCore2_"&amp;$C217&amp;"_Levels"),2,MATCH(S$142,WTPCore2_AttLevels,0))</f>
        <v>1.2500000000000001E-2</v>
      </c>
      <c r="T217" s="42"/>
      <c r="U217" s="42">
        <f t="shared" ref="U217:U223" ca="1" si="91">INDEX(INDIRECT("CAM_WTPCore2_"&amp;$C217&amp;"_Levels"),2,MATCH(U$142,WTPCore2_AttLevels,0))</f>
        <v>8.3333333333333332E-3</v>
      </c>
      <c r="V217" s="570">
        <f t="shared" ref="V217:V223" ca="1" si="92">INDEX(INDIRECT("CAM_WTPCore2_"&amp;$C217&amp;"_LevelValues"),2,MATCH("S1 MEAN",WTPCore2_LevelValues,0))</f>
        <v>1.0438910529886973E-3</v>
      </c>
      <c r="W217" s="570">
        <f t="shared" ref="W217:W223" ca="1" si="93">INDEX(INDIRECT("CAM_WTPCore2_"&amp;$C217&amp;"_LevelValues"),2,MATCH("S2 MEAN",WTPCore2_LevelValues,0))</f>
        <v>6.3529836977335285E-4</v>
      </c>
      <c r="X217" s="591">
        <f ca="1">V217+W217</f>
        <v>1.6791894227620502E-3</v>
      </c>
      <c r="Y217" s="192">
        <f t="shared" ref="Y217:Y227" ca="1" si="94">INDEX(INDIRECT("CAM_WTPCore_"&amp;$C217&amp;"_MaxDiffUIndex"),MATCH("COMBINED-NHH",WTPCore_Group,0),MATCH("MEAN",LMH,0))</f>
        <v>11.666813298039941</v>
      </c>
      <c r="Z217" s="579">
        <f t="shared" ref="Z217:Z227" ca="1" si="95">INDEX(INDIRECT("CAM_WTPCore_"&amp;$C217&amp;"_UnitValues"),MATCH("COMBINED-NHH",WTPCore_Group,0),MATCH("MEAN",LMH,0))</f>
        <v>784.34042553191466</v>
      </c>
      <c r="AA217" s="579">
        <f ca="1">Z217*($S217-$U217)*(AllProps_CAM/NHHProps_CAM)</f>
        <v>46.08</v>
      </c>
      <c r="AB217" s="117">
        <f t="shared" ref="AB217:AB223" ca="1" si="96">INDEX(INDIRECT("CAM_WTPCore2_"&amp;$C217&amp;"_UnitValues"),2,MATCH("MEAN",LMH,0))</f>
        <v>146.33957182198631</v>
      </c>
      <c r="AC217" s="848">
        <f ca="1">AB217*($S217-$U217)*(AllProps_CAM/NHHProps_CAM)</f>
        <v>8.597449844541698</v>
      </c>
      <c r="AD217" s="118">
        <f ca="1">(Y217*AB$235)/Y$234</f>
        <v>170.73478730849871</v>
      </c>
      <c r="AE217" s="236" t="s">
        <v>369</v>
      </c>
      <c r="AF217" s="375">
        <f t="shared" ref="AF217:AF222" ca="1" si="97">(AD217*NHHProps_CAM)/((S217-U217)*AllProps_CAM)</f>
        <v>2906.1240392935943</v>
      </c>
      <c r="AG217" s="846"/>
      <c r="AH217" s="846"/>
      <c r="AI217" s="846"/>
      <c r="AJ217" s="846"/>
    </row>
    <row r="218" spans="1:36" s="64" customFormat="1" x14ac:dyDescent="0.25">
      <c r="A218" s="258" t="s">
        <v>25</v>
      </c>
      <c r="B218" s="258"/>
      <c r="C218" s="9" t="s">
        <v>266</v>
      </c>
      <c r="D218" s="258"/>
      <c r="E218" s="42">
        <f t="shared" ca="1" si="82"/>
        <v>6.6666666666666666E-2</v>
      </c>
      <c r="F218" s="42"/>
      <c r="G218" s="42">
        <f t="shared" ca="1" si="83"/>
        <v>0.04</v>
      </c>
      <c r="H218" s="570">
        <f t="shared" ca="1" si="84"/>
        <v>1.9376915692789636E-2</v>
      </c>
      <c r="I218" s="570">
        <f t="shared" ca="1" si="85"/>
        <v>4.9841954334050795E-4</v>
      </c>
      <c r="J218" s="855">
        <f t="shared" ref="J218:J233" ca="1" si="98">H218+I218</f>
        <v>1.9875335236130144E-2</v>
      </c>
      <c r="K218" s="192">
        <f t="shared" ca="1" si="86"/>
        <v>7.8</v>
      </c>
      <c r="L218" s="579">
        <f t="shared" ca="1" si="87"/>
        <v>44.321585387272407</v>
      </c>
      <c r="M218" s="579">
        <f ca="1">L218*($E218-$G218)*(AllProps_SSW/NHHProps_SSW)</f>
        <v>18.81471264367816</v>
      </c>
      <c r="N218" s="117">
        <f t="shared" ca="1" si="88"/>
        <v>207.13203782671931</v>
      </c>
      <c r="O218" s="848">
        <f ca="1">N218*($E218-$G218)*(AllProps_SSW/NHHProps_SSW)</f>
        <v>87.928483084639765</v>
      </c>
      <c r="P218" s="118">
        <f t="shared" ref="P218:P227" ca="1" si="99">(K218*N$235)/K$234</f>
        <v>29.369921795088263</v>
      </c>
      <c r="Q218" s="236" t="s">
        <v>369</v>
      </c>
      <c r="R218" s="375">
        <f t="shared" ca="1" si="89"/>
        <v>69.186360765169724</v>
      </c>
      <c r="S218" s="42">
        <f t="shared" ca="1" si="90"/>
        <v>2.2222222222222223E-2</v>
      </c>
      <c r="T218" s="42"/>
      <c r="U218" s="42">
        <f t="shared" ca="1" si="91"/>
        <v>1.5384615384615385E-2</v>
      </c>
      <c r="V218" s="570">
        <f t="shared" ca="1" si="92"/>
        <v>5.6414013673365619E-2</v>
      </c>
      <c r="W218" s="570">
        <f t="shared" ca="1" si="93"/>
        <v>1.4754621463399648E-4</v>
      </c>
      <c r="X218" s="591">
        <f t="shared" ref="X218:X233" ca="1" si="100">V218+W218</f>
        <v>5.6561559887999616E-2</v>
      </c>
      <c r="Y218" s="192">
        <f t="shared" ca="1" si="94"/>
        <v>10.306529527109202</v>
      </c>
      <c r="Z218" s="579">
        <f t="shared" ca="1" si="95"/>
        <v>290.49645390070918</v>
      </c>
      <c r="AA218" s="579">
        <f ca="1">Z218*($S218-$U218)*(AllProps_CAM/NHHProps_CAM)</f>
        <v>28.006837606837603</v>
      </c>
      <c r="AB218" s="117">
        <f t="shared" ca="1" si="96"/>
        <v>3003.7798612861075</v>
      </c>
      <c r="AC218" s="848">
        <f ca="1">AB218*($S218-$U218)*(AllProps_CAM/NHHProps_CAM)</f>
        <v>289.59518662655802</v>
      </c>
      <c r="AD218" s="118">
        <f t="shared" ref="AD218:AD233" ca="1" si="101">(Y218*AB$235)/Y$234</f>
        <v>150.8280866203099</v>
      </c>
      <c r="AE218" s="236" t="s">
        <v>369</v>
      </c>
      <c r="AF218" s="375">
        <f t="shared" ca="1" si="97"/>
        <v>1564.4402601574698</v>
      </c>
      <c r="AG218" s="846"/>
      <c r="AH218" s="846"/>
      <c r="AI218" s="846"/>
      <c r="AJ218" s="846"/>
    </row>
    <row r="219" spans="1:36" s="64" customFormat="1" x14ac:dyDescent="0.25">
      <c r="A219" s="258" t="s">
        <v>255</v>
      </c>
      <c r="B219" s="258"/>
      <c r="C219" s="9" t="s">
        <v>265</v>
      </c>
      <c r="D219" s="258"/>
      <c r="E219" s="42">
        <f t="shared" ca="1" si="82"/>
        <v>1.6666666666666666E-2</v>
      </c>
      <c r="F219" s="42"/>
      <c r="G219" s="42">
        <f t="shared" ca="1" si="83"/>
        <v>1.1111111111111112E-2</v>
      </c>
      <c r="H219" s="570">
        <f t="shared" ca="1" si="84"/>
        <v>3.6865032727528453E-3</v>
      </c>
      <c r="I219" s="570">
        <f t="shared" ca="1" si="85"/>
        <v>5.1592292451456759E-6</v>
      </c>
      <c r="J219" s="855">
        <f t="shared" ca="1" si="98"/>
        <v>3.691662501997991E-3</v>
      </c>
      <c r="K219" s="192">
        <f t="shared" ca="1" si="86"/>
        <v>9.6999999999999993</v>
      </c>
      <c r="L219" s="579">
        <f t="shared" ca="1" si="87"/>
        <v>70.914536619635854</v>
      </c>
      <c r="M219" s="579">
        <f ca="1">L219*(E219-G219)*(AllProps_SSW/NHHProps_SSW)</f>
        <v>6.2715708812260527</v>
      </c>
      <c r="N219" s="117">
        <f t="shared" ca="1" si="88"/>
        <v>184.66986976717914</v>
      </c>
      <c r="O219" s="848">
        <f ca="1">N219*(E219-G219)*(AllProps_SSW/NHHProps_SSW)</f>
        <v>16.331914908839117</v>
      </c>
      <c r="P219" s="118">
        <f t="shared" ca="1" si="99"/>
        <v>36.524133514404639</v>
      </c>
      <c r="Q219" s="236" t="s">
        <v>369</v>
      </c>
      <c r="R219" s="375">
        <f t="shared" ca="1" si="89"/>
        <v>412.98935349055165</v>
      </c>
      <c r="S219" s="42">
        <f t="shared" ca="1" si="90"/>
        <v>1.4285714285714285E-2</v>
      </c>
      <c r="T219" s="42"/>
      <c r="U219" s="42">
        <f t="shared" ca="1" si="91"/>
        <v>0.01</v>
      </c>
      <c r="V219" s="570">
        <f t="shared" ca="1" si="92"/>
        <v>4.257264223936371E-2</v>
      </c>
      <c r="W219" s="570">
        <f t="shared" ca="1" si="93"/>
        <v>1.0971349631991048E-2</v>
      </c>
      <c r="X219" s="591">
        <f t="shared" ca="1" si="100"/>
        <v>5.3543991871354758E-2</v>
      </c>
      <c r="Y219" s="192">
        <f t="shared" ca="1" si="94"/>
        <v>11.372144609050341</v>
      </c>
      <c r="Z219" s="579">
        <f t="shared" ca="1" si="95"/>
        <v>181.56028368794324</v>
      </c>
      <c r="AA219" s="579">
        <f ca="1">Z219*($S219-$U219)*(AllProps_CAM/NHHProps_CAM)</f>
        <v>10.971428571428568</v>
      </c>
      <c r="AB219" s="117">
        <f t="shared" ca="1" si="96"/>
        <v>4536.682431842446</v>
      </c>
      <c r="AC219" s="848">
        <f ca="1">AB219*($S219-$U219)*(AllProps_CAM/NHHProps_CAM)</f>
        <v>274.1452383813363</v>
      </c>
      <c r="AD219" s="118">
        <f t="shared" ca="1" si="101"/>
        <v>166.42253899733686</v>
      </c>
      <c r="AE219" s="236" t="s">
        <v>369</v>
      </c>
      <c r="AF219" s="375">
        <f t="shared" ca="1" si="97"/>
        <v>2754.0372883720047</v>
      </c>
      <c r="AG219" s="846"/>
      <c r="AH219" s="846"/>
      <c r="AI219" s="846"/>
      <c r="AJ219" s="846"/>
    </row>
    <row r="220" spans="1:36" s="64" customFormat="1" x14ac:dyDescent="0.25">
      <c r="A220" s="258" t="s">
        <v>81</v>
      </c>
      <c r="B220" s="258"/>
      <c r="C220" s="9" t="s">
        <v>267</v>
      </c>
      <c r="D220" s="258"/>
      <c r="E220" s="42">
        <f t="shared" ca="1" si="82"/>
        <v>0.33333333333333331</v>
      </c>
      <c r="F220" s="42"/>
      <c r="G220" s="42">
        <f t="shared" ca="1" si="83"/>
        <v>0.2</v>
      </c>
      <c r="H220" s="570">
        <f t="shared" ca="1" si="84"/>
        <v>4.1232652328514917E-3</v>
      </c>
      <c r="I220" s="570">
        <f t="shared" ca="1" si="85"/>
        <v>3.2944798024680151E-3</v>
      </c>
      <c r="J220" s="855">
        <f t="shared" ca="1" si="98"/>
        <v>7.4177450353195068E-3</v>
      </c>
      <c r="K220" s="192">
        <f t="shared" ca="1" si="86"/>
        <v>8.1</v>
      </c>
      <c r="L220" s="579">
        <f t="shared" ca="1" si="87"/>
        <v>30.847823429541599</v>
      </c>
      <c r="M220" s="579">
        <f ca="1">L220*(E220-G220)*(AllProps_SSW/NHHProps_SSW)</f>
        <v>65.475199999999987</v>
      </c>
      <c r="N220" s="117">
        <f t="shared" ca="1" si="88"/>
        <v>15.460897911817229</v>
      </c>
      <c r="O220" s="848">
        <f ca="1">N220*(E220-G220)*(AllProps_SSW/NHHProps_SSW)</f>
        <v>32.816104036253499</v>
      </c>
      <c r="P220" s="118">
        <f t="shared" ca="1" si="99"/>
        <v>30.499534171822429</v>
      </c>
      <c r="Q220" s="236" t="s">
        <v>369</v>
      </c>
      <c r="R220" s="375">
        <f t="shared" ca="1" si="89"/>
        <v>14.369474928150639</v>
      </c>
      <c r="S220" s="42">
        <f t="shared" ca="1" si="90"/>
        <v>0.33333333333333331</v>
      </c>
      <c r="T220" s="42"/>
      <c r="U220" s="42">
        <f t="shared" ca="1" si="91"/>
        <v>0.2</v>
      </c>
      <c r="V220" s="570">
        <f t="shared" ca="1" si="92"/>
        <v>5.0233968528763127E-2</v>
      </c>
      <c r="W220" s="570">
        <f t="shared" ca="1" si="93"/>
        <v>3.7020561693646287E-3</v>
      </c>
      <c r="X220" s="591">
        <f t="shared" ca="1" si="100"/>
        <v>5.3936024698127756E-2</v>
      </c>
      <c r="Y220" s="192">
        <f t="shared" ca="1" si="94"/>
        <v>7.922153761644501</v>
      </c>
      <c r="Z220" s="579">
        <f t="shared" ca="1" si="95"/>
        <v>22.876595744680852</v>
      </c>
      <c r="AA220" s="579">
        <f ca="1">Z220*($S220-$U220)*(AllProps_CAM/NHHProps_CAM)</f>
        <v>43.007999999999988</v>
      </c>
      <c r="AB220" s="117">
        <f t="shared" ca="1" si="96"/>
        <v>146.88959917787989</v>
      </c>
      <c r="AC220" s="848">
        <f ca="1">AB220*($S220-$U220)*(AllProps_CAM/NHHProps_CAM)</f>
        <v>276.15244645441413</v>
      </c>
      <c r="AD220" s="118">
        <f t="shared" ca="1" si="101"/>
        <v>115.93459181753047</v>
      </c>
      <c r="AE220" s="236" t="s">
        <v>369</v>
      </c>
      <c r="AF220" s="375">
        <f t="shared" ca="1" si="97"/>
        <v>61.667336073154523</v>
      </c>
      <c r="AG220" s="846"/>
      <c r="AH220" s="846"/>
      <c r="AI220" s="846"/>
      <c r="AJ220" s="846"/>
    </row>
    <row r="221" spans="1:36" s="64" customFormat="1" x14ac:dyDescent="0.25">
      <c r="A221" s="258" t="s">
        <v>82</v>
      </c>
      <c r="B221" s="258"/>
      <c r="C221" s="9" t="s">
        <v>268</v>
      </c>
      <c r="D221" s="258"/>
      <c r="E221" s="43">
        <f t="shared" ca="1" si="82"/>
        <v>0</v>
      </c>
      <c r="F221" s="42"/>
      <c r="G221" s="43">
        <f t="shared" ca="1" si="83"/>
        <v>4000</v>
      </c>
      <c r="H221" s="570">
        <f t="shared" ca="1" si="84"/>
        <v>4.1590321254674992E-3</v>
      </c>
      <c r="I221" s="570">
        <f t="shared" ca="1" si="85"/>
        <v>5.1578958405461544E-4</v>
      </c>
      <c r="J221" s="855">
        <f t="shared" ca="1" si="98"/>
        <v>4.6748217095221147E-3</v>
      </c>
      <c r="K221" s="192">
        <f t="shared" ca="1" si="86"/>
        <v>6.1</v>
      </c>
      <c r="L221" s="579">
        <f t="shared" ca="1" si="87"/>
        <v>9.7267911714770818</v>
      </c>
      <c r="M221" s="579">
        <f ca="1">-L221*(E221-G221)/NHHProps_SSW</f>
        <v>1.0515449915110358</v>
      </c>
      <c r="N221" s="117">
        <f t="shared" ca="1" si="88"/>
        <v>191.30305399706398</v>
      </c>
      <c r="O221" s="848">
        <f ca="1">-N221*(E221-G221)/NHHProps_SSW</f>
        <v>20.681411242925837</v>
      </c>
      <c r="P221" s="118">
        <f t="shared" ca="1" si="99"/>
        <v>22.968784993594667</v>
      </c>
      <c r="Q221" s="236" t="s">
        <v>369</v>
      </c>
      <c r="R221" s="1008">
        <f ca="1">-(P221*NHHProps_SSW)/((E221-G221))</f>
        <v>212.46126119075066</v>
      </c>
      <c r="S221" s="192">
        <f t="shared" ca="1" si="90"/>
        <v>0</v>
      </c>
      <c r="T221" s="192"/>
      <c r="U221" s="192">
        <f t="shared" ca="1" si="91"/>
        <v>1350</v>
      </c>
      <c r="V221" s="570">
        <f t="shared" ca="1" si="92"/>
        <v>5.8970314160098417E-2</v>
      </c>
      <c r="W221" s="570">
        <f t="shared" ca="1" si="93"/>
        <v>4.2450333610873081E-4</v>
      </c>
      <c r="X221" s="591">
        <f t="shared" ca="1" si="100"/>
        <v>5.9394817496207147E-2</v>
      </c>
      <c r="Y221" s="192">
        <f t="shared" ca="1" si="94"/>
        <v>8.4578082745028453</v>
      </c>
      <c r="Z221" s="579">
        <f t="shared" ca="1" si="95"/>
        <v>5.8099290780141848</v>
      </c>
      <c r="AA221" s="579">
        <f ca="1">-Z221*(S221-U221)/NHHProps_CAM</f>
        <v>0.78434042553191496</v>
      </c>
      <c r="AB221" s="117">
        <f t="shared" ca="1" si="96"/>
        <v>2252.6034487450415</v>
      </c>
      <c r="AC221" s="848">
        <f ca="1">-AB221*(S221-U221)/NHHProps_CAM</f>
        <v>304.10146558058062</v>
      </c>
      <c r="AD221" s="118">
        <f t="shared" ca="1" si="101"/>
        <v>123.77348123723789</v>
      </c>
      <c r="AE221" s="236" t="s">
        <v>369</v>
      </c>
      <c r="AF221" s="375">
        <f ca="1">-(AD221*NHHProps_CAM)/((S221-U221))</f>
        <v>916.84060175731759</v>
      </c>
      <c r="AG221" s="847"/>
      <c r="AH221" s="847"/>
      <c r="AI221" s="847"/>
      <c r="AJ221" s="847"/>
    </row>
    <row r="222" spans="1:36" s="64" customFormat="1" x14ac:dyDescent="0.25">
      <c r="A222" s="258" t="s">
        <v>83</v>
      </c>
      <c r="B222" s="258"/>
      <c r="C222" s="9" t="s">
        <v>269</v>
      </c>
      <c r="D222" s="258"/>
      <c r="E222" s="42">
        <f t="shared" ca="1" si="82"/>
        <v>1.2500000000000001E-2</v>
      </c>
      <c r="F222" s="42"/>
      <c r="G222" s="42">
        <f t="shared" ca="1" si="83"/>
        <v>8.3333333333333332E-3</v>
      </c>
      <c r="H222" s="570">
        <f t="shared" ca="1" si="84"/>
        <v>2.3562800507588295E-4</v>
      </c>
      <c r="I222" s="570">
        <f t="shared" ca="1" si="85"/>
        <v>4.1117889914467278E-4</v>
      </c>
      <c r="J222" s="855">
        <f t="shared" ca="1" si="98"/>
        <v>6.4680690422055573E-4</v>
      </c>
      <c r="K222" s="192">
        <f t="shared" ca="1" si="86"/>
        <v>8.1999999999999993</v>
      </c>
      <c r="L222" s="579">
        <f t="shared" ca="1" si="87"/>
        <v>310.41834897651921</v>
      </c>
      <c r="M222" s="579">
        <f ca="1">L222*($E222-$G222)*(AllProps_SSW/NHHProps_SSW)</f>
        <v>20.589685534591201</v>
      </c>
      <c r="N222" s="117">
        <f t="shared" ca="1" si="88"/>
        <v>43.140724701414321</v>
      </c>
      <c r="O222" s="848">
        <f ca="1">N222*($E222-$G222)*(AllProps_SSW/NHHProps_SSW)</f>
        <v>2.8614737442717391</v>
      </c>
      <c r="P222" s="118">
        <f t="shared" ca="1" si="99"/>
        <v>30.876071630733815</v>
      </c>
      <c r="Q222" s="236" t="s">
        <v>369</v>
      </c>
      <c r="R222" s="375">
        <f t="shared" ca="1" si="89"/>
        <v>465.50002730206495</v>
      </c>
      <c r="S222" s="42">
        <f t="shared" ca="1" si="90"/>
        <v>2.5000000000000001E-2</v>
      </c>
      <c r="T222" s="42"/>
      <c r="U222" s="42">
        <f t="shared" ca="1" si="91"/>
        <v>1.6666666666666666E-2</v>
      </c>
      <c r="V222" s="570">
        <f t="shared" ca="1" si="92"/>
        <v>2.654718763279678E-4</v>
      </c>
      <c r="W222" s="570">
        <f t="shared" ca="1" si="93"/>
        <v>1.3401602008677625E-5</v>
      </c>
      <c r="X222" s="591">
        <f t="shared" ca="1" si="100"/>
        <v>2.7887347833664542E-4</v>
      </c>
      <c r="Y222" s="192">
        <f t="shared" ca="1" si="94"/>
        <v>7.8842174463045316</v>
      </c>
      <c r="Z222" s="579">
        <f t="shared" ca="1" si="95"/>
        <v>90.78014184397162</v>
      </c>
      <c r="AA222" s="579">
        <f ca="1">Z222*($S222-$U222)*(AllProps_CAM/NHHProps_CAM)</f>
        <v>10.666666666666668</v>
      </c>
      <c r="AB222" s="117">
        <f t="shared" ca="1" si="96"/>
        <v>12.15176348156276</v>
      </c>
      <c r="AC222" s="848">
        <f ca="1">AB222*($S222-$U222)*(AllProps_CAM/NHHProps_CAM)</f>
        <v>1.4278322090836244</v>
      </c>
      <c r="AD222" s="118">
        <f t="shared" ca="1" si="101"/>
        <v>115.37942318961338</v>
      </c>
      <c r="AE222" s="236" t="s">
        <v>369</v>
      </c>
      <c r="AF222" s="375">
        <f t="shared" ca="1" si="97"/>
        <v>981.95253778394351</v>
      </c>
      <c r="AG222" s="846"/>
      <c r="AH222" s="846"/>
      <c r="AI222" s="846"/>
      <c r="AJ222" s="846"/>
    </row>
    <row r="223" spans="1:36" s="64" customFormat="1" x14ac:dyDescent="0.25">
      <c r="A223" s="258" t="s">
        <v>28</v>
      </c>
      <c r="B223" s="258"/>
      <c r="C223" s="9" t="s">
        <v>319</v>
      </c>
      <c r="D223" s="258"/>
      <c r="E223" s="42">
        <f t="shared" ca="1" si="82"/>
        <v>2.5000000000000001E-2</v>
      </c>
      <c r="F223" s="42"/>
      <c r="G223" s="42">
        <f t="shared" ca="1" si="83"/>
        <v>1.6666666666666666E-2</v>
      </c>
      <c r="H223" s="570">
        <f t="shared" ca="1" si="84"/>
        <v>1.0363458862342743E-3</v>
      </c>
      <c r="I223" s="570">
        <f t="shared" ca="1" si="85"/>
        <v>6.2724159084084235E-4</v>
      </c>
      <c r="J223" s="855">
        <f t="shared" ca="1" si="98"/>
        <v>1.6635874770751166E-3</v>
      </c>
      <c r="K223" s="192">
        <f t="shared" ca="1" si="86"/>
        <v>4.9000000000000004</v>
      </c>
      <c r="L223" s="579">
        <f t="shared" ca="1" si="87"/>
        <v>196425.59999999998</v>
      </c>
      <c r="M223" s="579">
        <f ca="1">L223*(E223-G223)/NHHProps_SSW*100</f>
        <v>4.4240000000000004</v>
      </c>
      <c r="N223" s="117">
        <f t="shared" ca="1" si="88"/>
        <v>326771.16833696596</v>
      </c>
      <c r="O223" s="848">
        <f ca="1">N223*(E223-G223)/NHHProps_SSW*100</f>
        <v>7.3597109985803151</v>
      </c>
      <c r="P223" s="118">
        <f t="shared" ca="1" si="99"/>
        <v>18.450335486658012</v>
      </c>
      <c r="Q223" s="236" t="s">
        <v>422</v>
      </c>
      <c r="R223" s="375">
        <f ca="1">(P223*NHHProps_SSW)/((E223-G223)*100)</f>
        <v>819194.89560761559</v>
      </c>
      <c r="S223" s="42">
        <f t="shared" ca="1" si="90"/>
        <v>0.02</v>
      </c>
      <c r="T223" s="42"/>
      <c r="U223" s="42">
        <f t="shared" ca="1" si="91"/>
        <v>1.3333333333333334E-2</v>
      </c>
      <c r="V223" s="570">
        <f t="shared" ca="1" si="92"/>
        <v>1.3694025744847137E-3</v>
      </c>
      <c r="W223" s="570">
        <f t="shared" ca="1" si="93"/>
        <v>1.1073984405910726E-3</v>
      </c>
      <c r="X223" s="591">
        <f t="shared" ca="1" si="100"/>
        <v>2.4768010150757864E-3</v>
      </c>
      <c r="Y223" s="192">
        <f t="shared" ca="1" si="94"/>
        <v>4.2211529545411075</v>
      </c>
      <c r="Z223" s="579">
        <f t="shared" ca="1" si="95"/>
        <v>1105919.9999999998</v>
      </c>
      <c r="AA223" s="579">
        <f ca="1">Z223*(S223-U223)/NHHProps_CAM*100</f>
        <v>73.72799999999998</v>
      </c>
      <c r="AB223" s="117">
        <f t="shared" ca="1" si="96"/>
        <v>190218.3179578204</v>
      </c>
      <c r="AC223" s="848">
        <f ca="1">AB223*(S223-U223)/NHHProps_CAM*100</f>
        <v>12.681221197188028</v>
      </c>
      <c r="AD223" s="118">
        <f t="shared" ca="1" si="101"/>
        <v>61.773308055876441</v>
      </c>
      <c r="AE223" s="236" t="s">
        <v>422</v>
      </c>
      <c r="AF223" s="375">
        <f ca="1">(AD223*NHHProps_CAM)/((S223-U223)*100)</f>
        <v>926599.62083814666</v>
      </c>
      <c r="AG223" s="846"/>
      <c r="AH223" s="846"/>
      <c r="AI223" s="846"/>
      <c r="AJ223" s="846"/>
    </row>
    <row r="224" spans="1:36" s="64" customFormat="1" x14ac:dyDescent="0.25">
      <c r="A224" s="258" t="s">
        <v>86</v>
      </c>
      <c r="B224" s="258"/>
      <c r="C224" s="7" t="s">
        <v>323</v>
      </c>
      <c r="D224" s="258"/>
      <c r="E224" s="42">
        <f t="shared" ref="E224" ca="1" si="102">INDEX(INDIRECT("SSW_WTPCore_DCE_"&amp;$C224&amp;"_Levels"),MATCH("COMBINED-HH",WTPCore_Group,0),MATCH(E$142,WTPCore_AttLevels,0))</f>
        <v>1.2500000000000001E-2</v>
      </c>
      <c r="F224" s="42"/>
      <c r="G224" s="42">
        <v>8.3000000000000001E-3</v>
      </c>
      <c r="H224" s="42">
        <f t="shared" ref="H224" ca="1" si="103">INDEX(INDIRECT("SSW_WTPCore_DCE_"&amp;$C224&amp;"_LevelValues"),MATCH("COMBINED-NHH",WTPCore_Group,0),MATCH("S1 MEAN",WTPCore_LevelValues,0))</f>
        <v>1E-3</v>
      </c>
      <c r="I224" s="42">
        <f t="shared" ref="I224" ca="1" si="104">INDEX(INDIRECT("SSW_WTPCore_DCE_"&amp;$C224&amp;"_LevelValues"),MATCH("COMBINED-NHH",WTPCore_Group,0),MATCH("S2 MEAN",WTPCore_LevelValues,0))</f>
        <v>8.0000000000000002E-3</v>
      </c>
      <c r="J224" s="591">
        <f ca="1">H224</f>
        <v>1E-3</v>
      </c>
      <c r="K224" s="192">
        <f t="shared" ca="1" si="86"/>
        <v>4</v>
      </c>
      <c r="L224" s="579">
        <f t="shared" ca="1" si="87"/>
        <v>392851.19999999995</v>
      </c>
      <c r="M224" s="117">
        <f ca="1">L224*(E224-G224)/NHHProps_SSW*100</f>
        <v>4.4593920000000002</v>
      </c>
      <c r="N224" s="117">
        <f ca="1">L224</f>
        <v>392851.19999999995</v>
      </c>
      <c r="O224" s="849">
        <f ca="1">(N224*(E224-G224)*100)/NHHProps_SSW</f>
        <v>4.4593920000000002</v>
      </c>
      <c r="P224" s="118">
        <f t="shared" ca="1" si="99"/>
        <v>15.06149835645552</v>
      </c>
      <c r="Q224" s="236" t="s">
        <v>422</v>
      </c>
      <c r="R224" s="375">
        <f ca="1">(P224*NHHProps_SSW)/((E224-G224)*100)</f>
        <v>1326846.283782986</v>
      </c>
      <c r="S224" s="42">
        <f ca="1">INDEX(INDIRECT("CAM_WTPCore_"&amp;$C224&amp;"_Levels"),MATCH("COMBINED-NHH",WTPCore_Group,0),MATCH(S$142,WTPCore_AttLevels,0))</f>
        <v>1.2500000000000001E-2</v>
      </c>
      <c r="T224" s="42"/>
      <c r="U224" s="42">
        <v>8.3000000000000001E-3</v>
      </c>
      <c r="V224" s="42">
        <f ca="1">INDEX(INDIRECT("CAM_WTPCore_"&amp;$C224&amp;"_LevelValues"),MATCH("COMBINED-NHH",WTPCore_Group,0),MATCH("S1 MEAN",WTPCore_LevelValues,0))</f>
        <v>9.1158062540521636E-3</v>
      </c>
      <c r="W224" s="42">
        <f ca="1">INDEX(INDIRECT("CAM_WTPCore_"&amp;$C224&amp;"_LevelValues"),MATCH("COMBINED-NHH",WTPCore_Group,0),MATCH("S2 MEAN",WTPCore_LevelValues,0))</f>
        <v>2.0400790621022298E-3</v>
      </c>
      <c r="X224" s="591">
        <f ca="1">V224</f>
        <v>9.1158062540521636E-3</v>
      </c>
      <c r="Y224" s="192">
        <f ca="1">INDEX(INDIRECT("CAM_WTPCore_"&amp;$C224&amp;"_MaxDiffUIndex"),MATCH("COMBINED-NHH",WTPCore_Group,0),MATCH("MEAN",LMH,0))</f>
        <v>4.2337970550830155</v>
      </c>
      <c r="Z224" s="579">
        <f ca="1">INDEX(INDIRECT("CAM_WTPCore_"&amp;$C224&amp;"_UnitValues"),MATCH("COMBINED-NHH",WTPCore_Group,0),MATCH("MEAN",LMH,0))</f>
        <v>1120150.2724979296</v>
      </c>
      <c r="AA224" s="117">
        <f ca="1">Z224*(S224-U224)/NHHProps_CAM*100</f>
        <v>47.046311444913052</v>
      </c>
      <c r="AB224" s="117">
        <f ca="1">Z224</f>
        <v>1120150.2724979296</v>
      </c>
      <c r="AC224" s="849">
        <f ca="1">AB224*(S224-U224)/NHHProps_CAM*100</f>
        <v>47.046311444913052</v>
      </c>
      <c r="AD224" s="118">
        <f ca="1">(Y224*AB$235)/Y$234</f>
        <v>61.958344685981132</v>
      </c>
      <c r="AE224" s="236" t="s">
        <v>422</v>
      </c>
      <c r="AF224" s="375">
        <f ca="1">(AD224*NHHProps_CAM)/((S224-U224)*100)</f>
        <v>1475198.6829995506</v>
      </c>
      <c r="AG224" s="846"/>
      <c r="AH224" s="846"/>
      <c r="AI224" s="846"/>
      <c r="AJ224" s="846"/>
    </row>
    <row r="225" spans="1:36" s="64" customFormat="1" x14ac:dyDescent="0.25">
      <c r="A225" s="258" t="s">
        <v>85</v>
      </c>
      <c r="B225" s="258"/>
      <c r="C225" s="9" t="s">
        <v>270</v>
      </c>
      <c r="D225" s="258"/>
      <c r="E225" s="42">
        <f ca="1">INDEX(INDIRECT("SSW_WTPCore2_"&amp;$C225&amp;"_Levels"),2,MATCH(E$142,WTPCore2_AttLevels,0))</f>
        <v>0.1</v>
      </c>
      <c r="F225" s="42"/>
      <c r="G225" s="42">
        <f ca="1">INDEX(INDIRECT("SSW_WTPCore2_"&amp;$C225&amp;"_Levels"),2,MATCH(G$142,WTPCore2_AttLevels,0))</f>
        <v>6.6666666666666666E-2</v>
      </c>
      <c r="H225" s="570">
        <f ca="1">INDEX(INDIRECT("SSW_WTPCore2_"&amp;$C225&amp;"_LevelValues"),2,MATCH("S1 MEAN",WTPCore2_LevelValues,0))</f>
        <v>6.9813125314618224E-5</v>
      </c>
      <c r="I225" s="570">
        <f ca="1">INDEX(INDIRECT("SSW_WTPCore2_"&amp;$C225&amp;"_LevelValues"),2,MATCH("S2 MEAN",WTPCore2_LevelValues,0))</f>
        <v>4.2539865887973236E-4</v>
      </c>
      <c r="J225" s="591">
        <f t="shared" ca="1" si="98"/>
        <v>4.9521178419435058E-4</v>
      </c>
      <c r="K225" s="192">
        <f t="shared" ca="1" si="86"/>
        <v>5.8</v>
      </c>
      <c r="L225" s="579">
        <f t="shared" ca="1" si="87"/>
        <v>38.286305674962968</v>
      </c>
      <c r="M225" s="579">
        <f ca="1">L225*(E225-G225)*(AllProps_SSW/NHHProps_SSW)</f>
        <v>20.315886524822695</v>
      </c>
      <c r="N225" s="117">
        <f ca="1">INDEX(INDIRECT("SSW_WTPCore2_"&amp;$C225&amp;"_UnitValues"),2,MATCH("MEAN",LMH,0))</f>
        <v>4.12870423758259</v>
      </c>
      <c r="O225" s="848">
        <f ca="1">N225*(E225-G225)*(AllProps_SSW/NHHProps_SSW)</f>
        <v>2.1908169332758072</v>
      </c>
      <c r="P225" s="118">
        <f t="shared" ca="1" si="99"/>
        <v>21.839172616860502</v>
      </c>
      <c r="Q225" s="236" t="s">
        <v>369</v>
      </c>
      <c r="R225" s="375">
        <f ca="1">(P225*NHHProps_SSW)/((E225-G225)*AllProps_SSW)</f>
        <v>41.157014609024031</v>
      </c>
      <c r="S225" s="42">
        <f ca="1">INDEX(INDIRECT("CAM_WTPCore2_"&amp;$C225&amp;"_Levels"),2,MATCH(S$142,WTPCore2_AttLevels,0))</f>
        <v>9.0909090909090912E-2</v>
      </c>
      <c r="T225" s="42"/>
      <c r="U225" s="42">
        <f ca="1">INDEX(INDIRECT("CAM_WTPCore2_"&amp;$C225&amp;"_Levels"),2,MATCH(U$142,WTPCore2_AttLevels,0))</f>
        <v>6.6666666666666666E-2</v>
      </c>
      <c r="V225" s="570">
        <f ca="1">INDEX(INDIRECT("CAM_WTPCore2_"&amp;$C225&amp;"_LevelValues"),2,MATCH("S1 MEAN",WTPCore2_LevelValues,0))</f>
        <v>4.8585541264324922E-5</v>
      </c>
      <c r="W225" s="570">
        <f ca="1">INDEX(INDIRECT("CAM_WTPCore2_"&amp;$C225&amp;"_LevelValues"),2,MATCH("S2 MEAN",WTPCore2_LevelValues,0))</f>
        <v>4.7427328754792901E-3</v>
      </c>
      <c r="X225" s="591">
        <f ca="1">V225+W225</f>
        <v>4.7913184167436155E-3</v>
      </c>
      <c r="Y225" s="192">
        <f t="shared" ca="1" si="94"/>
        <v>3.7501117610306043</v>
      </c>
      <c r="Z225" s="579">
        <f t="shared" ca="1" si="95"/>
        <v>23.177908555907649</v>
      </c>
      <c r="AA225" s="579">
        <f ca="1">Z225*(S225-U225)*(AllProps_CAM/NHHProps_CAM)</f>
        <v>7.9226305609284342</v>
      </c>
      <c r="AB225" s="117">
        <f ca="1">INDEX(INDIRECT("CAM_WTPCore2_"&amp;$C225&amp;"_UnitValues"),2,MATCH("MEAN",LMH,0))</f>
        <v>71.767833306117126</v>
      </c>
      <c r="AC225" s="848">
        <f ca="1">AB225*(S225-U225)*(AllProps_CAM/NHHProps_CAM)</f>
        <v>24.53155029372731</v>
      </c>
      <c r="AD225" s="118">
        <f t="shared" ca="1" si="101"/>
        <v>54.879984580727616</v>
      </c>
      <c r="AE225" s="236" t="s">
        <v>369</v>
      </c>
      <c r="AF225" s="375">
        <f ca="1">(AD225*NHHProps_CAM)/((S225-U225)*AllProps_CAM)</f>
        <v>160.55314637978825</v>
      </c>
      <c r="AG225" s="846"/>
      <c r="AH225" s="846"/>
      <c r="AI225" s="846"/>
      <c r="AJ225" s="846"/>
    </row>
    <row r="226" spans="1:36" s="64" customFormat="1" x14ac:dyDescent="0.25">
      <c r="A226" s="258" t="s">
        <v>84</v>
      </c>
      <c r="B226" s="258"/>
      <c r="C226" s="9" t="s">
        <v>272</v>
      </c>
      <c r="D226" s="258"/>
      <c r="E226" s="42">
        <f ca="1">INDEX(INDIRECT("SSW_WTPCore2_"&amp;$C226&amp;"_Levels"),2,MATCH(E$142,WTPCore2_AttLevels,0))</f>
        <v>1.2500000000000001E-2</v>
      </c>
      <c r="F226" s="42"/>
      <c r="G226" s="42">
        <f ca="1">INDEX(INDIRECT("SSW_WTPCore2_"&amp;$C226&amp;"_Levels"),2,MATCH(G$142,WTPCore2_AttLevels,0))</f>
        <v>8.3333333333333332E-3</v>
      </c>
      <c r="H226" s="570">
        <f ca="1">INDEX(INDIRECT("SSW_WTPCore2_"&amp;$C226&amp;"_LevelValues"),2,MATCH("S1 MEAN",WTPCore2_LevelValues,0))</f>
        <v>3.2547973798216128E-3</v>
      </c>
      <c r="I226" s="570">
        <f ca="1">INDEX(INDIRECT("SSW_WTPCore2_"&amp;$C226&amp;"_LevelValues"),2,MATCH("S2 MEAN",WTPCore2_LevelValues,0))</f>
        <v>7.948008279647506E-4</v>
      </c>
      <c r="J226" s="591">
        <f t="shared" ca="1" si="98"/>
        <v>4.0495982077863634E-3</v>
      </c>
      <c r="K226" s="192">
        <f t="shared" ca="1" si="86"/>
        <v>5.4</v>
      </c>
      <c r="L226" s="579">
        <f t="shared" ca="1" si="87"/>
        <v>533.58397283531406</v>
      </c>
      <c r="M226" s="579">
        <f ca="1">L226*(E226-G226)*(AllProps_SSW/NHHProps_SSW)</f>
        <v>35.39200000000001</v>
      </c>
      <c r="N226" s="117">
        <f ca="1">INDEX(INDIRECT("SSW_WTPCore2_"&amp;$C226&amp;"_UnitValues"),2,MATCH("MEAN",LMH,0))</f>
        <v>270.10008751217691</v>
      </c>
      <c r="O226" s="848">
        <f ca="1">N226*(E226-G226)*(AllProps_SSW/NHHProps_SSW)</f>
        <v>17.915422471246874</v>
      </c>
      <c r="P226" s="118">
        <f t="shared" ca="1" si="99"/>
        <v>20.333022781214954</v>
      </c>
      <c r="Q226" s="236" t="s">
        <v>369</v>
      </c>
      <c r="R226" s="375">
        <f ca="1">(P226*NHHProps_SSW)/((E226-G226)*AllProps_SSW)</f>
        <v>306.54879846721354</v>
      </c>
      <c r="S226" s="42">
        <f ca="1">INDEX(INDIRECT("CAM_WTPCore2_"&amp;$C226&amp;"_Levels"),2,MATCH(S$142,WTPCore2_AttLevels,0))</f>
        <v>1.2500000000000001E-2</v>
      </c>
      <c r="T226" s="42"/>
      <c r="U226" s="42">
        <f ca="1">INDEX(INDIRECT("CAM_WTPCore2_"&amp;$C226&amp;"_Levels"),2,MATCH(U$142,WTPCore2_AttLevels,0))</f>
        <v>8.3333333333333332E-3</v>
      </c>
      <c r="V226" s="570">
        <f ca="1">INDEX(INDIRECT("CAM_WTPCore2_"&amp;$C226&amp;"_LevelValues"),2,MATCH("S1 MEAN",WTPCore2_LevelValues,0))</f>
        <v>9.4713974082152442E-6</v>
      </c>
      <c r="W226" s="570">
        <f ca="1">INDEX(INDIRECT("CAM_WTPCore2_"&amp;$C226&amp;"_LevelValues"),2,MATCH("S2 MEAN",WTPCore2_LevelValues,0))</f>
        <v>6.2354630531377838E-4</v>
      </c>
      <c r="X226" s="591">
        <f t="shared" ca="1" si="100"/>
        <v>6.3301770272199359E-4</v>
      </c>
      <c r="Y226" s="192">
        <f t="shared" ca="1" si="94"/>
        <v>4.3840773480987609</v>
      </c>
      <c r="Z226" s="579">
        <f t="shared" ca="1" si="95"/>
        <v>2614.4680851063827</v>
      </c>
      <c r="AA226" s="579">
        <f ca="1">Z226*(S226-U226)*(AllProps_CAM/NHHProps_CAM)</f>
        <v>153.60000000000002</v>
      </c>
      <c r="AB226" s="117">
        <f ca="1">INDEX(INDIRECT("CAM_WTPCore2_"&amp;$C226&amp;"_UnitValues"),2,MATCH("MEAN",LMH,0))</f>
        <v>55.166819369133727</v>
      </c>
      <c r="AC226" s="848">
        <f ca="1">AB226*(S226-U226)*(AllProps_CAM/NHHProps_CAM)</f>
        <v>3.2410506379366066</v>
      </c>
      <c r="AD226" s="118">
        <f t="shared" ca="1" si="101"/>
        <v>64.157580519215287</v>
      </c>
      <c r="AE226" s="236" t="s">
        <v>369</v>
      </c>
      <c r="AF226" s="375">
        <f ca="1">(AD226*NHHProps_CAM)/((S226-U226)*AllProps_CAM)</f>
        <v>1092.0439237313237</v>
      </c>
      <c r="AG226" s="846"/>
      <c r="AH226" s="846"/>
      <c r="AI226" s="846"/>
      <c r="AJ226" s="846"/>
    </row>
    <row r="227" spans="1:36" s="64" customFormat="1" x14ac:dyDescent="0.25">
      <c r="A227" s="258" t="s">
        <v>27</v>
      </c>
      <c r="B227" s="258"/>
      <c r="C227" s="9" t="s">
        <v>3</v>
      </c>
      <c r="D227" s="258"/>
      <c r="E227" s="192">
        <f ca="1">INDEX(INDIRECT("SSW_WTPCore2_"&amp;$C227&amp;"_Levels"),2,MATCH(E$142,WTPCore2_AttLevels,0))</f>
        <v>70.5</v>
      </c>
      <c r="F227" s="192"/>
      <c r="G227" s="589">
        <f ca="1">INDEX(INDIRECT("SSW_WTPCore2_"&amp;$C227&amp;"_Levels"),2,MATCH(G$142,WTPCore2_AttLevels,0))</f>
        <v>35.25</v>
      </c>
      <c r="H227" s="589">
        <f ca="1">INDEX(INDIRECT("SSW_WTPCore2_"&amp;$C227&amp;"_LevelValues"),2,MATCH("S1 MEAN",WTPCore2_LevelValues,0))</f>
        <v>1.8366495603833657E-2</v>
      </c>
      <c r="I227" s="589">
        <f ca="1">INDEX(INDIRECT("SSW_WTPCore2_"&amp;$C227&amp;"_LevelValues"),2,MATCH("S2 MEAN",WTPCore2_LevelValues,0))</f>
        <v>6.6875105310339848E-3</v>
      </c>
      <c r="J227" s="591">
        <f t="shared" ca="1" si="98"/>
        <v>2.5054006134867642E-2</v>
      </c>
      <c r="K227" s="192">
        <f t="shared" ca="1" si="86"/>
        <v>6.5</v>
      </c>
      <c r="L227" s="579">
        <f t="shared" ca="1" si="87"/>
        <v>23218.156028368794</v>
      </c>
      <c r="M227" s="579">
        <f ca="1">L227*(E227-$G227)/NHHProps_SSW</f>
        <v>22.12</v>
      </c>
      <c r="N227" s="117">
        <f ca="1">INDEX(INDIRECT("SSW_WTPCore2_"&amp;$C227&amp;"_UnitValues"),2,MATCH("MEAN",LMH,0))</f>
        <v>116341.56471501317</v>
      </c>
      <c r="O227" s="848">
        <f ca="1">N227*(E227-$G227)/NHHProps_SSW</f>
        <v>110.83892314065444</v>
      </c>
      <c r="P227" s="118">
        <f t="shared" ca="1" si="99"/>
        <v>24.474934829240222</v>
      </c>
      <c r="Q227" s="236" t="s">
        <v>396</v>
      </c>
      <c r="R227" s="375">
        <f ca="1">(P227*NHHProps_SSW)/((E227-G227))</f>
        <v>25690.002515798245</v>
      </c>
      <c r="S227" s="192">
        <f ca="1">INDEX(INDIRECT("CAM_WTPCore2_"&amp;$C227&amp;"_Levels"),2,MATCH(S$142,WTPCore2_AttLevels,0))</f>
        <v>13.5</v>
      </c>
      <c r="T227" s="192"/>
      <c r="U227" s="192">
        <f ca="1">INDEX(INDIRECT("CAM_WTPCore2_"&amp;$C227&amp;"_Levels"),2,MATCH(U$142,WTPCore2_AttLevels,0))</f>
        <v>6.75</v>
      </c>
      <c r="V227" s="570">
        <f ca="1">INDEX(INDIRECT("CAM_WTPCore2_"&amp;$C227&amp;"_LevelValues"),2,MATCH("S1 MEAN",WTPCore2_LevelValues,0))</f>
        <v>7.1569068986342493E-2</v>
      </c>
      <c r="W227" s="570">
        <f ca="1">INDEX(INDIRECT("CAM_WTPCore2_"&amp;$C227&amp;"_LevelValues"),2,MATCH("S2 MEAN",WTPCore2_LevelValues,0))</f>
        <v>3.5284810800562588E-2</v>
      </c>
      <c r="X227" s="591">
        <f t="shared" ca="1" si="100"/>
        <v>0.10685387978690508</v>
      </c>
      <c r="Y227" s="192">
        <f t="shared" ca="1" si="94"/>
        <v>5.5537580076527551</v>
      </c>
      <c r="Z227" s="579">
        <f t="shared" ca="1" si="95"/>
        <v>15170.37037037037</v>
      </c>
      <c r="AA227" s="579">
        <f ca="1">Z227*(S227-$U227)/NHHProps_CAM</f>
        <v>10.24</v>
      </c>
      <c r="AB227" s="117">
        <f ca="1">INDEX(INDIRECT("CAM_WTPCore2_"&amp;$C227&amp;"_UnitValues"),2,MATCH("MEAN",LMH,0))</f>
        <v>810506.46593919117</v>
      </c>
      <c r="AC227" s="848">
        <f ca="1">AB227*(S227-$U227)/NHHProps_CAM</f>
        <v>547.09186450895402</v>
      </c>
      <c r="AD227" s="118">
        <f t="shared" ca="1" si="101"/>
        <v>81.274952120710509</v>
      </c>
      <c r="AE227" s="236" t="s">
        <v>396</v>
      </c>
      <c r="AF227" s="375">
        <f ca="1">(AD227*NHHProps_CAM)/((S227-U227))</f>
        <v>120407.33647512669</v>
      </c>
      <c r="AG227" s="846"/>
      <c r="AH227" s="846"/>
      <c r="AI227" s="846"/>
      <c r="AJ227" s="846"/>
    </row>
    <row r="228" spans="1:36" s="64" customFormat="1" x14ac:dyDescent="0.25">
      <c r="A228" s="258" t="s">
        <v>87</v>
      </c>
      <c r="B228" s="258"/>
      <c r="C228" s="9" t="s">
        <v>318</v>
      </c>
      <c r="D228" s="258"/>
      <c r="E228" s="291"/>
      <c r="F228" s="201"/>
      <c r="G228" s="291"/>
      <c r="H228" s="201"/>
      <c r="I228" s="201"/>
      <c r="J228" s="851"/>
      <c r="K228" s="852"/>
      <c r="L228" s="852"/>
      <c r="M228" s="857"/>
      <c r="N228" s="852"/>
      <c r="O228" s="857"/>
      <c r="P228" s="197"/>
      <c r="Q228" s="502"/>
      <c r="R228" s="853"/>
      <c r="S228" s="291"/>
      <c r="T228" s="201"/>
      <c r="U228" s="291"/>
      <c r="V228" s="201"/>
      <c r="W228" s="201"/>
      <c r="X228" s="851"/>
      <c r="Y228" s="852"/>
      <c r="Z228" s="858"/>
      <c r="AA228" s="857"/>
      <c r="AB228" s="857"/>
      <c r="AC228" s="857"/>
      <c r="AD228" s="197"/>
      <c r="AE228" s="502"/>
      <c r="AF228" s="853"/>
      <c r="AG228" s="847"/>
      <c r="AH228" s="847"/>
      <c r="AI228" s="847"/>
      <c r="AJ228" s="847"/>
    </row>
    <row r="229" spans="1:36" s="64" customFormat="1" x14ac:dyDescent="0.25">
      <c r="A229" s="258" t="s">
        <v>373</v>
      </c>
      <c r="B229" s="258"/>
      <c r="C229" s="7" t="s">
        <v>402</v>
      </c>
      <c r="D229" s="258"/>
      <c r="E229" s="201"/>
      <c r="F229" s="201"/>
      <c r="G229" s="201"/>
      <c r="H229" s="201"/>
      <c r="I229" s="201"/>
      <c r="J229" s="851"/>
      <c r="K229" s="852"/>
      <c r="L229" s="852"/>
      <c r="M229" s="857"/>
      <c r="N229" s="852"/>
      <c r="O229" s="857"/>
      <c r="P229" s="197"/>
      <c r="Q229" s="502"/>
      <c r="R229" s="853"/>
      <c r="S229" s="201"/>
      <c r="T229" s="201"/>
      <c r="U229" s="201"/>
      <c r="V229" s="201"/>
      <c r="W229" s="201"/>
      <c r="X229" s="851"/>
      <c r="Y229" s="852"/>
      <c r="Z229" s="858"/>
      <c r="AA229" s="857"/>
      <c r="AB229" s="857"/>
      <c r="AC229" s="857"/>
      <c r="AD229" s="197"/>
      <c r="AE229" s="502"/>
      <c r="AF229" s="853"/>
      <c r="AG229" s="847"/>
      <c r="AH229" s="847"/>
      <c r="AI229" s="847"/>
      <c r="AJ229" s="847"/>
    </row>
    <row r="230" spans="1:36" s="64" customFormat="1" x14ac:dyDescent="0.25">
      <c r="A230" s="258" t="s">
        <v>414</v>
      </c>
      <c r="B230" s="258"/>
      <c r="C230" s="9" t="s">
        <v>421</v>
      </c>
      <c r="D230" s="258"/>
      <c r="E230" s="42">
        <f ca="1">INDEX(INDIRECT("SSW_WTPCore2_"&amp;$C230&amp;"_Levels"),2,MATCH(E$142,WTPCore2_AttLevels,0))</f>
        <v>0.11</v>
      </c>
      <c r="F230" s="42"/>
      <c r="G230" s="42">
        <f ca="1">INDEX(INDIRECT("SSW_WTPCore2_"&amp;$C230&amp;"_Levels"),2,MATCH(G$142,WTPCore2_AttLevels,0))</f>
        <v>0.18</v>
      </c>
      <c r="H230" s="570">
        <f ca="1">INDEX(INDIRECT("SSW_WTPCore2_"&amp;$C230&amp;"_LevelValues"),2,MATCH("S1 MEAN",WTPCore2_LevelValues,0))</f>
        <v>1.2065378629958141E-2</v>
      </c>
      <c r="I230" s="570">
        <f ca="1">INDEX(INDIRECT("SSW_WTPCore2_"&amp;$C230&amp;"_LevelValues"),2,MATCH("S2 MEAN",WTPCore2_LevelValues,0))</f>
        <v>3.8869975294432441E-3</v>
      </c>
      <c r="J230" s="591">
        <f t="shared" ca="1" si="98"/>
        <v>1.5952376159401385E-2</v>
      </c>
      <c r="K230" s="192">
        <f ca="1">INDEX(INDIRECT("SSW_WTPCore_DCE_"&amp;$C230&amp;"_MaxDiffUIndex"),MATCH("COMBINED-NHH",WTPCore_Group,0),MATCH("MEAN",LMH,0))</f>
        <v>8</v>
      </c>
      <c r="L230" s="579">
        <f ca="1">INDEX(INDIRECT("SSW_WTPCore_DCE_"&amp;$C230&amp;"_UnitValues"),MATCH("COMBINED-nHH",WTPCore_Group,0),MATCH("MEAN",LMH,0))</f>
        <v>98212.799999999988</v>
      </c>
      <c r="M230" s="117">
        <f ca="1">-L230*($E230-$G230)*100/NHHProps_SSW</f>
        <v>18.580799999999996</v>
      </c>
      <c r="N230" s="117">
        <f ca="1">INDEX(INDIRECT("SSW_WTPCore2_"&amp;$C230&amp;"_UnitValues"),2,MATCH("MEAN",LMH,0))</f>
        <v>373030.36411144206</v>
      </c>
      <c r="O230" s="849">
        <f ca="1">-N230*($E230-$G230)*100/(NHHProps_SSW)</f>
        <v>70.573312129191734</v>
      </c>
      <c r="P230" s="118">
        <f t="shared" ref="P230:P233" ca="1" si="105">(K230*N$235)/K$234</f>
        <v>30.122996712911039</v>
      </c>
      <c r="Q230" s="236" t="s">
        <v>424</v>
      </c>
      <c r="R230" s="375">
        <f ca="1">-(P230*NHHProps_SSW)/((E230-G230)*100)</f>
        <v>159221.55405395836</v>
      </c>
      <c r="S230" s="42">
        <f ca="1">INDEX(INDIRECT("CAM_WTPCore2_"&amp;$C230&amp;"_Levels"),2,MATCH(S$142,WTPCore2_AttLevels,0))</f>
        <v>0.11</v>
      </c>
      <c r="T230" s="42"/>
      <c r="U230" s="42">
        <f ca="1">INDEX(INDIRECT("CAM_WTPCore2_"&amp;$C230&amp;"_Levels"),2,MATCH(U$142,WTPCore2_AttLevels,0))</f>
        <v>0.18</v>
      </c>
      <c r="V230" s="570">
        <f ca="1">INDEX(INDIRECT("CAM_WTPCore2_"&amp;$C230&amp;"_LevelValues"),2,MATCH("S1 MEAN",WTPCore2_LevelValues,0))</f>
        <v>1.8975572628403961E-4</v>
      </c>
      <c r="W230" s="570">
        <f ca="1">INDEX(INDIRECT("CAM_WTPCore2_"&amp;$C230&amp;"_LevelValues"),2,MATCH("S2 MEAN",WTPCore2_LevelValues,0))</f>
        <v>2.794830386975671E-3</v>
      </c>
      <c r="X230" s="591">
        <f t="shared" ca="1" si="100"/>
        <v>2.9845861132597106E-3</v>
      </c>
      <c r="Y230" s="192">
        <f ca="1">INDEX(INDIRECT("CAM_WTPCore_"&amp;$C230&amp;"_MaxDiffUIndex"),MATCH("COMBINED-NHH",WTPCore_Group,0),MATCH("MEAN",LMH,0))</f>
        <v>5.782827975927745</v>
      </c>
      <c r="Z230" s="579">
        <f ca="1">INDEX(INDIRECT("CAM_WTPCore_"&amp;$C230&amp;"_UnitValues"),MATCH("COMBINED-NHH",WTPCore_Group,0),MATCH("MEAN",LMH,0))</f>
        <v>10502.564102564103</v>
      </c>
      <c r="AA230" s="117">
        <f ca="1">-Z230*($S230-$U230)*100/NHHProps_CAM</f>
        <v>7.3517948717948718</v>
      </c>
      <c r="AB230" s="117">
        <f ca="1">INDEX(INDIRECT("CAM_WTPCore2_"&amp;$C230&amp;"_UnitValues"),2,MATCH("MEAN",LMH,0))</f>
        <v>21830.115571271028</v>
      </c>
      <c r="AC230" s="849">
        <f ca="1">-AB230*($S230-$U230)*100/(NHHProps_CAM)</f>
        <v>15.281080899889718</v>
      </c>
      <c r="AD230" s="118">
        <f t="shared" ca="1" si="101"/>
        <v>84.627213900605938</v>
      </c>
      <c r="AE230" s="236" t="s">
        <v>424</v>
      </c>
      <c r="AF230" s="375">
        <f ca="1">-(AD230*NHHProps_CAM)/((S230-U230)*100)</f>
        <v>120896.0198580085</v>
      </c>
      <c r="AG230" s="846"/>
      <c r="AH230" s="846"/>
      <c r="AI230" s="846"/>
      <c r="AJ230" s="846"/>
    </row>
    <row r="231" spans="1:36" s="64" customFormat="1" x14ac:dyDescent="0.25">
      <c r="A231" s="258" t="s">
        <v>88</v>
      </c>
      <c r="B231" s="258"/>
      <c r="C231" s="9" t="s">
        <v>315</v>
      </c>
      <c r="D231" s="258"/>
      <c r="E231" s="43">
        <f ca="1">INDEX(INDIRECT("SSW_WTPCore2_"&amp;$C231&amp;"_Levels"),2,MATCH(E$142,WTPCore2_AttLevels,0))</f>
        <v>0</v>
      </c>
      <c r="F231" s="247"/>
      <c r="G231" s="43">
        <f ca="1">INDEX(INDIRECT("SSW_WTPCore2_"&amp;$C231&amp;"_Levels"),2,MATCH(G$142,WTPCore2_AttLevels,0))</f>
        <v>50</v>
      </c>
      <c r="H231" s="43">
        <f ca="1">INDEX(INDIRECT("SSW_WTPCore2_"&amp;$C231&amp;"_LevelValues"),2,MATCH("S1 MEAN",WTPCore2_LevelValues,0))</f>
        <v>3.6163448555426433E-4</v>
      </c>
      <c r="I231" s="589">
        <f ca="1">INDEX(INDIRECT("SSW_WTPCore2_"&amp;$C231&amp;"_LevelValues"),2,MATCH("S2 MEAN",WTPCore2_LevelValues,0))</f>
        <v>1.464595009466312E-3</v>
      </c>
      <c r="J231" s="591">
        <f t="shared" ca="1" si="98"/>
        <v>1.8262294950205764E-3</v>
      </c>
      <c r="K231" s="192">
        <f ca="1">INDEX(INDIRECT("SSW_WTPCore_DCE_"&amp;$C231&amp;"_MaxDiffUIndex"),MATCH("COMBINED-NHH",WTPCore_Group,0),MATCH("MEAN",LMH,0))</f>
        <v>5.6</v>
      </c>
      <c r="L231" s="579">
        <f ca="1">INDEX(INDIRECT("SSW_WTPCore_DCE_"&amp;$C231&amp;"_UnitValues"),MATCH("COMBINED-nHH",WTPCore_Group,0),MATCH("MEAN",LMH,0))</f>
        <v>8184.4</v>
      </c>
      <c r="M231" s="579">
        <f ca="1">-L231*(E231-G231)/NHHProps_SSW</f>
        <v>11.06</v>
      </c>
      <c r="N231" s="117">
        <f ca="1">INDEX(INDIRECT("SSW_WTPCore2_"&amp;$C231&amp;"_UnitValues"),2,MATCH("MEAN",LMH,0))</f>
        <v>5978.637071618562</v>
      </c>
      <c r="O231" s="848">
        <f ca="1">-N231*(E231-G231)/NHHProps_SSW</f>
        <v>8.0792392859710294</v>
      </c>
      <c r="P231" s="118">
        <f t="shared" ca="1" si="105"/>
        <v>21.08609769903773</v>
      </c>
      <c r="Q231" s="236" t="s">
        <v>397</v>
      </c>
      <c r="R231" s="375">
        <f ca="1">-(P231*NHHProps_SSW)/((E231-G231))</f>
        <v>15603.712297287921</v>
      </c>
      <c r="S231" s="43">
        <f ca="1">INDEX(INDIRECT("CAM_WTPCore2_"&amp;$C231&amp;"_Levels"),2,MATCH(S$142,WTPCore2_AttLevels,0))</f>
        <v>0</v>
      </c>
      <c r="T231" s="43"/>
      <c r="U231" s="43">
        <f ca="1">INDEX(INDIRECT("CAM_WTPCore2_"&amp;$C231&amp;"_Levels"),2,MATCH(U$142,WTPCore2_AttLevels,0))</f>
        <v>9</v>
      </c>
      <c r="V231" s="570">
        <f ca="1">INDEX(INDIRECT("CAM_WTPCore2_"&amp;$C231&amp;"_LevelValues"),2,MATCH("S1 MEAN",WTPCore2_LevelValues,0))</f>
        <v>1.500948855436721E-2</v>
      </c>
      <c r="W231" s="570">
        <f ca="1">INDEX(INDIRECT("CAM_WTPCore2_"&amp;$C231&amp;"_LevelValues"),2,MATCH("S2 MEAN",WTPCore2_LevelValues,0))</f>
        <v>5.3297158206472399E-3</v>
      </c>
      <c r="X231" s="591">
        <f t="shared" ca="1" si="100"/>
        <v>2.033920437501445E-2</v>
      </c>
      <c r="Y231" s="192">
        <f ca="1">INDEX(INDIRECT("CAM_WTPCore_"&amp;$C231&amp;"_MaxDiffUIndex"),MATCH("COMBINED-NHH",WTPCore_Group,0),MATCH("MEAN",LMH,0))</f>
        <v>5.1321618389615082</v>
      </c>
      <c r="Z231" s="579">
        <f ca="1">INDEX(INDIRECT("CAM_WTPCore_"&amp;$C231&amp;"_UnitValues"),MATCH("COMBINED-NHH",WTPCore_Group,0),MATCH("MEAN",LMH,0))</f>
        <v>5120</v>
      </c>
      <c r="AA231" s="579">
        <f ca="1">-Z231*(S231-U231)/NHHProps_CAM</f>
        <v>4.6079999999999997</v>
      </c>
      <c r="AB231" s="117">
        <f ca="1">INDEX(INDIRECT("CAM_WTPCore2_"&amp;$C231&amp;"_UnitValues"),2,MATCH("MEAN",LMH,0))</f>
        <v>115707.47377785998</v>
      </c>
      <c r="AC231" s="848">
        <f ca="1">-AB231*(S231-U231)/NHHProps_CAM</f>
        <v>104.13672640007398</v>
      </c>
      <c r="AD231" s="118">
        <f t="shared" ca="1" si="101"/>
        <v>75.105218333707072</v>
      </c>
      <c r="AE231" s="236" t="s">
        <v>397</v>
      </c>
      <c r="AF231" s="375">
        <f ca="1">-(AD231*NHHProps_CAM)/((S231-U231))</f>
        <v>83450.242593007861</v>
      </c>
      <c r="AG231" s="846"/>
      <c r="AH231" s="846"/>
      <c r="AI231" s="846"/>
      <c r="AJ231" s="846"/>
    </row>
    <row r="232" spans="1:36" s="64" customFormat="1" x14ac:dyDescent="0.25">
      <c r="A232" s="258" t="s">
        <v>89</v>
      </c>
      <c r="B232" s="258"/>
      <c r="C232" s="9" t="s">
        <v>320</v>
      </c>
      <c r="D232" s="258"/>
      <c r="E232" s="43">
        <f ca="1">INDEX(INDIRECT("SSW_WTPCore2_"&amp;$C232&amp;"_Levels"),2,MATCH(E$142,WTPCore2_AttLevels,0))</f>
        <v>0</v>
      </c>
      <c r="F232" s="247"/>
      <c r="G232" s="43">
        <f ca="1">INDEX(INDIRECT("SSW_WTPCore2_"&amp;$C232&amp;"_Levels"),2,MATCH(G$142,WTPCore2_AttLevels,0))</f>
        <v>200</v>
      </c>
      <c r="H232" s="43">
        <f ca="1">INDEX(INDIRECT("SSW_WTPCore2_"&amp;$C232&amp;"_LevelValues"),2,MATCH("S1 MEAN",WTPCore2_LevelValues,0))</f>
        <v>5.0168071093816241E-4</v>
      </c>
      <c r="I232" s="589">
        <f ca="1">INDEX(INDIRECT("SSW_WTPCore2_"&amp;$C232&amp;"_LevelValues"),2,MATCH("S2 MEAN",WTPCore2_LevelValues,0))</f>
        <v>7.1944373918171357E-3</v>
      </c>
      <c r="J232" s="591">
        <f t="shared" ca="1" si="98"/>
        <v>7.6961181027552983E-3</v>
      </c>
      <c r="K232" s="192">
        <f ca="1">INDEX(INDIRECT("SSW_WTPCore_DCE_"&amp;$C232&amp;"_MaxDiffUIndex"),MATCH("COMBINED-NHH",WTPCore_Group,0),MATCH("MEAN",LMH,0))</f>
        <v>6</v>
      </c>
      <c r="L232" s="579">
        <f ca="1">INDEX(INDIRECT("SSW_WTPCore_DCE_"&amp;$C232&amp;"_UnitValues"),MATCH("COMBINED-nHH",WTPCore_Group,0),MATCH("MEAN",LMH,0))</f>
        <v>6547.52</v>
      </c>
      <c r="M232" s="579">
        <f ca="1">-L232*(E232-G232)/NHHProps_SSW</f>
        <v>35.392000000000003</v>
      </c>
      <c r="N232" s="117">
        <f ca="1">INDEX(INDIRECT("SSW_WTPCore2_"&amp;$C232&amp;"_UnitValues"),2,MATCH("MEAN",LMH,0))</f>
        <v>6298.8109000190461</v>
      </c>
      <c r="O232" s="848">
        <f ca="1">-N232*(E232-G232)/NHHProps_SSW</f>
        <v>34.047626486589436</v>
      </c>
      <c r="P232" s="118">
        <f t="shared" ca="1" si="105"/>
        <v>22.592247534683281</v>
      </c>
      <c r="Q232" s="236" t="s">
        <v>397</v>
      </c>
      <c r="R232" s="375">
        <f ca="1">-(P232*NHHProps_SSW)/((E232-G232))</f>
        <v>4179.5657939164075</v>
      </c>
      <c r="S232" s="43">
        <f ca="1">INDEX(INDIRECT("CAM_WTPCore2_"&amp;$C232&amp;"_Levels"),2,MATCH(S$142,WTPCore2_AttLevels,0))</f>
        <v>0</v>
      </c>
      <c r="T232" s="43"/>
      <c r="U232" s="43">
        <f ca="1">INDEX(INDIRECT("CAM_WTPCore2_"&amp;$C232&amp;"_Levels"),2,MATCH(U$142,WTPCore2_AttLevels,0))</f>
        <v>100</v>
      </c>
      <c r="V232" s="570">
        <f ca="1">INDEX(INDIRECT("CAM_WTPCore2_"&amp;$C232&amp;"_LevelValues"),2,MATCH("S1 MEAN",WTPCore2_LevelValues,0))</f>
        <v>7.0247642217123304E-2</v>
      </c>
      <c r="W232" s="570">
        <f ca="1">INDEX(INDIRECT("CAM_WTPCore2_"&amp;$C232&amp;"_LevelValues"),2,MATCH("S2 MEAN",WTPCore2_LevelValues,0))</f>
        <v>1.8343670792314581E-5</v>
      </c>
      <c r="X232" s="591">
        <f t="shared" ca="1" si="100"/>
        <v>7.0265985887915619E-2</v>
      </c>
      <c r="Y232" s="192">
        <f ca="1">INDEX(INDIRECT("CAM_WTPCore_"&amp;$C232&amp;"_MaxDiffUIndex"),MATCH("COMBINED-NHH",WTPCore_Group,0),MATCH("MEAN",LMH,0))</f>
        <v>5.3250303055848107</v>
      </c>
      <c r="Z232" s="579">
        <f ca="1">INDEX(INDIRECT("CAM_WTPCore_"&amp;$C232&amp;"_UnitValues"),MATCH("COMBINED-NHH",WTPCore_Group,0),MATCH("MEAN",LMH,0))</f>
        <v>13312</v>
      </c>
      <c r="AA232" s="579">
        <f ca="1">-Z232*(S232-U232)/NHHProps_CAM</f>
        <v>133.12</v>
      </c>
      <c r="AB232" s="117">
        <f ca="1">INDEX(INDIRECT("CAM_WTPCore2_"&amp;$C232&amp;"_UnitValues"),2,MATCH("MEAN",LMH,0))</f>
        <v>35976.184774612797</v>
      </c>
      <c r="AC232" s="848">
        <f ca="1">-AB232*(S232-U232)/NHHProps_CAM</f>
        <v>359.76184774612796</v>
      </c>
      <c r="AD232" s="118">
        <f t="shared" ca="1" si="101"/>
        <v>77.927699141982117</v>
      </c>
      <c r="AE232" s="236" t="s">
        <v>397</v>
      </c>
      <c r="AF232" s="375">
        <f ca="1">-(AD232*NHHProps_CAM)/((S232-U232))</f>
        <v>7792.7699141982121</v>
      </c>
      <c r="AG232" s="846"/>
      <c r="AH232" s="846"/>
      <c r="AI232" s="846"/>
      <c r="AJ232" s="846"/>
    </row>
    <row r="233" spans="1:36" s="64" customFormat="1" ht="15.75" thickBot="1" x14ac:dyDescent="0.3">
      <c r="A233" s="258" t="s">
        <v>111</v>
      </c>
      <c r="B233" s="258"/>
      <c r="C233" s="7" t="s">
        <v>271</v>
      </c>
      <c r="D233" s="258"/>
      <c r="E233" s="43">
        <f ca="1">INDEX(INDIRECT("SSW_WTPCore_DCE_"&amp;$C233&amp;"_Levels"),MATCH("COMBINED-HH",WTPCore_Group,0),MATCH(E$142,WTPCore_AttLevels,0))</f>
        <v>608.33333333333337</v>
      </c>
      <c r="F233" s="247"/>
      <c r="G233" s="43">
        <f ca="1">INDEX(INDIRECT("SSW_WTPCore_DCE_"&amp;$C233&amp;"_Levels"),MATCH("COMBINED-HH",WTPCore_Group,0),MATCH(G$142,WTPCore_AttLevels,0))</f>
        <v>243.33333333333334</v>
      </c>
      <c r="H233" s="42">
        <f ca="1">INDEX(INDIRECT("SSW_WTPCore_DCE_"&amp;$C233&amp;"_LevelValues"),MATCH("COMBINED-NHH",WTPCore_Group,0),MATCH("S1 MEAN",WTPCore_LevelValues,0))</f>
        <v>1E-3</v>
      </c>
      <c r="I233" s="42">
        <f ca="1">INDEX(INDIRECT("SSW_WTPCore_DCE_"&amp;$C233&amp;"_LevelValues"),MATCH("COMBINED-NHH",WTPCore_Group,0),MATCH("S2 MEAN",WTPCore_LevelValues,0))</f>
        <v>1E-3</v>
      </c>
      <c r="J233" s="591">
        <f t="shared" ca="1" si="98"/>
        <v>2E-3</v>
      </c>
      <c r="K233" s="192">
        <f ca="1">INDEX(INDIRECT("SSW_WTPCore_DCE_"&amp;$C233&amp;"_MaxDiffUIndex"),MATCH("COMBINED-NHH",WTPCore_Group,0),MATCH("MEAN",LMH,0))</f>
        <v>4.9000000000000004</v>
      </c>
      <c r="L233" s="579">
        <f ca="1">INDEX(INDIRECT("SSW_WTPCore_DCE_"&amp;$C233&amp;"_UnitValues"),MATCH("COMBINED-nHH",WTPCore_Group,0),MATCH("MEAN",LMH,0))</f>
        <v>896.9205479452055</v>
      </c>
      <c r="M233" s="579">
        <f ca="1">L233*(E233-G233)/NHHProps_SSW</f>
        <v>8.8480000000000008</v>
      </c>
      <c r="N233" s="117">
        <f ca="1">L233</f>
        <v>896.9205479452055</v>
      </c>
      <c r="O233" s="848">
        <f ca="1">N233*(E233-G233)/NHHProps_SSW</f>
        <v>8.8480000000000008</v>
      </c>
      <c r="P233" s="118">
        <f t="shared" ca="1" si="105"/>
        <v>18.450335486658012</v>
      </c>
      <c r="Q233" s="236" t="s">
        <v>398</v>
      </c>
      <c r="R233" s="377">
        <f ca="1">(P233*NHHProps_SSW)/((E233-G233))</f>
        <v>1870.3079808393054</v>
      </c>
      <c r="S233" s="43">
        <f ca="1">INDEX(INDIRECT("CAM_WTPCore_"&amp;$C233&amp;"_Levels"),MATCH("COMBINED-NHH",WTPCore_Group,0),MATCH(S$142,WTPCore_AttLevels,0))</f>
        <v>365</v>
      </c>
      <c r="T233" s="247"/>
      <c r="U233" s="43">
        <f ca="1">INDEX(INDIRECT("CAM_WTPCore_"&amp;$C233&amp;"_Levels"),MATCH("COMBINED-NHH",WTPCore_Group,0),MATCH(U$142,WTPCore_AttLevels,0))</f>
        <v>121.66666666666667</v>
      </c>
      <c r="V233" s="42">
        <f ca="1">INDEX(INDIRECT("CAM_WTPCore_"&amp;$C233&amp;"_LevelValues"),MATCH("COMBINED-NHH",WTPCore_Group,0),MATCH("S1 MEAN",WTPCore_LevelValues,0))</f>
        <v>3.0000000000000001E-3</v>
      </c>
      <c r="W233" s="42">
        <f ca="1">INDEX(INDIRECT("CAM_WTPCore_"&amp;$C233&amp;"_LevelValues"),MATCH("COMBINED-NHH",WTPCore_Group,0),MATCH("S2 MEAN",WTPCore_LevelValues,0))</f>
        <v>5.0000000000000001E-3</v>
      </c>
      <c r="X233" s="591">
        <f t="shared" ca="1" si="100"/>
        <v>8.0000000000000002E-3</v>
      </c>
      <c r="Y233" s="192">
        <f ca="1">INDEX(INDIRECT("CAM_WTPCore_"&amp;$C233&amp;"_MaxDiffUIndex"),MATCH("COMBINED-NHH",WTPCore_Group,0),MATCH("MEAN",LMH,0))</f>
        <v>4.0074158364683221</v>
      </c>
      <c r="Z233" s="579">
        <f ca="1">INDEX(INDIRECT("CAM_WTPCore_"&amp;$C233&amp;"_UnitValues"),MATCH("COMBINED-NHH",WTPCore_Group,0),MATCH("MEAN",LMH,0))</f>
        <v>1683.2876712328768</v>
      </c>
      <c r="AA233" s="579">
        <f ca="1">Z233*(S233-U233)/NHHProps_CAM</f>
        <v>40.96</v>
      </c>
      <c r="AB233" s="117">
        <f ca="1">Z233</f>
        <v>1683.2876712328768</v>
      </c>
      <c r="AC233" s="848">
        <f ca="1">AB233*(S233-U233)/NHHProps_CAM</f>
        <v>40.96</v>
      </c>
      <c r="AD233" s="118">
        <f t="shared" ca="1" si="101"/>
        <v>58.645430677379316</v>
      </c>
      <c r="AE233" s="236" t="s">
        <v>398</v>
      </c>
      <c r="AF233" s="377">
        <f ca="1">(AD233*NHHProps_CAM)/((S233-U233))</f>
        <v>2410.0861922210679</v>
      </c>
      <c r="AG233" s="846"/>
      <c r="AH233" s="846"/>
      <c r="AI233" s="846"/>
      <c r="AJ233" s="846"/>
    </row>
    <row r="234" spans="1:36" x14ac:dyDescent="0.25">
      <c r="J234" s="592">
        <f ca="1">SUM(J217:J233)*AvgNHHBill_SSW</f>
        <v>428.66288308259232</v>
      </c>
      <c r="K234" s="126">
        <f ca="1">SUM(K217:K233)</f>
        <v>100.19999999999999</v>
      </c>
      <c r="L234" s="126"/>
      <c r="M234" s="251">
        <f ca="1">SUM(M217:M233)</f>
        <v>325.88279257582923</v>
      </c>
      <c r="N234" s="126"/>
      <c r="O234" s="251">
        <f ca="1">SUM(O217:O233)</f>
        <v>428.69827508259232</v>
      </c>
      <c r="P234" s="592">
        <f ca="1">SUM(P217:P233)</f>
        <v>377.2905338292108</v>
      </c>
      <c r="X234" s="850">
        <f ca="1">SUM(X217:X233)*AvgNHHBill_CAM</f>
        <v>2308.3778888011593</v>
      </c>
      <c r="Y234" s="126">
        <f ca="1">SUM(Y217:Y233)</f>
        <v>100.00000000000001</v>
      </c>
      <c r="Z234" s="126"/>
      <c r="AA234" s="251">
        <f ca="1">SUM(AA217:AA233)</f>
        <v>618.09401014810123</v>
      </c>
      <c r="AB234" s="126"/>
      <c r="AC234" s="850">
        <f ca="1">SUM(AC217:AC233)</f>
        <v>2308.751272225325</v>
      </c>
      <c r="AD234" s="592">
        <f ca="1">SUM(AD217:AD233)</f>
        <v>1463.422641186713</v>
      </c>
      <c r="AF234" s="10"/>
      <c r="AG234" s="10"/>
      <c r="AH234" s="10"/>
      <c r="AI234" s="10"/>
      <c r="AJ234" s="10"/>
    </row>
    <row r="235" spans="1:36" x14ac:dyDescent="0.25">
      <c r="A235" s="884" t="s">
        <v>1013</v>
      </c>
      <c r="J235" s="592"/>
      <c r="K235" s="126"/>
      <c r="L235" s="126"/>
      <c r="M235" s="126" t="s">
        <v>1005</v>
      </c>
      <c r="N235" s="251">
        <f ca="1">AVERAGE(M234,O234)</f>
        <v>377.29053382921074</v>
      </c>
      <c r="O235" s="35"/>
      <c r="P235" s="592"/>
      <c r="X235" s="592"/>
      <c r="Y235" s="126"/>
      <c r="Z235" s="126"/>
      <c r="AA235" s="126" t="s">
        <v>997</v>
      </c>
      <c r="AB235" s="592">
        <f ca="1">AVERAGE(AA234,AC234)</f>
        <v>1463.422641186713</v>
      </c>
      <c r="AC235" s="126"/>
      <c r="AD235" s="592"/>
      <c r="AF235" s="10"/>
      <c r="AG235" s="10"/>
      <c r="AH235" s="10"/>
      <c r="AI235" s="10"/>
      <c r="AJ235" s="10"/>
    </row>
    <row r="236" spans="1:36" x14ac:dyDescent="0.25">
      <c r="J236" s="592"/>
      <c r="K236" s="126"/>
      <c r="L236" s="126"/>
      <c r="M236" s="126"/>
      <c r="N236" s="251"/>
      <c r="O236" s="35"/>
      <c r="P236" s="592"/>
      <c r="X236" s="592"/>
      <c r="Y236" s="126"/>
      <c r="Z236" s="126"/>
      <c r="AA236" s="126"/>
      <c r="AB236" s="251"/>
      <c r="AC236" s="126"/>
      <c r="AD236" s="592"/>
      <c r="AF236" s="10"/>
      <c r="AG236" s="10"/>
      <c r="AH236" s="10"/>
      <c r="AI236" s="10"/>
      <c r="AJ236" s="10"/>
    </row>
    <row r="237" spans="1:36" x14ac:dyDescent="0.25">
      <c r="E237" s="590" t="s">
        <v>512</v>
      </c>
      <c r="J237" s="590" t="s">
        <v>503</v>
      </c>
      <c r="X237" s="590" t="s">
        <v>503</v>
      </c>
      <c r="AF237" s="10"/>
      <c r="AG237" s="10"/>
      <c r="AH237" s="10"/>
      <c r="AI237" s="10"/>
      <c r="AJ237" s="10"/>
    </row>
    <row r="238" spans="1:36" hidden="1" x14ac:dyDescent="0.25">
      <c r="AF238" s="10"/>
      <c r="AG238" s="10"/>
      <c r="AH238" s="10"/>
      <c r="AI238" s="10"/>
      <c r="AJ238" s="10"/>
    </row>
    <row r="239" spans="1:36" hidden="1" x14ac:dyDescent="0.25">
      <c r="AF239" s="10"/>
      <c r="AG239" s="10"/>
      <c r="AH239" s="10"/>
      <c r="AI239" s="10"/>
      <c r="AJ239" s="10"/>
    </row>
    <row r="240" spans="1:36" hidden="1" x14ac:dyDescent="0.25">
      <c r="AF240" s="10"/>
      <c r="AG240" s="10"/>
      <c r="AH240" s="10"/>
      <c r="AI240" s="10"/>
      <c r="AJ240" s="10"/>
    </row>
    <row r="241" spans="32:36" hidden="1" x14ac:dyDescent="0.25">
      <c r="AF241" s="10"/>
      <c r="AG241" s="10"/>
      <c r="AH241" s="10"/>
      <c r="AI241" s="10"/>
      <c r="AJ241" s="10"/>
    </row>
    <row r="242" spans="32:36" hidden="1" x14ac:dyDescent="0.25">
      <c r="AF242" s="10"/>
      <c r="AG242" s="10"/>
      <c r="AH242" s="10"/>
      <c r="AI242" s="10"/>
      <c r="AJ242" s="10"/>
    </row>
    <row r="243" spans="32:36" hidden="1" x14ac:dyDescent="0.25">
      <c r="AF243" s="10"/>
      <c r="AG243" s="10"/>
      <c r="AH243" s="10"/>
      <c r="AI243" s="10"/>
      <c r="AJ243" s="10"/>
    </row>
    <row r="244" spans="32:36" hidden="1" x14ac:dyDescent="0.25">
      <c r="AF244" s="10"/>
      <c r="AG244" s="10"/>
      <c r="AH244" s="10"/>
      <c r="AI244" s="10"/>
      <c r="AJ244" s="10"/>
    </row>
    <row r="245" spans="32:36" hidden="1" x14ac:dyDescent="0.25">
      <c r="AF245" s="10"/>
      <c r="AG245" s="10"/>
      <c r="AH245" s="10"/>
      <c r="AI245" s="10"/>
      <c r="AJ245" s="10"/>
    </row>
    <row r="246" spans="32:36" hidden="1" x14ac:dyDescent="0.25">
      <c r="AF246" s="10"/>
      <c r="AG246" s="10"/>
      <c r="AH246" s="10"/>
      <c r="AI246" s="10"/>
      <c r="AJ246" s="10"/>
    </row>
    <row r="247" spans="32:36" hidden="1" x14ac:dyDescent="0.25">
      <c r="AF247" s="10"/>
      <c r="AG247" s="10"/>
      <c r="AH247" s="10"/>
      <c r="AI247" s="10"/>
      <c r="AJ247" s="10"/>
    </row>
    <row r="248" spans="32:36" hidden="1" x14ac:dyDescent="0.25">
      <c r="AF248" s="10"/>
      <c r="AG248" s="10"/>
      <c r="AH248" s="10"/>
      <c r="AI248" s="10"/>
      <c r="AJ248" s="10"/>
    </row>
    <row r="249" spans="32:36" hidden="1" x14ac:dyDescent="0.25">
      <c r="AF249" s="10"/>
      <c r="AG249" s="10"/>
      <c r="AH249" s="10"/>
      <c r="AI249" s="10"/>
      <c r="AJ249" s="10"/>
    </row>
    <row r="250" spans="32:36" hidden="1" x14ac:dyDescent="0.25">
      <c r="AF250" s="10"/>
      <c r="AG250" s="10"/>
      <c r="AH250" s="10"/>
      <c r="AI250" s="10"/>
      <c r="AJ250" s="10"/>
    </row>
    <row r="251" spans="32:36" hidden="1" x14ac:dyDescent="0.25">
      <c r="AF251" s="10"/>
      <c r="AG251" s="10"/>
      <c r="AH251" s="10"/>
      <c r="AI251" s="10"/>
      <c r="AJ251" s="10"/>
    </row>
    <row r="252" spans="32:36" hidden="1" x14ac:dyDescent="0.25">
      <c r="AF252" s="10"/>
      <c r="AG252" s="10"/>
      <c r="AH252" s="10"/>
      <c r="AI252" s="10"/>
      <c r="AJ252" s="10"/>
    </row>
    <row r="253" spans="32:36" hidden="1" x14ac:dyDescent="0.25">
      <c r="AF253" s="10"/>
      <c r="AG253" s="10"/>
      <c r="AH253" s="10"/>
      <c r="AI253" s="10"/>
      <c r="AJ253" s="10"/>
    </row>
    <row r="254" spans="32:36" hidden="1" x14ac:dyDescent="0.25">
      <c r="AF254" s="10"/>
      <c r="AG254" s="10"/>
      <c r="AH254" s="10"/>
      <c r="AI254" s="10"/>
      <c r="AJ254" s="10"/>
    </row>
    <row r="255" spans="32:36" hidden="1" x14ac:dyDescent="0.25">
      <c r="AF255" s="10"/>
      <c r="AG255" s="10"/>
      <c r="AH255" s="10"/>
      <c r="AI255" s="10"/>
      <c r="AJ255" s="10"/>
    </row>
    <row r="256" spans="32:36" hidden="1" x14ac:dyDescent="0.25">
      <c r="AF256" s="10"/>
      <c r="AG256" s="10"/>
      <c r="AH256" s="10"/>
      <c r="AI256" s="10"/>
      <c r="AJ256" s="10"/>
    </row>
    <row r="257" spans="32:36" hidden="1" x14ac:dyDescent="0.25">
      <c r="AF257" s="10"/>
      <c r="AG257" s="10"/>
      <c r="AH257" s="10"/>
      <c r="AI257" s="10"/>
      <c r="AJ257" s="10"/>
    </row>
    <row r="258" spans="32:36" hidden="1" x14ac:dyDescent="0.25">
      <c r="AF258" s="10"/>
      <c r="AG258" s="10"/>
      <c r="AH258" s="10"/>
      <c r="AI258" s="10"/>
      <c r="AJ258" s="10"/>
    </row>
    <row r="259" spans="32:36" hidden="1" x14ac:dyDescent="0.25">
      <c r="AF259" s="10"/>
      <c r="AG259" s="10"/>
      <c r="AH259" s="10"/>
      <c r="AI259" s="10"/>
      <c r="AJ259" s="10"/>
    </row>
    <row r="260" spans="32:36" hidden="1" x14ac:dyDescent="0.25">
      <c r="AF260" s="10"/>
      <c r="AG260" s="10"/>
      <c r="AH260" s="10"/>
      <c r="AI260" s="10"/>
      <c r="AJ260" s="10"/>
    </row>
    <row r="261" spans="32:36" hidden="1" x14ac:dyDescent="0.25">
      <c r="AF261" s="10"/>
      <c r="AG261" s="10"/>
      <c r="AH261" s="10"/>
      <c r="AI261" s="10"/>
      <c r="AJ261" s="10"/>
    </row>
    <row r="262" spans="32:36" hidden="1" x14ac:dyDescent="0.25">
      <c r="AF262" s="10"/>
      <c r="AG262" s="10"/>
      <c r="AH262" s="10"/>
      <c r="AI262" s="10"/>
      <c r="AJ262" s="10"/>
    </row>
    <row r="263" spans="32:36" hidden="1" x14ac:dyDescent="0.25">
      <c r="AF263" s="10"/>
      <c r="AG263" s="10"/>
      <c r="AH263" s="10"/>
      <c r="AI263" s="10"/>
      <c r="AJ263" s="10"/>
    </row>
    <row r="264" spans="32:36" hidden="1" x14ac:dyDescent="0.25">
      <c r="AF264" s="10"/>
      <c r="AG264" s="10"/>
      <c r="AH264" s="10"/>
      <c r="AI264" s="10"/>
      <c r="AJ264" s="10"/>
    </row>
    <row r="265" spans="32:36" hidden="1" x14ac:dyDescent="0.25">
      <c r="AF265" s="10"/>
      <c r="AG265" s="10"/>
      <c r="AH265" s="10"/>
      <c r="AI265" s="10"/>
      <c r="AJ265" s="10"/>
    </row>
    <row r="266" spans="32:36" hidden="1" x14ac:dyDescent="0.25">
      <c r="AF266" s="10"/>
      <c r="AG266" s="10"/>
      <c r="AH266" s="10"/>
      <c r="AI266" s="10"/>
      <c r="AJ266" s="10"/>
    </row>
    <row r="267" spans="32:36" hidden="1" x14ac:dyDescent="0.25">
      <c r="AF267" s="10"/>
      <c r="AG267" s="10"/>
      <c r="AH267" s="10"/>
      <c r="AI267" s="10"/>
      <c r="AJ267" s="10"/>
    </row>
    <row r="268" spans="32:36" hidden="1" x14ac:dyDescent="0.25">
      <c r="AF268" s="10"/>
      <c r="AG268" s="10"/>
      <c r="AH268" s="10"/>
      <c r="AI268" s="10"/>
      <c r="AJ268" s="10"/>
    </row>
    <row r="269" spans="32:36" hidden="1" x14ac:dyDescent="0.25">
      <c r="AF269" s="10"/>
      <c r="AG269" s="10"/>
      <c r="AH269" s="10"/>
      <c r="AI269" s="10"/>
      <c r="AJ269" s="10"/>
    </row>
    <row r="270" spans="32:36" hidden="1" x14ac:dyDescent="0.25"/>
    <row r="271" spans="32:36" hidden="1" x14ac:dyDescent="0.25"/>
    <row r="272" spans="32:36" hidden="1" x14ac:dyDescent="0.25"/>
  </sheetData>
  <mergeCells count="12">
    <mergeCell ref="J131:J132"/>
    <mergeCell ref="K131:K132"/>
    <mergeCell ref="Y131:Y132"/>
    <mergeCell ref="AD131:AD132"/>
    <mergeCell ref="K215:K216"/>
    <mergeCell ref="P215:P216"/>
    <mergeCell ref="Y215:Y216"/>
    <mergeCell ref="AD215:AD216"/>
    <mergeCell ref="K141:K142"/>
    <mergeCell ref="P141:P142"/>
    <mergeCell ref="Y141:Y142"/>
    <mergeCell ref="AD141:AD14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G62"/>
  <sheetViews>
    <sheetView zoomScale="70" zoomScaleNormal="70" workbookViewId="0">
      <pane xSplit="3" ySplit="2" topLeftCell="R21" activePane="bottomRight" state="frozen"/>
      <selection pane="topRight"/>
      <selection pane="bottomLeft"/>
      <selection pane="bottomRight" activeCell="A50" sqref="A50:XFD50"/>
    </sheetView>
  </sheetViews>
  <sheetFormatPr defaultColWidth="0" defaultRowHeight="15" zeroHeight="1" x14ac:dyDescent="0.25"/>
  <cols>
    <col min="1" max="1" width="64.28515625" style="176" customWidth="1"/>
    <col min="2" max="2" width="34.140625" style="176" customWidth="1"/>
    <col min="3" max="3" width="19.28515625" style="176" customWidth="1"/>
    <col min="4" max="11" width="17" style="176" customWidth="1"/>
    <col min="12" max="12" width="18.28515625" style="176" customWidth="1"/>
    <col min="13" max="13" width="17" style="176" customWidth="1"/>
    <col min="14" max="14" width="19.7109375" style="176" customWidth="1"/>
    <col min="15" max="15" width="19" style="176" customWidth="1"/>
    <col min="16" max="31" width="17" style="176" customWidth="1"/>
    <col min="32" max="32" width="18.42578125" style="175" customWidth="1"/>
    <col min="33" max="33" width="18.42578125" style="175" hidden="1" customWidth="1"/>
    <col min="34" max="34" width="9.140625" style="175" hidden="1" customWidth="1"/>
    <col min="35" max="16384" width="9.140625" style="175" hidden="1"/>
  </cols>
  <sheetData>
    <row r="1" spans="1:33" ht="28.5" x14ac:dyDescent="0.45">
      <c r="A1" s="102" t="s">
        <v>119</v>
      </c>
      <c r="B1" s="103"/>
      <c r="C1" s="103"/>
      <c r="D1" s="103"/>
      <c r="E1" s="103"/>
      <c r="F1" s="103"/>
      <c r="G1" s="103"/>
      <c r="H1" s="102"/>
      <c r="I1" s="102"/>
      <c r="J1" s="102"/>
      <c r="K1" s="102"/>
      <c r="L1" s="102"/>
      <c r="M1" s="102"/>
      <c r="N1" s="102"/>
      <c r="O1" s="102"/>
      <c r="P1" s="102"/>
      <c r="Q1" s="102"/>
      <c r="R1" s="103"/>
      <c r="S1" s="103"/>
      <c r="T1" s="103"/>
      <c r="U1" s="103"/>
      <c r="V1" s="102"/>
      <c r="W1" s="102"/>
      <c r="X1" s="102"/>
      <c r="Y1" s="102"/>
      <c r="Z1" s="102"/>
      <c r="AA1" s="102"/>
      <c r="AB1" s="102"/>
      <c r="AC1" s="102"/>
      <c r="AD1" s="102"/>
      <c r="AE1" s="102"/>
      <c r="AF1" s="295"/>
      <c r="AG1" s="295"/>
    </row>
    <row r="2" spans="1:33" ht="20.25" customHeight="1" x14ac:dyDescent="0.35">
      <c r="A2" s="184"/>
      <c r="B2" s="184"/>
      <c r="C2" s="184"/>
      <c r="D2" s="166" t="s">
        <v>150</v>
      </c>
      <c r="E2" s="185"/>
      <c r="F2" s="185"/>
      <c r="G2" s="186"/>
      <c r="H2" s="185"/>
      <c r="I2" s="185"/>
      <c r="J2" s="185"/>
      <c r="K2" s="185"/>
      <c r="L2" s="185"/>
      <c r="M2" s="185"/>
      <c r="N2" s="185"/>
      <c r="O2" s="185"/>
      <c r="P2" s="185"/>
      <c r="Q2" s="185"/>
      <c r="R2" s="173" t="s">
        <v>151</v>
      </c>
      <c r="S2" s="187"/>
      <c r="T2" s="187"/>
      <c r="U2" s="187"/>
      <c r="V2" s="187"/>
      <c r="W2" s="187"/>
      <c r="X2" s="187"/>
      <c r="Y2" s="187"/>
      <c r="Z2" s="187"/>
      <c r="AA2" s="187"/>
      <c r="AB2" s="187"/>
      <c r="AC2" s="187"/>
      <c r="AD2" s="187"/>
      <c r="AE2" s="187"/>
    </row>
    <row r="3" spans="1:33" s="64" customFormat="1" ht="19.5" x14ac:dyDescent="0.3">
      <c r="A3" s="112" t="s">
        <v>392</v>
      </c>
      <c r="B3" s="60"/>
      <c r="C3" s="60"/>
      <c r="D3" s="108" t="s">
        <v>359</v>
      </c>
      <c r="E3" s="60"/>
      <c r="F3" s="60"/>
      <c r="G3" s="108" t="s">
        <v>354</v>
      </c>
      <c r="H3" s="60"/>
      <c r="I3" s="60"/>
      <c r="J3" s="60"/>
      <c r="K3" s="60"/>
      <c r="L3" s="60"/>
      <c r="M3" s="60"/>
      <c r="N3" s="60"/>
      <c r="O3" s="60"/>
      <c r="P3" s="60"/>
      <c r="Q3" s="60"/>
      <c r="R3" s="108" t="s">
        <v>353</v>
      </c>
      <c r="S3" s="60"/>
      <c r="T3" s="60"/>
      <c r="U3" s="60"/>
      <c r="V3" s="60"/>
      <c r="W3" s="60"/>
      <c r="X3" s="109"/>
      <c r="Y3" s="109"/>
      <c r="Z3" s="109"/>
      <c r="AA3" s="109"/>
      <c r="AB3" s="109"/>
      <c r="AC3" s="109"/>
      <c r="AD3" s="109"/>
      <c r="AE3" s="109"/>
    </row>
    <row r="4" spans="1:33" s="418" customFormat="1" ht="30" x14ac:dyDescent="0.25">
      <c r="A4" s="1018" t="s">
        <v>360</v>
      </c>
      <c r="B4" s="1018"/>
      <c r="C4" s="1018"/>
      <c r="D4" s="131" t="s">
        <v>355</v>
      </c>
      <c r="E4" s="131" t="s">
        <v>356</v>
      </c>
      <c r="F4" s="131" t="s">
        <v>357</v>
      </c>
      <c r="G4" s="131" t="s">
        <v>358</v>
      </c>
      <c r="H4" s="131" t="s">
        <v>162</v>
      </c>
      <c r="I4" s="131" t="s">
        <v>231</v>
      </c>
      <c r="J4" s="106"/>
      <c r="K4" s="106"/>
      <c r="L4" s="106"/>
      <c r="M4" s="106"/>
      <c r="N4" s="106"/>
      <c r="O4" s="106"/>
      <c r="P4" s="106"/>
      <c r="Q4" s="106"/>
      <c r="R4" s="131" t="s">
        <v>355</v>
      </c>
      <c r="S4" s="131" t="s">
        <v>356</v>
      </c>
      <c r="T4" s="131" t="s">
        <v>357</v>
      </c>
      <c r="U4" s="131" t="s">
        <v>358</v>
      </c>
      <c r="V4" s="127" t="s">
        <v>162</v>
      </c>
      <c r="W4" s="131" t="s">
        <v>231</v>
      </c>
      <c r="X4" s="188"/>
      <c r="Y4" s="188"/>
      <c r="Z4" s="188"/>
      <c r="AA4" s="188"/>
      <c r="AB4" s="188"/>
      <c r="AC4" s="188"/>
      <c r="AD4" s="188"/>
      <c r="AE4" s="188"/>
    </row>
    <row r="5" spans="1:33" x14ac:dyDescent="0.25">
      <c r="A5" s="104" t="s">
        <v>41</v>
      </c>
      <c r="B5" s="189"/>
      <c r="C5" s="189"/>
      <c r="D5" s="32">
        <v>103.9</v>
      </c>
      <c r="E5" s="32">
        <v>23.28</v>
      </c>
      <c r="F5" s="32">
        <v>24.8</v>
      </c>
      <c r="G5" s="107"/>
      <c r="H5" s="190">
        <f>EXP(G5)</f>
        <v>1</v>
      </c>
      <c r="I5" s="191">
        <f t="shared" ref="I5:I27" si="0">H5/$H$28</f>
        <v>0.25697704656034887</v>
      </c>
      <c r="R5" s="132">
        <v>67.64</v>
      </c>
      <c r="S5" s="132">
        <v>7.4429999999999996</v>
      </c>
      <c r="T5" s="132">
        <v>10.92</v>
      </c>
      <c r="U5" s="107"/>
      <c r="V5" s="98">
        <f>EXP(U5)</f>
        <v>1</v>
      </c>
      <c r="W5" s="99">
        <f t="shared" ref="W5:W27" si="1">V5/$V$28</f>
        <v>0.23607109066518836</v>
      </c>
    </row>
    <row r="6" spans="1:33" x14ac:dyDescent="0.25">
      <c r="A6" s="104" t="s">
        <v>42</v>
      </c>
      <c r="B6" s="189"/>
      <c r="C6" s="189"/>
      <c r="D6" s="32">
        <v>18.82</v>
      </c>
      <c r="E6" s="32">
        <v>25.86</v>
      </c>
      <c r="F6" s="32">
        <v>5.3250000000000002</v>
      </c>
      <c r="G6" s="107">
        <v>-1.4438070000000001</v>
      </c>
      <c r="H6" s="190">
        <f t="shared" ref="H6:H27" si="2">EXP(G6)</f>
        <v>0.23602748945461205</v>
      </c>
      <c r="I6" s="191">
        <f t="shared" si="0"/>
        <v>6.0653647147100094E-2</v>
      </c>
      <c r="R6" s="132">
        <v>7.2309999999999999</v>
      </c>
      <c r="S6" s="132">
        <v>14.93</v>
      </c>
      <c r="T6" s="132">
        <v>10.84</v>
      </c>
      <c r="U6" s="107">
        <v>-1.091375</v>
      </c>
      <c r="V6" s="98">
        <f t="shared" ref="V6:V27" si="3">EXP(U6)</f>
        <v>0.33575451371191894</v>
      </c>
      <c r="W6" s="99">
        <f t="shared" si="1"/>
        <v>7.9261934247732646E-2</v>
      </c>
    </row>
    <row r="7" spans="1:33" x14ac:dyDescent="0.25">
      <c r="A7" s="104" t="s">
        <v>43</v>
      </c>
      <c r="B7" s="189"/>
      <c r="C7" s="189"/>
      <c r="D7" s="32">
        <v>29.11</v>
      </c>
      <c r="E7" s="32">
        <v>21.91</v>
      </c>
      <c r="F7" s="32">
        <v>26.98</v>
      </c>
      <c r="G7" s="107">
        <v>-1.4568410000000001</v>
      </c>
      <c r="H7" s="190">
        <f t="shared" si="2"/>
        <v>0.23297106911830695</v>
      </c>
      <c r="I7" s="191">
        <f t="shared" si="0"/>
        <v>5.9868217276029423E-2</v>
      </c>
      <c r="R7" s="132">
        <v>13.94</v>
      </c>
      <c r="S7" s="132">
        <v>21.16</v>
      </c>
      <c r="T7" s="132">
        <v>12.9</v>
      </c>
      <c r="U7" s="107">
        <v>-1.0968960000000001</v>
      </c>
      <c r="V7" s="98">
        <f t="shared" si="3"/>
        <v>0.33390592077815467</v>
      </c>
      <c r="W7" s="99">
        <f t="shared" si="1"/>
        <v>7.8825534897662961E-2</v>
      </c>
    </row>
    <row r="8" spans="1:33" x14ac:dyDescent="0.25">
      <c r="A8" s="104" t="s">
        <v>44</v>
      </c>
      <c r="B8" s="189"/>
      <c r="C8" s="189"/>
      <c r="D8" s="32">
        <v>2</v>
      </c>
      <c r="E8" s="32">
        <v>8.3759999999999994</v>
      </c>
      <c r="F8" s="32">
        <v>19.62</v>
      </c>
      <c r="G8" s="107">
        <v>-2.1015299999999999</v>
      </c>
      <c r="H8" s="190">
        <f t="shared" si="2"/>
        <v>0.12226921317381141</v>
      </c>
      <c r="I8" s="191">
        <f t="shared" si="0"/>
        <v>3.1420381286663759E-2</v>
      </c>
      <c r="R8" s="132">
        <v>7.3849999999999998</v>
      </c>
      <c r="S8" s="132">
        <v>5.7519999999999998</v>
      </c>
      <c r="T8" s="132">
        <v>3.8620000000000001</v>
      </c>
      <c r="U8" s="107">
        <v>-2.0752670000000002</v>
      </c>
      <c r="V8" s="98">
        <f t="shared" si="3"/>
        <v>0.1255229084020543</v>
      </c>
      <c r="W8" s="99">
        <f t="shared" si="1"/>
        <v>2.9632329889939496E-2</v>
      </c>
    </row>
    <row r="9" spans="1:33" x14ac:dyDescent="0.25">
      <c r="A9" s="104" t="s">
        <v>45</v>
      </c>
      <c r="B9" s="189"/>
      <c r="C9" s="189"/>
      <c r="D9" s="32">
        <v>3.1890000000000001</v>
      </c>
      <c r="E9" s="32">
        <v>7.899</v>
      </c>
      <c r="F9" s="32">
        <v>10.91</v>
      </c>
      <c r="G9" s="107">
        <v>-2.7523420000000001</v>
      </c>
      <c r="H9" s="190">
        <f t="shared" si="2"/>
        <v>6.3778317339982946E-2</v>
      </c>
      <c r="I9" s="191">
        <f t="shared" si="0"/>
        <v>1.6389563624617503E-2</v>
      </c>
      <c r="R9" s="132">
        <v>3.4079999999999999</v>
      </c>
      <c r="S9" s="132">
        <v>3.4079999999999999</v>
      </c>
      <c r="T9" s="132">
        <v>10.18</v>
      </c>
      <c r="U9" s="107">
        <v>-2.387502</v>
      </c>
      <c r="V9" s="98">
        <f t="shared" si="3"/>
        <v>9.1858860950823296E-2</v>
      </c>
      <c r="W9" s="99">
        <f t="shared" si="1"/>
        <v>2.1685221491922736E-2</v>
      </c>
    </row>
    <row r="10" spans="1:33" x14ac:dyDescent="0.25">
      <c r="A10" s="104" t="s">
        <v>46</v>
      </c>
      <c r="B10" s="189"/>
      <c r="C10" s="189"/>
      <c r="D10" s="32">
        <v>3.6139999999999999</v>
      </c>
      <c r="E10" s="32">
        <v>6.7910000000000004</v>
      </c>
      <c r="F10" s="32">
        <v>7.5949999999999998</v>
      </c>
      <c r="G10" s="107">
        <v>-2.8890989999999999</v>
      </c>
      <c r="H10" s="190">
        <f t="shared" si="2"/>
        <v>5.5626309344235077E-2</v>
      </c>
      <c r="I10" s="191">
        <f t="shared" si="0"/>
        <v>1.4294684686333867E-2</v>
      </c>
      <c r="R10" s="132">
        <v>0</v>
      </c>
      <c r="S10" s="132">
        <v>3.2810000000000001</v>
      </c>
      <c r="T10" s="132">
        <v>0.71899999999999997</v>
      </c>
      <c r="U10" s="107">
        <v>-3.541093</v>
      </c>
      <c r="V10" s="98">
        <f t="shared" si="3"/>
        <v>2.8981632839754998E-2</v>
      </c>
      <c r="W10" s="99">
        <f t="shared" si="1"/>
        <v>6.8417256737390028E-3</v>
      </c>
    </row>
    <row r="11" spans="1:33" x14ac:dyDescent="0.25">
      <c r="A11" s="104" t="s">
        <v>47</v>
      </c>
      <c r="B11" s="189"/>
      <c r="C11" s="189"/>
      <c r="D11" s="32">
        <v>11.48</v>
      </c>
      <c r="E11" s="32">
        <v>10.24</v>
      </c>
      <c r="F11" s="32">
        <v>15.28</v>
      </c>
      <c r="G11" s="107">
        <v>-1.5325580000000001</v>
      </c>
      <c r="H11" s="190">
        <f t="shared" si="2"/>
        <v>0.21598247691118427</v>
      </c>
      <c r="I11" s="191">
        <f t="shared" si="0"/>
        <v>5.5502539025424881E-2</v>
      </c>
      <c r="R11" s="132">
        <v>5.6639999999999997</v>
      </c>
      <c r="S11" s="132">
        <v>14.87</v>
      </c>
      <c r="T11" s="132">
        <v>9.4670000000000005</v>
      </c>
      <c r="U11" s="107">
        <v>-1.160172</v>
      </c>
      <c r="V11" s="98">
        <f t="shared" si="3"/>
        <v>0.31343226589631523</v>
      </c>
      <c r="W11" s="99">
        <f t="shared" si="1"/>
        <v>7.3992296859804463E-2</v>
      </c>
    </row>
    <row r="12" spans="1:33" x14ac:dyDescent="0.25">
      <c r="A12" s="104" t="s">
        <v>48</v>
      </c>
      <c r="B12" s="189"/>
      <c r="C12" s="189"/>
      <c r="D12" s="32">
        <v>3.9039999999999999</v>
      </c>
      <c r="E12" s="32">
        <v>0.193</v>
      </c>
      <c r="F12" s="32">
        <v>1.903</v>
      </c>
      <c r="G12" s="107">
        <v>-3.4524430000000002</v>
      </c>
      <c r="H12" s="190">
        <f t="shared" si="2"/>
        <v>3.1668176444230513E-2</v>
      </c>
      <c r="I12" s="191">
        <f t="shared" si="0"/>
        <v>8.1379944525903688E-3</v>
      </c>
      <c r="R12" s="132">
        <v>1.0169999999999999</v>
      </c>
      <c r="S12" s="132">
        <v>2.9830000000000001</v>
      </c>
      <c r="T12" s="132">
        <v>4</v>
      </c>
      <c r="U12" s="107">
        <v>-2.8033060000000001</v>
      </c>
      <c r="V12" s="98">
        <f t="shared" si="3"/>
        <v>6.0609356508194129E-2</v>
      </c>
      <c r="W12" s="99">
        <f t="shared" si="1"/>
        <v>1.4308116895404621E-2</v>
      </c>
    </row>
    <row r="13" spans="1:33" x14ac:dyDescent="0.25">
      <c r="A13" s="104" t="s">
        <v>49</v>
      </c>
      <c r="B13" s="189"/>
      <c r="C13" s="189"/>
      <c r="D13" s="32">
        <v>6.4859999999999998</v>
      </c>
      <c r="E13" s="32">
        <v>19.46</v>
      </c>
      <c r="F13" s="32">
        <v>17.05</v>
      </c>
      <c r="G13" s="107">
        <v>-1.4574199999999999</v>
      </c>
      <c r="H13" s="190">
        <f t="shared" si="2"/>
        <v>0.23283621791247888</v>
      </c>
      <c r="I13" s="191">
        <f t="shared" si="0"/>
        <v>5.9833563611430621E-2</v>
      </c>
      <c r="R13" s="132">
        <v>4.476</v>
      </c>
      <c r="S13" s="132">
        <v>8.9570000000000007</v>
      </c>
      <c r="T13" s="132">
        <v>12.57</v>
      </c>
      <c r="U13" s="107">
        <v>-1.4410400000000001</v>
      </c>
      <c r="V13" s="98">
        <f t="shared" si="3"/>
        <v>0.23668148189921717</v>
      </c>
      <c r="W13" s="99">
        <f t="shared" si="1"/>
        <v>5.5873655572201239E-2</v>
      </c>
    </row>
    <row r="14" spans="1:33" x14ac:dyDescent="0.25">
      <c r="A14" s="104" t="s">
        <v>50</v>
      </c>
      <c r="B14" s="189"/>
      <c r="C14" s="189"/>
      <c r="D14" s="32">
        <v>7.1769999999999996</v>
      </c>
      <c r="E14" s="32">
        <v>7.9619999999999997</v>
      </c>
      <c r="F14" s="32">
        <v>13.86</v>
      </c>
      <c r="G14" s="107">
        <v>-2.0814400000000002</v>
      </c>
      <c r="H14" s="190">
        <f t="shared" si="2"/>
        <v>0.12475044215850956</v>
      </c>
      <c r="I14" s="191">
        <f t="shared" si="0"/>
        <v>3.2058000182991417E-2</v>
      </c>
      <c r="R14" s="132">
        <v>2.96</v>
      </c>
      <c r="S14" s="132">
        <v>11.46</v>
      </c>
      <c r="T14" s="132">
        <v>0.57899999999999996</v>
      </c>
      <c r="U14" s="107">
        <v>-2.2888030000000001</v>
      </c>
      <c r="V14" s="98">
        <f t="shared" si="3"/>
        <v>0.10138775038542668</v>
      </c>
      <c r="W14" s="99">
        <f t="shared" si="1"/>
        <v>2.3934716813577547E-2</v>
      </c>
    </row>
    <row r="15" spans="1:33" x14ac:dyDescent="0.25">
      <c r="A15" s="104" t="s">
        <v>51</v>
      </c>
      <c r="B15" s="189"/>
      <c r="C15" s="189"/>
      <c r="D15" s="32">
        <v>10.66</v>
      </c>
      <c r="E15" s="32">
        <v>21.9</v>
      </c>
      <c r="F15" s="32">
        <v>14.44</v>
      </c>
      <c r="G15" s="107">
        <v>-1.7082930000000001</v>
      </c>
      <c r="H15" s="190">
        <f t="shared" si="2"/>
        <v>0.18117479418292393</v>
      </c>
      <c r="I15" s="191">
        <f t="shared" si="0"/>
        <v>4.6557763520306869E-2</v>
      </c>
      <c r="R15" s="132">
        <v>2.4430000000000001</v>
      </c>
      <c r="S15" s="132">
        <v>9.1210000000000004</v>
      </c>
      <c r="T15" s="132">
        <v>10.44</v>
      </c>
      <c r="U15" s="107">
        <v>-1.9122410000000001</v>
      </c>
      <c r="V15" s="98">
        <f t="shared" si="3"/>
        <v>0.14774891000734416</v>
      </c>
      <c r="W15" s="99">
        <f t="shared" si="1"/>
        <v>3.4879246330026502E-2</v>
      </c>
    </row>
    <row r="16" spans="1:33" x14ac:dyDescent="0.25">
      <c r="A16" s="104" t="s">
        <v>52</v>
      </c>
      <c r="B16" s="189"/>
      <c r="C16" s="189"/>
      <c r="D16" s="32">
        <v>9.984</v>
      </c>
      <c r="E16" s="32">
        <v>10.050000000000001</v>
      </c>
      <c r="F16" s="32">
        <v>7.968</v>
      </c>
      <c r="G16" s="107">
        <v>-2.2586560000000002</v>
      </c>
      <c r="H16" s="190">
        <f t="shared" si="2"/>
        <v>0.10449082609453042</v>
      </c>
      <c r="I16" s="191">
        <f t="shared" si="0"/>
        <v>2.6851743882423462E-2</v>
      </c>
      <c r="R16" s="132">
        <v>4.5170000000000003</v>
      </c>
      <c r="S16" s="132">
        <v>5.0750000000000002</v>
      </c>
      <c r="T16" s="132">
        <v>15.41</v>
      </c>
      <c r="U16" s="107">
        <v>-1.5832329999999999</v>
      </c>
      <c r="V16" s="98">
        <f t="shared" si="3"/>
        <v>0.20531025600889038</v>
      </c>
      <c r="W16" s="99">
        <f t="shared" si="1"/>
        <v>4.8467816060767797E-2</v>
      </c>
    </row>
    <row r="17" spans="1:31" x14ac:dyDescent="0.25">
      <c r="A17" s="104" t="s">
        <v>53</v>
      </c>
      <c r="B17" s="189"/>
      <c r="C17" s="189"/>
      <c r="D17" s="32">
        <v>8.1509999999999998</v>
      </c>
      <c r="E17" s="32">
        <v>3.601</v>
      </c>
      <c r="F17" s="32">
        <v>15.25</v>
      </c>
      <c r="G17" s="107">
        <v>-2.2748210000000002</v>
      </c>
      <c r="H17" s="190">
        <f t="shared" si="2"/>
        <v>0.10281531072885242</v>
      </c>
      <c r="I17" s="191">
        <f t="shared" si="0"/>
        <v>2.6421174892285043E-2</v>
      </c>
      <c r="R17" s="132">
        <v>0.26</v>
      </c>
      <c r="S17" s="132">
        <v>6.4779999999999998</v>
      </c>
      <c r="T17" s="132">
        <v>9.2620000000000005</v>
      </c>
      <c r="U17" s="107">
        <v>-2.1409530000000001</v>
      </c>
      <c r="V17" s="98">
        <f t="shared" si="3"/>
        <v>0.11754277136700497</v>
      </c>
      <c r="W17" s="99">
        <f t="shared" si="1"/>
        <v>2.7748450236417737E-2</v>
      </c>
    </row>
    <row r="18" spans="1:31" x14ac:dyDescent="0.25">
      <c r="A18" s="104" t="s">
        <v>54</v>
      </c>
      <c r="B18" s="189"/>
      <c r="C18" s="189"/>
      <c r="D18" s="32">
        <v>6.5410000000000004</v>
      </c>
      <c r="E18" s="32">
        <v>19.96</v>
      </c>
      <c r="F18" s="32">
        <v>14.5</v>
      </c>
      <c r="G18" s="107">
        <v>-1.890819</v>
      </c>
      <c r="H18" s="190">
        <f t="shared" si="2"/>
        <v>0.15094813167764351</v>
      </c>
      <c r="I18" s="191">
        <f t="shared" si="0"/>
        <v>3.8790205062323467E-2</v>
      </c>
      <c r="R18" s="132">
        <v>5.4550000000000001</v>
      </c>
      <c r="S18" s="132">
        <v>6.6909999999999998</v>
      </c>
      <c r="T18" s="132">
        <v>14.85</v>
      </c>
      <c r="U18" s="107">
        <v>-1.5060579999999999</v>
      </c>
      <c r="V18" s="98">
        <f t="shared" si="3"/>
        <v>0.22178252375034782</v>
      </c>
      <c r="W18" s="99">
        <f t="shared" si="1"/>
        <v>5.2356442272222657E-2</v>
      </c>
    </row>
    <row r="19" spans="1:31" x14ac:dyDescent="0.25">
      <c r="A19" s="104" t="s">
        <v>55</v>
      </c>
      <c r="B19" s="189"/>
      <c r="C19" s="189"/>
      <c r="D19" s="32">
        <v>6.6829999999999998</v>
      </c>
      <c r="E19" s="32">
        <v>8.6959999999999997</v>
      </c>
      <c r="F19" s="32">
        <v>16.62</v>
      </c>
      <c r="G19" s="107">
        <v>-2.1820119999999998</v>
      </c>
      <c r="H19" s="190">
        <f t="shared" si="2"/>
        <v>0.1128143197316241</v>
      </c>
      <c r="I19" s="191">
        <f t="shared" si="0"/>
        <v>2.8990690694347652E-2</v>
      </c>
      <c r="R19" s="132">
        <v>6.6180000000000003</v>
      </c>
      <c r="S19" s="132">
        <v>3.3969999999999998</v>
      </c>
      <c r="T19" s="132">
        <v>0.98399999999999999</v>
      </c>
      <c r="U19" s="107">
        <v>-2.9074260000000001</v>
      </c>
      <c r="V19" s="98">
        <f t="shared" si="3"/>
        <v>5.4616131016631222E-2</v>
      </c>
      <c r="W19" s="99">
        <f t="shared" si="1"/>
        <v>1.2893289617008957E-2</v>
      </c>
    </row>
    <row r="20" spans="1:31" x14ac:dyDescent="0.25">
      <c r="A20" s="104" t="s">
        <v>56</v>
      </c>
      <c r="B20" s="189"/>
      <c r="C20" s="189"/>
      <c r="D20" s="32">
        <v>7.7450000000000001</v>
      </c>
      <c r="E20" s="32">
        <v>6.3710000000000004</v>
      </c>
      <c r="F20" s="32">
        <v>7.8840000000000003</v>
      </c>
      <c r="G20" s="107">
        <v>-2.7456140000000002</v>
      </c>
      <c r="H20" s="190">
        <f t="shared" si="2"/>
        <v>6.4208864595921109E-2</v>
      </c>
      <c r="I20" s="191">
        <f t="shared" si="0"/>
        <v>1.6500204386853155E-2</v>
      </c>
      <c r="R20" s="132">
        <v>3.9289999999999998</v>
      </c>
      <c r="S20" s="132">
        <v>4.843</v>
      </c>
      <c r="T20" s="132">
        <v>8.2279999999999998</v>
      </c>
      <c r="U20" s="107">
        <v>-2.5259819999999999</v>
      </c>
      <c r="V20" s="98">
        <f t="shared" si="3"/>
        <v>7.9979734112007872E-2</v>
      </c>
      <c r="W20" s="99">
        <f t="shared" si="1"/>
        <v>1.8880903062933468E-2</v>
      </c>
    </row>
    <row r="21" spans="1:31" x14ac:dyDescent="0.25">
      <c r="A21" s="104" t="s">
        <v>57</v>
      </c>
      <c r="B21" s="189"/>
      <c r="C21" s="189"/>
      <c r="D21" s="32">
        <v>14.14</v>
      </c>
      <c r="E21" s="32">
        <v>24.95</v>
      </c>
      <c r="F21" s="32">
        <v>5.9109999999999996</v>
      </c>
      <c r="G21" s="107">
        <v>-1.493519</v>
      </c>
      <c r="H21" s="190">
        <f t="shared" si="2"/>
        <v>0.22458096296466515</v>
      </c>
      <c r="I21" s="191">
        <f t="shared" si="0"/>
        <v>5.7712152576338743E-2</v>
      </c>
      <c r="R21" s="132">
        <v>5.9870000000000001</v>
      </c>
      <c r="S21" s="132">
        <v>2.387</v>
      </c>
      <c r="T21" s="132">
        <v>9.6259999999999994</v>
      </c>
      <c r="U21" s="107">
        <v>-1.833089</v>
      </c>
      <c r="V21" s="98">
        <f t="shared" si="3"/>
        <v>0.15991881480368747</v>
      </c>
      <c r="W21" s="99">
        <f t="shared" si="1"/>
        <v>3.775220902859077E-2</v>
      </c>
    </row>
    <row r="22" spans="1:31" x14ac:dyDescent="0.25">
      <c r="A22" s="104" t="s">
        <v>58</v>
      </c>
      <c r="B22" s="189"/>
      <c r="C22" s="189"/>
      <c r="D22" s="32">
        <v>30.05</v>
      </c>
      <c r="E22" s="32">
        <v>10.66</v>
      </c>
      <c r="F22" s="32">
        <v>6.2949999999999999</v>
      </c>
      <c r="G22" s="107">
        <v>-1.933111</v>
      </c>
      <c r="H22" s="190">
        <f t="shared" si="2"/>
        <v>0.14469734410575202</v>
      </c>
      <c r="I22" s="191">
        <f t="shared" si="0"/>
        <v>3.7183896133422663E-2</v>
      </c>
      <c r="R22" s="132">
        <v>4.5659999999999998</v>
      </c>
      <c r="S22" s="132">
        <v>6.1920000000000002</v>
      </c>
      <c r="T22" s="132">
        <v>3.242</v>
      </c>
      <c r="U22" s="107">
        <v>-2.3078479999999999</v>
      </c>
      <c r="V22" s="98">
        <f t="shared" si="3"/>
        <v>9.9475091782555522E-2</v>
      </c>
      <c r="W22" s="99">
        <f t="shared" si="1"/>
        <v>2.34831934111276E-2</v>
      </c>
    </row>
    <row r="23" spans="1:31" x14ac:dyDescent="0.25">
      <c r="A23" s="104" t="s">
        <v>59</v>
      </c>
      <c r="B23" s="189"/>
      <c r="C23" s="189"/>
      <c r="D23" s="32">
        <v>4.4039999999999999</v>
      </c>
      <c r="E23" s="32">
        <v>6.7709999999999999</v>
      </c>
      <c r="F23" s="32">
        <v>10.83</v>
      </c>
      <c r="G23" s="107">
        <v>-2.5523280000000002</v>
      </c>
      <c r="H23" s="190">
        <f t="shared" si="2"/>
        <v>7.7900103303681828E-2</v>
      </c>
      <c r="I23" s="191">
        <f t="shared" si="0"/>
        <v>2.0018538473726234E-2</v>
      </c>
      <c r="R23" s="132">
        <v>2.5230000000000001</v>
      </c>
      <c r="S23" s="132">
        <v>2.7709999999999999</v>
      </c>
      <c r="T23" s="132">
        <v>2.7069999999999999</v>
      </c>
      <c r="U23" s="107">
        <v>-2.5824210000000001</v>
      </c>
      <c r="V23" s="98">
        <f t="shared" si="3"/>
        <v>7.5590777044857796E-2</v>
      </c>
      <c r="W23" s="99">
        <f t="shared" si="1"/>
        <v>1.7844797181208665E-2</v>
      </c>
    </row>
    <row r="24" spans="1:31" x14ac:dyDescent="0.25">
      <c r="A24" s="104" t="s">
        <v>60</v>
      </c>
      <c r="B24" s="189"/>
      <c r="C24" s="189"/>
      <c r="D24" s="32">
        <v>2.0270000000000001</v>
      </c>
      <c r="E24" s="32">
        <v>5.7229999999999999</v>
      </c>
      <c r="F24" s="32">
        <v>4.2489999999999997</v>
      </c>
      <c r="G24" s="107">
        <v>-3.2310629999999998</v>
      </c>
      <c r="H24" s="190">
        <f t="shared" si="2"/>
        <v>3.9515471508643311E-2</v>
      </c>
      <c r="I24" s="191">
        <f t="shared" si="0"/>
        <v>1.0154569161730772E-2</v>
      </c>
      <c r="R24" s="132">
        <v>0</v>
      </c>
      <c r="S24" s="132">
        <v>1.113</v>
      </c>
      <c r="T24" s="132">
        <v>2.887</v>
      </c>
      <c r="U24" s="107">
        <v>-3.5204879999999998</v>
      </c>
      <c r="V24" s="98">
        <f t="shared" si="3"/>
        <v>2.9584994167420775E-2</v>
      </c>
      <c r="W24" s="99">
        <f t="shared" si="1"/>
        <v>6.984161840426259E-3</v>
      </c>
    </row>
    <row r="25" spans="1:31" x14ac:dyDescent="0.25">
      <c r="A25" s="104" t="s">
        <v>61</v>
      </c>
      <c r="B25" s="189"/>
      <c r="C25" s="189"/>
      <c r="D25" s="32">
        <v>0</v>
      </c>
      <c r="E25" s="32">
        <v>3.6360000000000001</v>
      </c>
      <c r="F25" s="32">
        <v>5.3639999999999999</v>
      </c>
      <c r="G25" s="107">
        <v>-3.4293480000000001</v>
      </c>
      <c r="H25" s="190">
        <f t="shared" si="2"/>
        <v>3.2408063943696358E-2</v>
      </c>
      <c r="I25" s="191">
        <f t="shared" si="0"/>
        <v>8.3281285569900224E-3</v>
      </c>
      <c r="R25" s="132">
        <v>0</v>
      </c>
      <c r="S25" s="132">
        <v>1</v>
      </c>
      <c r="T25" s="132">
        <v>0</v>
      </c>
      <c r="U25" s="107">
        <v>-4.7046780000000004</v>
      </c>
      <c r="V25" s="98">
        <f t="shared" si="3"/>
        <v>9.0528287594969642E-3</v>
      </c>
      <c r="W25" s="99">
        <f t="shared" si="1"/>
        <v>2.1371111588596326E-3</v>
      </c>
    </row>
    <row r="26" spans="1:31" x14ac:dyDescent="0.25">
      <c r="A26" s="104" t="s">
        <v>62</v>
      </c>
      <c r="B26" s="189"/>
      <c r="C26" s="189"/>
      <c r="D26" s="32">
        <v>2.093</v>
      </c>
      <c r="E26" s="32">
        <v>10.95</v>
      </c>
      <c r="F26" s="32">
        <v>10.95</v>
      </c>
      <c r="G26" s="107">
        <v>-2.3605860000000001</v>
      </c>
      <c r="H26" s="190">
        <f t="shared" si="2"/>
        <v>9.4364909154106544E-2</v>
      </c>
      <c r="I26" s="191">
        <f t="shared" si="0"/>
        <v>2.4249615653357929E-2</v>
      </c>
      <c r="R26" s="132">
        <v>1.6870000000000001</v>
      </c>
      <c r="S26" s="132">
        <v>8.343</v>
      </c>
      <c r="T26" s="132">
        <v>4.97</v>
      </c>
      <c r="U26" s="107">
        <v>-2.3536199999999998</v>
      </c>
      <c r="V26" s="98">
        <f t="shared" si="3"/>
        <v>9.502454997281666E-2</v>
      </c>
      <c r="W26" s="99">
        <f t="shared" si="1"/>
        <v>2.2432549152051524E-2</v>
      </c>
    </row>
    <row r="27" spans="1:31" x14ac:dyDescent="0.25">
      <c r="A27" s="104" t="s">
        <v>63</v>
      </c>
      <c r="B27" s="189"/>
      <c r="C27" s="189"/>
      <c r="D27" s="32">
        <v>7.7869999999999999</v>
      </c>
      <c r="E27" s="32">
        <v>18.170000000000002</v>
      </c>
      <c r="F27" s="32">
        <v>27.04</v>
      </c>
      <c r="G27" s="107">
        <v>-1.4041760000000001</v>
      </c>
      <c r="H27" s="190">
        <f t="shared" si="2"/>
        <v>0.24556932222949901</v>
      </c>
      <c r="I27" s="191">
        <f t="shared" si="0"/>
        <v>6.3105679152363287E-2</v>
      </c>
      <c r="R27" s="132">
        <v>15.54</v>
      </c>
      <c r="S27" s="132">
        <v>9.9209999999999994</v>
      </c>
      <c r="T27" s="132">
        <v>4.5359999999999996</v>
      </c>
      <c r="U27" s="107">
        <v>-1.163951</v>
      </c>
      <c r="V27" s="98">
        <f t="shared" si="3"/>
        <v>0.31225004058514916</v>
      </c>
      <c r="W27" s="99">
        <f t="shared" si="1"/>
        <v>7.3713207641185496E-2</v>
      </c>
    </row>
    <row r="28" spans="1:31" x14ac:dyDescent="0.25">
      <c r="A28" s="177"/>
      <c r="B28" s="177"/>
      <c r="C28" s="177"/>
      <c r="D28" s="177"/>
      <c r="E28" s="177"/>
      <c r="F28" s="177"/>
      <c r="G28" s="182"/>
      <c r="H28" s="101">
        <f>SUM(H5:H27)</f>
        <v>3.891398136078891</v>
      </c>
      <c r="I28" s="123">
        <f>SUM(I5:I27)</f>
        <v>1.0000000000000002</v>
      </c>
      <c r="J28" s="182"/>
      <c r="K28" s="182"/>
      <c r="L28" s="182"/>
      <c r="M28" s="182"/>
      <c r="N28" s="182"/>
      <c r="O28" s="182"/>
      <c r="P28" s="182"/>
      <c r="Q28" s="182"/>
      <c r="R28" s="177"/>
      <c r="S28" s="177"/>
      <c r="T28" s="177"/>
      <c r="U28" s="177"/>
      <c r="V28" s="101">
        <f>SUM(V5:V27)</f>
        <v>4.2360121147500696</v>
      </c>
      <c r="W28" s="100">
        <f>SUM(W5:W27)</f>
        <v>1</v>
      </c>
      <c r="X28" s="182"/>
      <c r="Y28" s="182"/>
      <c r="Z28" s="182"/>
      <c r="AA28" s="182"/>
      <c r="AB28" s="182"/>
      <c r="AC28" s="182"/>
      <c r="AD28" s="182"/>
      <c r="AE28" s="182"/>
    </row>
    <row r="29" spans="1:31" x14ac:dyDescent="0.25">
      <c r="A29" s="133" t="s">
        <v>366</v>
      </c>
    </row>
    <row r="30" spans="1:31" x14ac:dyDescent="0.25"/>
    <row r="31" spans="1:31" x14ac:dyDescent="0.25"/>
    <row r="32" spans="1:31" s="64" customFormat="1" ht="19.5" x14ac:dyDescent="0.3">
      <c r="A32" s="112"/>
      <c r="B32" s="63"/>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row>
    <row r="33" spans="1:31" s="64" customFormat="1" ht="19.5" x14ac:dyDescent="0.3">
      <c r="A33" s="112" t="s">
        <v>361</v>
      </c>
      <c r="B33" s="63"/>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row>
    <row r="34" spans="1:31" ht="15.75" thickBot="1" x14ac:dyDescent="0.3">
      <c r="A34" s="60"/>
      <c r="B34" s="60"/>
      <c r="C34" s="60"/>
      <c r="D34" s="129" t="s">
        <v>365</v>
      </c>
      <c r="E34" s="129"/>
      <c r="F34" s="177"/>
      <c r="G34" s="177"/>
      <c r="H34" s="177"/>
      <c r="I34" s="177"/>
      <c r="J34" s="177"/>
      <c r="K34" s="177"/>
      <c r="L34" s="177"/>
      <c r="M34" s="177"/>
      <c r="N34" s="177"/>
      <c r="O34" s="177"/>
      <c r="P34" s="177"/>
      <c r="Q34" s="177"/>
      <c r="R34" s="129" t="s">
        <v>365</v>
      </c>
      <c r="S34" s="129"/>
      <c r="T34" s="177"/>
      <c r="U34" s="177"/>
      <c r="V34" s="177"/>
      <c r="W34" s="177"/>
      <c r="X34" s="177"/>
      <c r="Y34" s="177"/>
      <c r="Z34" s="177"/>
      <c r="AA34" s="177"/>
      <c r="AB34" s="177"/>
      <c r="AC34" s="177"/>
      <c r="AD34" s="177"/>
      <c r="AE34" s="177"/>
    </row>
    <row r="35" spans="1:31" x14ac:dyDescent="0.25">
      <c r="A35" s="66" t="s">
        <v>382</v>
      </c>
      <c r="B35" s="63" t="s">
        <v>251</v>
      </c>
      <c r="C35" s="60"/>
      <c r="D35" s="263" t="s">
        <v>364</v>
      </c>
      <c r="E35" s="415" t="s">
        <v>363</v>
      </c>
      <c r="F35" s="6"/>
      <c r="G35" s="6"/>
      <c r="H35" s="6"/>
      <c r="I35" s="177"/>
      <c r="J35" s="177"/>
      <c r="K35" s="177"/>
      <c r="L35" s="177"/>
      <c r="M35" s="177"/>
      <c r="N35" s="177"/>
      <c r="O35" s="6"/>
      <c r="P35" s="6"/>
      <c r="Q35" s="6"/>
      <c r="R35" s="263" t="s">
        <v>364</v>
      </c>
      <c r="S35" s="415" t="s">
        <v>363</v>
      </c>
      <c r="T35" s="177"/>
      <c r="U35" s="177"/>
      <c r="V35" s="177"/>
      <c r="W35" s="177"/>
      <c r="X35" s="177"/>
      <c r="Y35" s="177"/>
      <c r="Z35" s="177"/>
      <c r="AA35" s="177"/>
      <c r="AB35" s="177"/>
      <c r="AC35" s="6"/>
      <c r="AD35" s="6"/>
      <c r="AE35" s="177"/>
    </row>
    <row r="36" spans="1:31" x14ac:dyDescent="0.25">
      <c r="A36" s="9" t="str">
        <f>A11</f>
        <v>Reducing the amount of water that leaks from our pipes</v>
      </c>
      <c r="B36" s="9" t="s">
        <v>71</v>
      </c>
      <c r="D36" s="42">
        <f>VLOOKUP($A36,$A$5:$AG$27,COLUMN($I$4),0)</f>
        <v>5.5502539025424881E-2</v>
      </c>
      <c r="E36" s="378">
        <f>D36*100/D$39</f>
        <v>53.393443116236142</v>
      </c>
      <c r="F36" s="48"/>
      <c r="G36" s="48"/>
      <c r="H36" s="48"/>
      <c r="O36" s="27"/>
      <c r="P36" s="48"/>
      <c r="Q36" s="48"/>
      <c r="R36" s="41">
        <f>VLOOKUP($A36,$A$5:$AG$27,COLUMN($W$4),0)</f>
        <v>7.3992296859804463E-2</v>
      </c>
      <c r="S36" s="416">
        <f>R36*100/R$39</f>
        <v>61.860140609818643</v>
      </c>
      <c r="AC36" s="48"/>
      <c r="AD36" s="48"/>
      <c r="AE36" s="175"/>
    </row>
    <row r="37" spans="1:31" x14ac:dyDescent="0.25">
      <c r="A37" s="9" t="str">
        <f>A14</f>
        <v>Investing in new technology and ways of working that help customers better control their water usage: such as smart meters &amp; apps</v>
      </c>
      <c r="B37" s="9" t="s">
        <v>74</v>
      </c>
      <c r="D37" s="42">
        <f>VLOOKUP($A37,$A$5:$AG$27,COLUMN($I$4),0)</f>
        <v>3.2058000182991417E-2</v>
      </c>
      <c r="E37" s="378">
        <f>D37*100/D$39</f>
        <v>30.839796507448821</v>
      </c>
      <c r="F37" s="48"/>
      <c r="G37" s="48"/>
      <c r="H37" s="48"/>
      <c r="O37" s="27"/>
      <c r="P37" s="48"/>
      <c r="Q37" s="48"/>
      <c r="R37" s="41">
        <f>VLOOKUP($A37,$A$5:$AG$27,COLUMN($W$4),0)</f>
        <v>2.3934716813577547E-2</v>
      </c>
      <c r="S37" s="416">
        <f>R37*100/R$39</f>
        <v>20.010257964412787</v>
      </c>
      <c r="AC37" s="48"/>
      <c r="AD37" s="48"/>
      <c r="AE37" s="175"/>
    </row>
    <row r="38" spans="1:31" x14ac:dyDescent="0.25">
      <c r="A38" s="9" t="str">
        <f>A9</f>
        <v>Educating customers on how to use water more responsibly (and save money)</v>
      </c>
      <c r="B38" s="9" t="s">
        <v>230</v>
      </c>
      <c r="D38" s="42">
        <f>VLOOKUP($A38,$A$5:$AG$27,COLUMN($I$4),0)</f>
        <v>1.6389563624617503E-2</v>
      </c>
      <c r="E38" s="378">
        <f>D38*100/D$39</f>
        <v>15.76676037631503</v>
      </c>
      <c r="F38" s="48"/>
      <c r="G38" s="48"/>
      <c r="H38" s="48"/>
      <c r="O38" s="27"/>
      <c r="P38" s="48"/>
      <c r="Q38" s="48"/>
      <c r="R38" s="41">
        <f>VLOOKUP($A38,$A$5:$AG$27,COLUMN($W$4),0)</f>
        <v>2.1685221491922736E-2</v>
      </c>
      <c r="S38" s="416">
        <f>R38*100/R$39</f>
        <v>18.129601425768563</v>
      </c>
      <c r="AC38" s="48"/>
      <c r="AD38" s="48"/>
      <c r="AE38" s="175"/>
    </row>
    <row r="39" spans="1:31" ht="15.75" thickBot="1" x14ac:dyDescent="0.3">
      <c r="A39" s="9"/>
      <c r="D39" s="125">
        <f>SUM(D36:D38)</f>
        <v>0.10395010283303381</v>
      </c>
      <c r="E39" s="380">
        <f>SUM(E36:E38)</f>
        <v>100</v>
      </c>
      <c r="F39" s="49"/>
      <c r="G39" s="49"/>
      <c r="H39" s="49"/>
      <c r="O39" s="28"/>
      <c r="P39" s="49"/>
      <c r="Q39" s="49"/>
      <c r="R39" s="105">
        <f>SUM(R36:R38)</f>
        <v>0.11961223516530475</v>
      </c>
      <c r="S39" s="417">
        <f>SUM(S36:S38)</f>
        <v>100</v>
      </c>
      <c r="AC39" s="49"/>
      <c r="AD39" s="49"/>
      <c r="AE39" s="175"/>
    </row>
    <row r="40" spans="1:31" s="64" customFormat="1" x14ac:dyDescent="0.25">
      <c r="A40" s="60"/>
      <c r="B40" s="60"/>
      <c r="C40" s="60"/>
      <c r="D40" s="110"/>
      <c r="E40" s="110"/>
      <c r="F40" s="110"/>
      <c r="G40" s="110"/>
      <c r="H40" s="110"/>
      <c r="I40" s="110"/>
      <c r="J40" s="111"/>
      <c r="K40" s="111"/>
      <c r="L40" s="111"/>
      <c r="M40" s="111"/>
      <c r="N40" s="111"/>
      <c r="O40" s="110"/>
      <c r="P40" s="110"/>
      <c r="Q40" s="110"/>
      <c r="R40" s="111"/>
      <c r="S40" s="110"/>
      <c r="T40" s="110"/>
      <c r="U40" s="110"/>
      <c r="V40" s="110"/>
      <c r="W40" s="110"/>
      <c r="X40" s="110"/>
      <c r="Y40" s="110"/>
      <c r="Z40" s="110"/>
      <c r="AA40" s="110"/>
      <c r="AB40" s="110"/>
      <c r="AC40" s="110"/>
      <c r="AD40" s="110"/>
      <c r="AE40" s="110"/>
    </row>
    <row r="41" spans="1:31" s="64" customFormat="1" ht="19.5" x14ac:dyDescent="0.3">
      <c r="A41" s="112" t="s">
        <v>362</v>
      </c>
      <c r="B41" s="60"/>
      <c r="C41" s="60"/>
      <c r="D41" s="242"/>
      <c r="E41" s="241"/>
      <c r="F41" s="241"/>
      <c r="G41" s="241"/>
      <c r="H41" s="241"/>
      <c r="I41" s="241"/>
      <c r="J41" s="243"/>
      <c r="K41" s="243"/>
      <c r="L41" s="243"/>
      <c r="M41" s="243"/>
      <c r="N41" s="243"/>
      <c r="O41" s="110"/>
      <c r="P41" s="110"/>
      <c r="Q41" s="110"/>
      <c r="R41" s="111"/>
      <c r="S41" s="110"/>
      <c r="T41" s="110"/>
      <c r="U41" s="110"/>
      <c r="V41" s="110"/>
      <c r="W41" s="110"/>
      <c r="X41" s="110"/>
      <c r="Y41" s="110"/>
      <c r="Z41" s="110"/>
      <c r="AA41" s="110"/>
      <c r="AB41" s="110"/>
      <c r="AC41" s="110"/>
      <c r="AD41" s="110"/>
      <c r="AE41" s="110"/>
    </row>
    <row r="42" spans="1:31" s="64" customFormat="1" ht="15.75" thickBot="1" x14ac:dyDescent="0.3">
      <c r="A42" s="60"/>
      <c r="B42" s="63"/>
      <c r="C42" s="245"/>
      <c r="D42" s="129" t="s">
        <v>988</v>
      </c>
      <c r="E42" s="193"/>
      <c r="F42" s="193"/>
      <c r="G42" s="129" t="s">
        <v>987</v>
      </c>
      <c r="H42" s="129"/>
      <c r="I42" s="130"/>
      <c r="J42" s="1014" t="s">
        <v>393</v>
      </c>
      <c r="K42" s="806"/>
      <c r="L42" s="806"/>
      <c r="M42" s="806"/>
      <c r="N42" s="806"/>
      <c r="O42" s="1013" t="s">
        <v>333</v>
      </c>
      <c r="P42" s="60"/>
      <c r="Q42" s="60"/>
      <c r="R42" s="129" t="s">
        <v>988</v>
      </c>
      <c r="S42" s="193"/>
      <c r="T42" s="193"/>
      <c r="U42" s="129" t="s">
        <v>987</v>
      </c>
      <c r="V42" s="129"/>
      <c r="W42" s="130"/>
      <c r="X42" s="1014" t="s">
        <v>393</v>
      </c>
      <c r="Y42" s="811"/>
      <c r="Z42" s="811"/>
      <c r="AA42" s="811"/>
      <c r="AB42" s="811"/>
      <c r="AC42" s="1013" t="s">
        <v>333</v>
      </c>
      <c r="AD42" s="60"/>
      <c r="AE42" s="60"/>
    </row>
    <row r="43" spans="1:31" s="349" customFormat="1" ht="45" x14ac:dyDescent="0.25">
      <c r="A43" s="66" t="s">
        <v>382</v>
      </c>
      <c r="B43" s="66" t="s">
        <v>425</v>
      </c>
      <c r="C43" s="246" t="s">
        <v>264</v>
      </c>
      <c r="D43" s="116" t="s">
        <v>259</v>
      </c>
      <c r="E43" s="116" t="s">
        <v>260</v>
      </c>
      <c r="F43" s="116" t="s">
        <v>261</v>
      </c>
      <c r="G43" s="116" t="s">
        <v>313</v>
      </c>
      <c r="H43" s="116" t="s">
        <v>312</v>
      </c>
      <c r="I43" s="116" t="s">
        <v>311</v>
      </c>
      <c r="J43" s="1014"/>
      <c r="K43" s="806" t="s">
        <v>989</v>
      </c>
      <c r="L43" s="806" t="s">
        <v>990</v>
      </c>
      <c r="M43" s="806" t="s">
        <v>991</v>
      </c>
      <c r="N43" s="808" t="s">
        <v>992</v>
      </c>
      <c r="O43" s="1013"/>
      <c r="P43" s="116" t="s">
        <v>368</v>
      </c>
      <c r="Q43" s="372" t="s">
        <v>367</v>
      </c>
      <c r="R43" s="116" t="s">
        <v>259</v>
      </c>
      <c r="S43" s="116" t="s">
        <v>260</v>
      </c>
      <c r="T43" s="116" t="s">
        <v>261</v>
      </c>
      <c r="U43" s="116" t="s">
        <v>313</v>
      </c>
      <c r="V43" s="116" t="s">
        <v>312</v>
      </c>
      <c r="W43" s="116" t="s">
        <v>311</v>
      </c>
      <c r="X43" s="1014"/>
      <c r="Y43" s="811" t="s">
        <v>989</v>
      </c>
      <c r="Z43" s="811" t="s">
        <v>990</v>
      </c>
      <c r="AA43" s="811" t="s">
        <v>991</v>
      </c>
      <c r="AB43" s="808" t="s">
        <v>992</v>
      </c>
      <c r="AC43" s="1013"/>
      <c r="AD43" s="116" t="s">
        <v>368</v>
      </c>
      <c r="AE43" s="372" t="s">
        <v>367</v>
      </c>
    </row>
    <row r="44" spans="1:31" x14ac:dyDescent="0.25">
      <c r="A44" s="9" t="str">
        <f>A5</f>
        <v>Providing a high quality water supply that is always safe to drink</v>
      </c>
      <c r="B44" s="64" t="s">
        <v>370</v>
      </c>
      <c r="C44" s="9" t="s">
        <v>399</v>
      </c>
      <c r="D44" s="570">
        <f t="shared" ref="D44:D51" ca="1" si="4">INDEX(INDIRECT("SSW_WTPCore2_"&amp;$C44&amp;"_Levels"),1,MATCH(D$43,WTPCore2_AttLevels,0))</f>
        <v>1.2500000000000001E-2</v>
      </c>
      <c r="E44" s="570"/>
      <c r="F44" s="570">
        <f t="shared" ref="F44:F53" ca="1" si="5">INDEX(INDIRECT("SSW_WTPCore2_"&amp;$C44&amp;"_Levels"),1,MATCH(F$43,WTPCore2_AttLevels,0))</f>
        <v>8.3333333333333332E-3</v>
      </c>
      <c r="G44" s="117">
        <f t="shared" ref="G44:G51" ca="1" si="6">INDEX(INDIRECT("SSW_WTPCore2_"&amp;$C44&amp;"_LevelValues"),1,MATCH("S1 MEAN",WTPCore2_LevelValues,0))</f>
        <v>0.88929876177631462</v>
      </c>
      <c r="H44" s="117">
        <f t="shared" ref="H44:H51" ca="1" si="7">INDEX(INDIRECT("SSW_WTPCore2_"&amp;$C44&amp;"_LevelValues"),1,MATCH("S2 MEAN",WTPCore2_LevelValues,0))</f>
        <v>0.22437782965097952</v>
      </c>
      <c r="I44" s="117">
        <f ca="1">SUM(G44:H44)</f>
        <v>1.1136765914272941</v>
      </c>
      <c r="J44" s="42">
        <f t="shared" ref="J44:J53" si="8">VLOOKUP($A44,$A$5:$AG$27,COLUMN($I$4),0)</f>
        <v>0.25697704656034887</v>
      </c>
      <c r="K44" s="579">
        <f t="shared" ref="K44:K53" ca="1" si="9">INDEX(INDIRECT("SSW_WTPCore_DCE_"&amp;$C44&amp;"_UnitValues"),MATCH("COMBINED-HH",WTPCore_Group,0),MATCH("MEAN",LMH,0))</f>
        <v>751.24482173174863</v>
      </c>
      <c r="L44" s="579">
        <f ca="1">K44*($D44-$F44)*(AllProps_SSW/HHProps_SSW)</f>
        <v>3.3400000000000003</v>
      </c>
      <c r="M44" s="117">
        <f t="shared" ref="M44:M51" ca="1" si="10">INDEX(INDIRECT("SSW_WTPCore2_"&amp;$C44&amp;"_UnitValues"),1,MATCH("MEAN",LMH,0))</f>
        <v>250.4921474232392</v>
      </c>
      <c r="N44" s="579">
        <f ca="1">M44*($D44-$F44)*(AllProps_SSW/HHProps_SSW)</f>
        <v>1.1136765914272941</v>
      </c>
      <c r="O44" s="118">
        <f ca="1">(J44*M$56)/J$54</f>
        <v>7.8958721951712381</v>
      </c>
      <c r="P44" s="29" t="s">
        <v>369</v>
      </c>
      <c r="Q44" s="373">
        <f ca="1">(O44*HHProps_SSW)/((D44-F44)*AllProps_SSW)</f>
        <v>1775.9679939155951</v>
      </c>
      <c r="R44" s="42">
        <f t="shared" ref="R44:R51" ca="1" si="11">INDEX(INDIRECT("CAM_WTPCore2_"&amp;$C44&amp;"_Levels"),1,MATCH(R$43,WTPCore2_AttLevels,0))</f>
        <v>1.2500000000000001E-2</v>
      </c>
      <c r="S44" s="42"/>
      <c r="T44" s="42">
        <f t="shared" ref="T44:T51" ca="1" si="12">INDEX(INDIRECT("CAM_WTPCore2_"&amp;$C44&amp;"_Levels"),1,MATCH(T$43,WTPCore2_AttLevels,0))</f>
        <v>8.3333333333333332E-3</v>
      </c>
      <c r="U44" s="117">
        <f t="shared" ref="U44:U51" ca="1" si="13">INDEX(INDIRECT("CAM_WTPCore2_"&amp;$C44&amp;"_LevelValues"),1,MATCH("S1 MEAN",WTPCore2_LevelValues,0))</f>
        <v>1.0483009561625427</v>
      </c>
      <c r="V44" s="117">
        <f t="shared" ref="V44:V51" ca="1" si="14">INDEX(INDIRECT("CAM_WTPCore2_"&amp;$C44&amp;"_LevelValues"),1,MATCH("S2 MEAN",WTPCore2_LevelValues,0))</f>
        <v>1.4106837870846367</v>
      </c>
      <c r="W44" s="117">
        <f ca="1">SUM(U44:V44)</f>
        <v>2.4589847432471794</v>
      </c>
      <c r="X44" s="42">
        <f t="shared" ref="X44:X53" si="15">VLOOKUP($A44,$A$5:$AG$27,COLUMN($W$4),0)</f>
        <v>0.23607109066518836</v>
      </c>
      <c r="Y44" s="579">
        <f t="shared" ref="Y44:Y53" ca="1" si="16">INDEX(INDIRECT("CAM_WTPCore_"&amp;$C44&amp;"_UnitValues"),MATCH("COMBINED-HH",WTPCore_Group,0),MATCH("MEAN",LMH,0))</f>
        <v>495.01276595744673</v>
      </c>
      <c r="Z44" s="579">
        <f ca="1">Y44*($R44-$T44)*(AllProps_CAM/HHProps_CAM)</f>
        <v>2.2200000000000002</v>
      </c>
      <c r="AA44" s="117">
        <f t="shared" ref="AA44:AA51" ca="1" si="17">INDEX(INDIRECT("CAM_WTPCore2_"&amp;$C44&amp;"_UnitValues"),1,MATCH("MEAN",LMH,0))</f>
        <v>548.30127891979646</v>
      </c>
      <c r="AB44" s="579">
        <f ca="1">AA44*($R44-$T44)*(AllProps_CAM/HHProps_CAM)</f>
        <v>2.458984743247179</v>
      </c>
      <c r="AC44" s="118">
        <f ca="1">(X44*AA$56)/X$54</f>
        <v>8.2828155578113734</v>
      </c>
      <c r="AD44" s="9" t="str">
        <f>P44</f>
        <v>Property affected</v>
      </c>
      <c r="AE44" s="373">
        <f ca="1">(AC44*HHProps_CAM)/((R44-T44)*AllProps_CAM)</f>
        <v>1846.8916392736846</v>
      </c>
    </row>
    <row r="45" spans="1:31" x14ac:dyDescent="0.25">
      <c r="A45" s="9" t="str">
        <f>A6</f>
        <v>Making sure water always comes out of the tap - ie no supply interruptions</v>
      </c>
      <c r="B45" s="9" t="s">
        <v>83</v>
      </c>
      <c r="C45" s="9" t="s">
        <v>269</v>
      </c>
      <c r="D45" s="570">
        <f t="shared" ca="1" si="4"/>
        <v>1.4285714285714285E-2</v>
      </c>
      <c r="E45" s="42"/>
      <c r="F45" s="570">
        <f t="shared" ca="1" si="5"/>
        <v>9.5238095238095247E-3</v>
      </c>
      <c r="G45" s="117">
        <f t="shared" ca="1" si="6"/>
        <v>0.39718669024665654</v>
      </c>
      <c r="H45" s="117">
        <f t="shared" ca="1" si="7"/>
        <v>0.53859352958370721</v>
      </c>
      <c r="I45" s="117">
        <f ca="1">SUM(G45:H45)</f>
        <v>0.93578021983036375</v>
      </c>
      <c r="J45" s="42">
        <f t="shared" si="8"/>
        <v>6.0653647147100094E-2</v>
      </c>
      <c r="K45" s="579">
        <f t="shared" ca="1" si="9"/>
        <v>160.37052631578945</v>
      </c>
      <c r="L45" s="579">
        <f ca="1">K45*($D45-$F45)*(AllProps_SSW/HHProps_SSW)</f>
        <v>0.8148571428571425</v>
      </c>
      <c r="M45" s="117">
        <f t="shared" ca="1" si="10"/>
        <v>184.16917331534088</v>
      </c>
      <c r="N45" s="579">
        <f ca="1">M45*($D45-$F45)*(AllProps_SSW/HHProps_SSW)</f>
        <v>0.93578021983036364</v>
      </c>
      <c r="O45" s="118">
        <f t="shared" ref="O45:O53" ca="1" si="18">(J45*M$56)/J$54</f>
        <v>1.8636428912807443</v>
      </c>
      <c r="P45" s="29" t="s">
        <v>369</v>
      </c>
      <c r="Q45" s="373">
        <f ca="1">(O45*HHProps_SSW)/((D45-F45)*AllProps_SSW)</f>
        <v>366.78010858618666</v>
      </c>
      <c r="R45" s="42">
        <f t="shared" ca="1" si="11"/>
        <v>2.5000000000000001E-2</v>
      </c>
      <c r="S45" s="42"/>
      <c r="T45" s="42">
        <f t="shared" ca="1" si="12"/>
        <v>1.6666666666666666E-2</v>
      </c>
      <c r="U45" s="117">
        <f t="shared" ca="1" si="13"/>
        <v>5.3490671066612649E-2</v>
      </c>
      <c r="V45" s="117">
        <f t="shared" ca="1" si="14"/>
        <v>0.33457681646237136</v>
      </c>
      <c r="W45" s="117">
        <f t="shared" ref="W45:W53" ca="1" si="19">SUM(U45:V45)</f>
        <v>0.38806748752898401</v>
      </c>
      <c r="X45" s="42">
        <f t="shared" si="15"/>
        <v>7.9261934247732646E-2</v>
      </c>
      <c r="Y45" s="579">
        <f t="shared" ca="1" si="16"/>
        <v>27.921526908635794</v>
      </c>
      <c r="Z45" s="579">
        <f ca="1">Y45*($R45-$T45)*(AllProps_CAM/HHProps_CAM)</f>
        <v>0.25044117647058822</v>
      </c>
      <c r="AA45" s="117">
        <f t="shared" ca="1" si="17"/>
        <v>43.265396481954809</v>
      </c>
      <c r="AB45" s="579">
        <f ca="1">AA45*($R45-$T45)*(AllProps_CAM/HHProps_CAM)</f>
        <v>0.38806748752898401</v>
      </c>
      <c r="AC45" s="118">
        <f t="shared" ref="AC45:AC53" ca="1" si="20">(X45*AA$56)/X$54</f>
        <v>2.7809927097784746</v>
      </c>
      <c r="AD45" s="9" t="str">
        <f t="shared" ref="AD45:AD53" si="21">P45</f>
        <v>Property affected</v>
      </c>
      <c r="AE45" s="373">
        <f ca="1">(AC45*HHProps_CAM)/((R45-T45)*AllProps_CAM)</f>
        <v>310.0511021114724</v>
      </c>
    </row>
    <row r="46" spans="1:31" x14ac:dyDescent="0.25">
      <c r="A46" s="9" t="str">
        <f>A11</f>
        <v>Reducing the amount of water that leaks from our pipes</v>
      </c>
      <c r="B46" s="9" t="s">
        <v>3</v>
      </c>
      <c r="C46" s="9" t="s">
        <v>3</v>
      </c>
      <c r="D46" s="192">
        <f t="shared" ca="1" si="4"/>
        <v>70.5</v>
      </c>
      <c r="E46" s="247"/>
      <c r="F46" s="192">
        <f t="shared" ca="1" si="5"/>
        <v>35.25</v>
      </c>
      <c r="G46" s="117">
        <f t="shared" ca="1" si="6"/>
        <v>1.2301339708448666</v>
      </c>
      <c r="H46" s="117">
        <f t="shared" ca="1" si="7"/>
        <v>0.44133293088857806</v>
      </c>
      <c r="I46" s="117">
        <f t="shared" ref="I46:I53" ca="1" si="22">SUM(G46:H46)</f>
        <v>1.6714669017334447</v>
      </c>
      <c r="J46" s="42">
        <f t="shared" si="8"/>
        <v>5.5502539025424881E-2</v>
      </c>
      <c r="K46" s="579">
        <f t="shared" ca="1" si="9"/>
        <v>31319.148936170212</v>
      </c>
      <c r="L46" s="579">
        <f ca="1">K46*($D46-$F46)/HHProps_SSW</f>
        <v>2</v>
      </c>
      <c r="M46" s="117">
        <f t="shared" ca="1" si="10"/>
        <v>26174.460418634368</v>
      </c>
      <c r="N46" s="579">
        <f ca="1">M46*($D46-$F46)/HHProps_SSW</f>
        <v>1.6714669017334447</v>
      </c>
      <c r="O46" s="118">
        <f t="shared" ca="1" si="18"/>
        <v>1.7053700340872342</v>
      </c>
      <c r="P46" s="29" t="s">
        <v>396</v>
      </c>
      <c r="Q46" s="373">
        <f ca="1">(O46*HHProps_SSW)/((D46-F46))</f>
        <v>26705.369044429881</v>
      </c>
      <c r="R46" s="192">
        <f t="shared" ca="1" si="11"/>
        <v>13.5</v>
      </c>
      <c r="S46" s="247"/>
      <c r="T46" s="192">
        <f t="shared" ca="1" si="12"/>
        <v>6.75</v>
      </c>
      <c r="U46" s="117">
        <f t="shared" ca="1" si="13"/>
        <v>3.1349723048319831</v>
      </c>
      <c r="V46" s="117">
        <f t="shared" ca="1" si="14"/>
        <v>5.1405797633106154E-3</v>
      </c>
      <c r="W46" s="117">
        <f t="shared" ca="1" si="19"/>
        <v>3.1401128845952937</v>
      </c>
      <c r="X46" s="42">
        <f t="shared" si="15"/>
        <v>7.3992296859804463E-2</v>
      </c>
      <c r="Y46" s="579">
        <f t="shared" ca="1" si="16"/>
        <v>140121.48148148149</v>
      </c>
      <c r="Z46" s="579">
        <f ca="1">Y46*($R46-$T46)/HHProps_CAM</f>
        <v>7.22</v>
      </c>
      <c r="AA46" s="117">
        <f t="shared" ca="1" si="17"/>
        <v>60941.450056590147</v>
      </c>
      <c r="AB46" s="579">
        <f ca="1">AA46*($R46-$T46)/HHProps_CAM</f>
        <v>3.1401128845952937</v>
      </c>
      <c r="AC46" s="118">
        <f t="shared" ca="1" si="20"/>
        <v>2.596101648286071</v>
      </c>
      <c r="AD46" s="9" t="str">
        <f t="shared" si="21"/>
        <v>ML/D</v>
      </c>
      <c r="AE46" s="373">
        <f ca="1">(AC46*HHProps_CAM)/((R46-T46))</f>
        <v>50383.602359329678</v>
      </c>
    </row>
    <row r="47" spans="1:31" x14ac:dyDescent="0.25">
      <c r="A47" s="9" t="str">
        <f>A17</f>
        <v>Protecting and improving the natural environment for wildlife and plants</v>
      </c>
      <c r="B47" s="9" t="s">
        <v>88</v>
      </c>
      <c r="C47" s="9" t="s">
        <v>315</v>
      </c>
      <c r="D47" s="43">
        <f t="shared" ca="1" si="4"/>
        <v>0</v>
      </c>
      <c r="E47" s="247"/>
      <c r="F47" s="43">
        <f t="shared" ca="1" si="5"/>
        <v>50</v>
      </c>
      <c r="G47" s="117">
        <f t="shared" ca="1" si="6"/>
        <v>0.31132700138064179</v>
      </c>
      <c r="H47" s="117">
        <f t="shared" ca="1" si="7"/>
        <v>0.13284027031511708</v>
      </c>
      <c r="I47" s="117">
        <f t="shared" ca="1" si="22"/>
        <v>0.44416727169575887</v>
      </c>
      <c r="J47" s="42">
        <f t="shared" si="8"/>
        <v>2.6421174892285043E-2</v>
      </c>
      <c r="K47" s="579">
        <f t="shared" ca="1" si="9"/>
        <v>10488</v>
      </c>
      <c r="L47" s="579">
        <f ca="1">-K47*(D47-F47)/HHProps_SSW</f>
        <v>0.95</v>
      </c>
      <c r="M47" s="117">
        <f t="shared" ca="1" si="10"/>
        <v>4903.6066795211782</v>
      </c>
      <c r="N47" s="579">
        <f ca="1">-M47*(D47-F47)/HHProps_SSW</f>
        <v>0.44416727169575887</v>
      </c>
      <c r="O47" s="118">
        <f t="shared" ca="1" si="18"/>
        <v>0.81181655322183688</v>
      </c>
      <c r="P47" s="29" t="s">
        <v>397</v>
      </c>
      <c r="Q47" s="373">
        <f ca="1">-O47*HHProps_SSW/(D47-F47)</f>
        <v>8962.4547475690797</v>
      </c>
      <c r="R47" s="43">
        <f t="shared" ca="1" si="11"/>
        <v>0</v>
      </c>
      <c r="S47" s="247"/>
      <c r="T47" s="192">
        <f t="shared" ca="1" si="12"/>
        <v>9</v>
      </c>
      <c r="U47" s="117">
        <f t="shared" ca="1" si="13"/>
        <v>0.16524275196632074</v>
      </c>
      <c r="V47" s="117">
        <f t="shared" ca="1" si="14"/>
        <v>2.2165878650139109E-2</v>
      </c>
      <c r="W47" s="117">
        <f t="shared" ca="1" si="19"/>
        <v>0.18740863061645985</v>
      </c>
      <c r="X47" s="42">
        <f t="shared" si="15"/>
        <v>2.7748450236417737E-2</v>
      </c>
      <c r="Y47" s="579">
        <f t="shared" ca="1" si="16"/>
        <v>14803.000000000004</v>
      </c>
      <c r="Z47" s="579">
        <f ca="1">-Y47*(R47-T47)/HHProps_CAM</f>
        <v>1.0170000000000001</v>
      </c>
      <c r="AA47" s="117">
        <f t="shared" ca="1" si="17"/>
        <v>2727.836734528471</v>
      </c>
      <c r="AB47" s="579">
        <f ca="1">-AA47*(R47-T47)/HHProps_CAM</f>
        <v>0.18740863061645985</v>
      </c>
      <c r="AC47" s="118">
        <f t="shared" ca="1" si="20"/>
        <v>0.97358509538689397</v>
      </c>
      <c r="AD47" s="9" t="str">
        <f t="shared" si="21"/>
        <v>Hectare</v>
      </c>
      <c r="AE47" s="373">
        <f ca="1">-AC47*HHProps_CAM/(R47-T47)</f>
        <v>14171.071943964789</v>
      </c>
    </row>
    <row r="48" spans="1:31" x14ac:dyDescent="0.25">
      <c r="A48" s="9" t="str">
        <f t="shared" ref="A48:A53" si="23">A21</f>
        <v>Ensuring the water always tastes and smells good</v>
      </c>
      <c r="B48" s="9" t="s">
        <v>117</v>
      </c>
      <c r="C48" s="9" t="s">
        <v>265</v>
      </c>
      <c r="D48" s="570">
        <f t="shared" ca="1" si="4"/>
        <v>1.6666666666666666E-2</v>
      </c>
      <c r="E48" s="42"/>
      <c r="F48" s="570">
        <f t="shared" ca="1" si="5"/>
        <v>1.1111111111111112E-2</v>
      </c>
      <c r="G48" s="117">
        <f t="shared" ca="1" si="6"/>
        <v>0.30818609087835352</v>
      </c>
      <c r="H48" s="117">
        <f t="shared" ca="1" si="7"/>
        <v>0.18578205633963885</v>
      </c>
      <c r="I48" s="117">
        <f t="shared" ca="1" si="22"/>
        <v>0.49396814721799237</v>
      </c>
      <c r="J48" s="42">
        <f t="shared" si="8"/>
        <v>5.7712152576338743E-2</v>
      </c>
      <c r="K48" s="579">
        <f t="shared" ca="1" si="9"/>
        <v>171.97536823750744</v>
      </c>
      <c r="L48" s="579">
        <f ca="1">K48*(D48-F48)*(AllProps_SSW/HHProps_SSW)</f>
        <v>1.0194594594594593</v>
      </c>
      <c r="M48" s="117">
        <f t="shared" ca="1" si="10"/>
        <v>83.328820216603944</v>
      </c>
      <c r="N48" s="579">
        <f ca="1">M48*($D48-$F48)*(AllProps_SSW/HHProps_SSW)</f>
        <v>0.49396814721799231</v>
      </c>
      <c r="O48" s="118">
        <f t="shared" ca="1" si="18"/>
        <v>1.7732625810374814</v>
      </c>
      <c r="P48" s="29" t="s">
        <v>369</v>
      </c>
      <c r="Q48" s="373">
        <f ca="1">(O48*HHProps_SSW)/((D48-F48)*AllProps_SSW)</f>
        <v>299.13645170099181</v>
      </c>
      <c r="R48" s="42">
        <f t="shared" ca="1" si="11"/>
        <v>1.4285714285714285E-2</v>
      </c>
      <c r="S48" s="42"/>
      <c r="T48" s="42">
        <f t="shared" ca="1" si="12"/>
        <v>0.01</v>
      </c>
      <c r="U48" s="117">
        <f t="shared" ca="1" si="13"/>
        <v>4.7204807663126298E-2</v>
      </c>
      <c r="V48" s="117">
        <f t="shared" ca="1" si="14"/>
        <v>0.1217094578997745</v>
      </c>
      <c r="W48" s="117">
        <f t="shared" ca="1" si="19"/>
        <v>0.16891426556290079</v>
      </c>
      <c r="X48" s="42">
        <f t="shared" si="15"/>
        <v>3.775220902859077E-2</v>
      </c>
      <c r="Y48" s="579">
        <f t="shared" ca="1" si="16"/>
        <v>205.16697061803447</v>
      </c>
      <c r="Z48" s="579">
        <f ca="1">Y48*(R48-T48)*(AllProps_CAM/HHProps_CAM)</f>
        <v>0.94640816326530608</v>
      </c>
      <c r="AA48" s="117">
        <f t="shared" ca="1" si="17"/>
        <v>36.618057097205678</v>
      </c>
      <c r="AB48" s="579">
        <f ca="1">AA48*($R48-$T48)*(AllProps_CAM/HHProps_CAM)</f>
        <v>0.16891426556290076</v>
      </c>
      <c r="AC48" s="118">
        <f t="shared" ca="1" si="20"/>
        <v>1.3245780472427384</v>
      </c>
      <c r="AD48" s="9" t="str">
        <f t="shared" si="21"/>
        <v>Property affected</v>
      </c>
      <c r="AE48" s="373">
        <f ca="1">(AC48*HHProps_CAM)/((R48-T48)*AllProps_CAM)</f>
        <v>287.14847974505705</v>
      </c>
    </row>
    <row r="49" spans="1:31" x14ac:dyDescent="0.25">
      <c r="A49" s="9" t="str">
        <f t="shared" si="23"/>
        <v>Making sure the water is never discoloured / cloudy / has particles in it</v>
      </c>
      <c r="B49" s="9" t="s">
        <v>25</v>
      </c>
      <c r="C49" s="9" t="s">
        <v>266</v>
      </c>
      <c r="D49" s="570">
        <f t="shared" ca="1" si="4"/>
        <v>6.6666666666666666E-2</v>
      </c>
      <c r="E49" s="42"/>
      <c r="F49" s="570">
        <f t="shared" ca="1" si="5"/>
        <v>0.04</v>
      </c>
      <c r="G49" s="117">
        <f t="shared" ca="1" si="6"/>
        <v>3.3679929677046498</v>
      </c>
      <c r="H49" s="117">
        <f t="shared" ca="1" si="7"/>
        <v>0.60669022375558512</v>
      </c>
      <c r="I49" s="117">
        <f t="shared" ca="1" si="22"/>
        <v>3.974683191460235</v>
      </c>
      <c r="J49" s="42">
        <f t="shared" si="8"/>
        <v>3.7183896133422663E-2</v>
      </c>
      <c r="K49" s="579">
        <f t="shared" ca="1" si="9"/>
        <v>27.809917858229387</v>
      </c>
      <c r="L49" s="579">
        <f ca="1">K49*(D49-F49)*(AllProps_SSW/HHProps_SSW)</f>
        <v>0.79130635838150276</v>
      </c>
      <c r="M49" s="117">
        <f t="shared" ca="1" si="10"/>
        <v>139.68750774741403</v>
      </c>
      <c r="N49" s="579">
        <f ca="1">M49*($D49-$F49)*(AllProps_SSW/HHProps_SSW)</f>
        <v>3.974683191460235</v>
      </c>
      <c r="O49" s="118">
        <f t="shared" ca="1" si="18"/>
        <v>1.1425117360397326</v>
      </c>
      <c r="P49" s="29" t="s">
        <v>369</v>
      </c>
      <c r="Q49" s="373">
        <f ca="1">(O49*HHProps_SSW)/((D49-F49)*AllProps_SSW)</f>
        <v>40.152789365063612</v>
      </c>
      <c r="R49" s="42">
        <f t="shared" ca="1" si="11"/>
        <v>2.2222222222222223E-2</v>
      </c>
      <c r="S49" s="42"/>
      <c r="T49" s="42">
        <f t="shared" ca="1" si="12"/>
        <v>1.5384615384615385E-2</v>
      </c>
      <c r="U49" s="117">
        <f t="shared" ca="1" si="13"/>
        <v>3.1155463151224057</v>
      </c>
      <c r="V49" s="117">
        <f t="shared" ca="1" si="14"/>
        <v>1.3419840000849801</v>
      </c>
      <c r="W49" s="117">
        <f t="shared" ca="1" si="19"/>
        <v>4.4575303152073857</v>
      </c>
      <c r="X49" s="42">
        <f t="shared" si="15"/>
        <v>2.34831934111276E-2</v>
      </c>
      <c r="Y49" s="579">
        <f t="shared" ca="1" si="16"/>
        <v>305.14240121580548</v>
      </c>
      <c r="Z49" s="579">
        <f ca="1">Y49*(R49-T49)*(AllProps_CAM/HHProps_CAM)</f>
        <v>2.2457142857142856</v>
      </c>
      <c r="AA49" s="117">
        <f t="shared" ca="1" si="17"/>
        <v>605.67878671262065</v>
      </c>
      <c r="AB49" s="579">
        <f ca="1">AA49*($R49-$T49)*(AllProps_CAM/HHProps_CAM)</f>
        <v>4.4575303152073857</v>
      </c>
      <c r="AC49" s="118">
        <f t="shared" ca="1" si="20"/>
        <v>0.82393383783126528</v>
      </c>
      <c r="AD49" s="9" t="str">
        <f t="shared" si="21"/>
        <v>Property affected</v>
      </c>
      <c r="AE49" s="373">
        <f ca="1">(AC49*HHProps_CAM)/((R49-T49)*AllProps_CAM)</f>
        <v>111.95420152872165</v>
      </c>
    </row>
    <row r="50" spans="1:31" x14ac:dyDescent="0.25">
      <c r="A50" s="9" t="str">
        <f t="shared" si="23"/>
        <v>Making sure the water does not causes appliances, taps, tiles, etc to scale - which can reduce their usable life</v>
      </c>
      <c r="B50" s="9" t="s">
        <v>273</v>
      </c>
      <c r="C50" s="9" t="s">
        <v>268</v>
      </c>
      <c r="D50" s="43">
        <f t="shared" ca="1" si="4"/>
        <v>0</v>
      </c>
      <c r="E50" s="42"/>
      <c r="F50" s="43">
        <f t="shared" ca="1" si="5"/>
        <v>4000</v>
      </c>
      <c r="G50" s="117">
        <f t="shared" ca="1" si="6"/>
        <v>5.2894480160712298</v>
      </c>
      <c r="H50" s="117">
        <f t="shared" ca="1" si="7"/>
        <v>0.60625599239311434</v>
      </c>
      <c r="I50" s="117">
        <f t="shared" ca="1" si="22"/>
        <v>5.8957040084643442</v>
      </c>
      <c r="J50" s="42">
        <f t="shared" si="8"/>
        <v>2.0018538473726234E-2</v>
      </c>
      <c r="K50" s="579">
        <f t="shared" ca="1" si="9"/>
        <v>6.1197962648556876</v>
      </c>
      <c r="L50" s="579">
        <f ca="1">-K50*(D50-F50)/HHProps_SSW</f>
        <v>4.4346349745331068E-2</v>
      </c>
      <c r="M50" s="117">
        <f t="shared" ca="1" si="10"/>
        <v>813.60715316807944</v>
      </c>
      <c r="N50" s="579">
        <f ca="1">-M50*(D50-F50)/HHProps_SSW</f>
        <v>5.8957040084643442</v>
      </c>
      <c r="O50" s="118">
        <f t="shared" ca="1" si="18"/>
        <v>0.61508925967650863</v>
      </c>
      <c r="P50" s="29" t="s">
        <v>369</v>
      </c>
      <c r="Q50" s="373">
        <f ca="1">-(O50*HHProps_SSW)/((D50-F50))</f>
        <v>84.882317835358194</v>
      </c>
      <c r="R50" s="43">
        <f t="shared" ca="1" si="11"/>
        <v>0</v>
      </c>
      <c r="S50" s="42"/>
      <c r="T50" s="43">
        <f t="shared" ca="1" si="12"/>
        <v>1350</v>
      </c>
      <c r="U50" s="117">
        <f t="shared" ca="1" si="13"/>
        <v>2.6407734226292283</v>
      </c>
      <c r="V50" s="117">
        <f t="shared" ca="1" si="14"/>
        <v>0.50756688037153719</v>
      </c>
      <c r="W50" s="117">
        <f t="shared" ca="1" si="19"/>
        <v>3.1483403030007655</v>
      </c>
      <c r="X50" s="42">
        <f t="shared" si="15"/>
        <v>1.7844797181208665E-2</v>
      </c>
      <c r="Y50" s="579">
        <f t="shared" ca="1" si="16"/>
        <v>5.6209219858156025</v>
      </c>
      <c r="Z50" s="579">
        <f ca="1">-Y50*(R50-T50)/HHProps_CAM</f>
        <v>5.7925531914893615E-2</v>
      </c>
      <c r="AA50" s="117">
        <f t="shared" ca="1" si="17"/>
        <v>305.50561458748172</v>
      </c>
      <c r="AB50" s="579">
        <f ca="1">-AA50*(R50-T50)/HHProps_CAM</f>
        <v>3.1483403030007655</v>
      </c>
      <c r="AC50" s="118">
        <f t="shared" ca="1" si="20"/>
        <v>0.62610446413419907</v>
      </c>
      <c r="AD50" s="9" t="str">
        <f t="shared" si="21"/>
        <v>Property affected</v>
      </c>
      <c r="AE50" s="373">
        <f ca="1">-(AC50*HHProps_CAM)/((R50-T50))</f>
        <v>60.7553220752445</v>
      </c>
    </row>
    <row r="51" spans="1:31" x14ac:dyDescent="0.25">
      <c r="A51" s="9" t="str">
        <f t="shared" si="23"/>
        <v>Ensuring your water pressure is not too high or low (e.g. a slow dripping tap)</v>
      </c>
      <c r="B51" s="9" t="s">
        <v>85</v>
      </c>
      <c r="C51" s="9" t="s">
        <v>270</v>
      </c>
      <c r="D51" s="570">
        <f t="shared" ca="1" si="4"/>
        <v>0.1</v>
      </c>
      <c r="E51" s="42"/>
      <c r="F51" s="570">
        <f t="shared" ca="1" si="5"/>
        <v>6.6666666666666666E-2</v>
      </c>
      <c r="G51" s="117">
        <f t="shared" ca="1" si="6"/>
        <v>0.78010561855806027</v>
      </c>
      <c r="H51" s="117">
        <f t="shared" ca="1" si="7"/>
        <v>0.37050953266002729</v>
      </c>
      <c r="I51" s="117">
        <f t="shared" ca="1" si="22"/>
        <v>1.1506151512180876</v>
      </c>
      <c r="J51" s="42">
        <f t="shared" si="8"/>
        <v>1.0154569161730772E-2</v>
      </c>
      <c r="K51" s="579">
        <f t="shared" ca="1" si="9"/>
        <v>40.646907591559547</v>
      </c>
      <c r="L51" s="579">
        <f ca="1">K51*(D51-F51)*(AllProps_SSW/HHProps_SSW)</f>
        <v>1.445714285714286</v>
      </c>
      <c r="M51" s="117">
        <f t="shared" ca="1" si="10"/>
        <v>32.35006265563927</v>
      </c>
      <c r="N51" s="579">
        <f ca="1">M51*($D51-$F51)*(AllProps_SSW/HHProps_SSW)</f>
        <v>1.1506151512180878</v>
      </c>
      <c r="O51" s="118">
        <f t="shared" ca="1" si="18"/>
        <v>0.31200911276417798</v>
      </c>
      <c r="P51" s="29" t="s">
        <v>369</v>
      </c>
      <c r="Q51" s="373">
        <f ca="1">(O51*HHProps_SSW)/((D51-F51)*AllProps_SSW)</f>
        <v>8.7722765829792628</v>
      </c>
      <c r="R51" s="42">
        <f t="shared" ca="1" si="11"/>
        <v>9.0909090909090912E-2</v>
      </c>
      <c r="S51" s="42"/>
      <c r="T51" s="42">
        <f t="shared" ca="1" si="12"/>
        <v>6.6666666666666666E-2</v>
      </c>
      <c r="U51" s="117">
        <f t="shared" ca="1" si="13"/>
        <v>2.1416418362159599</v>
      </c>
      <c r="V51" s="117">
        <f t="shared" ca="1" si="14"/>
        <v>0.84070533256091329</v>
      </c>
      <c r="W51" s="117">
        <f t="shared" ca="1" si="19"/>
        <v>2.9823471687768732</v>
      </c>
      <c r="X51" s="42">
        <f t="shared" si="15"/>
        <v>6.984161840426259E-3</v>
      </c>
      <c r="Y51" s="579">
        <f t="shared" ca="1" si="16"/>
        <v>18.356144634344844</v>
      </c>
      <c r="Z51" s="579">
        <f ca="1">Y51*(R51-T51)*(AllProps_CAM/HHProps_CAM)</f>
        <v>0.47896671634376553</v>
      </c>
      <c r="AA51" s="117">
        <f t="shared" ca="1" si="17"/>
        <v>114.29686888849665</v>
      </c>
      <c r="AB51" s="579">
        <f ca="1">AA51*($R51-$T51)*(AllProps_CAM/HHProps_CAM)</f>
        <v>2.9823471687768732</v>
      </c>
      <c r="AC51" s="118">
        <f t="shared" ca="1" si="20"/>
        <v>0.24504704996767154</v>
      </c>
      <c r="AD51" s="9" t="str">
        <f t="shared" si="21"/>
        <v>Property affected</v>
      </c>
      <c r="AE51" s="373">
        <f ca="1">(AC51*HHProps_CAM)/((R51-T51)*AllProps_CAM)</f>
        <v>9.3912978458354957</v>
      </c>
    </row>
    <row r="52" spans="1:31" x14ac:dyDescent="0.25">
      <c r="A52" s="9" t="str">
        <f t="shared" si="23"/>
        <v>Ensuring we minimise traffic disruption caused by repairing our network of pipes</v>
      </c>
      <c r="B52" s="9" t="s">
        <v>111</v>
      </c>
      <c r="C52" s="9" t="s">
        <v>271</v>
      </c>
      <c r="D52" s="43">
        <f ca="1">INDEX(INDIRECT("SSW_WTPCore_DCE_"&amp;$C52&amp;"_Levels"),MATCH("COMBINED-HH",WTPCore_Group,0),MATCH(D$43,WTPCore_AttLevels,0))</f>
        <v>608.33333333333337</v>
      </c>
      <c r="E52" s="192"/>
      <c r="F52" s="43">
        <f t="shared" ref="F52" ca="1" si="24">INDEX(INDIRECT("SSW_WTPCore_DCE_"&amp;$C52&amp;"_Levels"),MATCH("COMBINED-HH",WTPCore_Group,0),MATCH(F$43,WTPCore_AttLevels,0))</f>
        <v>243.33333333333334</v>
      </c>
      <c r="G52" s="117">
        <f t="shared" ref="G52" ca="1" si="25">INDEX(INDIRECT("SSW_WTPCore_DCE_"&amp;$C52&amp;"_LevelValues"),MATCH("COMBINED-HH",WTPCore_Group,0),MATCH("S1 MEAN",WTPCore_LevelValues,0))</f>
        <v>0.06</v>
      </c>
      <c r="H52" s="117">
        <f t="shared" ref="H52" ca="1" si="26">INDEX(INDIRECT("SSW_WTPCore_DCE_"&amp;$C52&amp;"_LevelValues"),MATCH("COMBINED-HH",WTPCore_Group,0),MATCH("S2 MEAN",WTPCore_LevelValues,0))</f>
        <v>0.46</v>
      </c>
      <c r="I52" s="117">
        <f t="shared" ca="1" si="22"/>
        <v>0.52</v>
      </c>
      <c r="J52" s="42">
        <f t="shared" si="8"/>
        <v>8.3281285569900224E-3</v>
      </c>
      <c r="K52" s="579">
        <f t="shared" ca="1" si="9"/>
        <v>786.41095890410963</v>
      </c>
      <c r="L52" s="579">
        <f ca="1">K52*(D52-F52)/HHProps_SSW</f>
        <v>0.52</v>
      </c>
      <c r="M52" s="117">
        <f ca="1">K52</f>
        <v>786.41095890410963</v>
      </c>
      <c r="N52" s="579">
        <f ca="1">M52*(D52-F52)/HHProps_SSW</f>
        <v>0.52</v>
      </c>
      <c r="O52" s="118">
        <f t="shared" ca="1" si="18"/>
        <v>0.25588993099236362</v>
      </c>
      <c r="P52" s="29" t="s">
        <v>398</v>
      </c>
      <c r="Q52" s="373">
        <f ca="1">(O52*HHProps_SSW)/((D52-F52))</f>
        <v>386.9897038569444</v>
      </c>
      <c r="R52" s="43">
        <f ca="1">INDEX(INDIRECT("CAM_WTPCore_"&amp;$C52&amp;"_Levels"),MATCH("COMBINED-HH",WTPCore_Group,0),MATCH(R$43,WTPCore_AttLevels,0))</f>
        <v>365</v>
      </c>
      <c r="S52" s="192"/>
      <c r="T52" s="43">
        <f ca="1">INDEX(INDIRECT("CAM_WTPCore_"&amp;$C52&amp;"_Levels"),MATCH("COMBINED-HH",WTPCore_Group,0),MATCH(T$43,WTPCore_AttLevels,0))</f>
        <v>121.66666666666667</v>
      </c>
      <c r="U52" s="117">
        <f ca="1">INDEX(INDIRECT("CAM_WTPCore_"&amp;$C52&amp;"_LevelValues"),MATCH("COMBINED-HH",WTPCore_Group,0),MATCH("S1 MEAN",WTPCore_LevelValues,0))</f>
        <v>0.21</v>
      </c>
      <c r="V52" s="117">
        <f ca="1">INDEX(INDIRECT("CAM_WTPCore_"&amp;$C52&amp;"_LevelValues"),MATCH("COMBINED-HH",WTPCore_Group,0),MATCH("S2 MEAN",WTPCore_LevelValues,0))</f>
        <v>0.51</v>
      </c>
      <c r="W52" s="117">
        <f t="shared" ca="1" si="19"/>
        <v>0.72</v>
      </c>
      <c r="X52" s="42">
        <f t="shared" si="15"/>
        <v>2.1371111588596326E-3</v>
      </c>
      <c r="Y52" s="579">
        <f t="shared" ca="1" si="16"/>
        <v>387.61643835616439</v>
      </c>
      <c r="Z52" s="579">
        <f ca="1">Y52*(R52-T52)/HHProps_CAM</f>
        <v>0.72</v>
      </c>
      <c r="AA52" s="117">
        <f ca="1">Y52</f>
        <v>387.61643835616439</v>
      </c>
      <c r="AB52" s="579">
        <f ca="1">AA52*(R52-T52)/HHProps_CAM</f>
        <v>0.72</v>
      </c>
      <c r="AC52" s="118">
        <f t="shared" ca="1" si="20"/>
        <v>7.4982910891363691E-2</v>
      </c>
      <c r="AD52" s="9" t="str">
        <f t="shared" si="21"/>
        <v>Roadworks incident</v>
      </c>
      <c r="AE52" s="373">
        <f ca="1">(AC52*HHProps_CAM)/((R52-T52))</f>
        <v>40.367512301788949</v>
      </c>
    </row>
    <row r="53" spans="1:31" ht="15.75" thickBot="1" x14ac:dyDescent="0.3">
      <c r="A53" s="9" t="str">
        <f t="shared" si="23"/>
        <v>Removing all lead pipes from the water network (a harmless additive is added to the water to ensure lead pipes pose no risk to health)</v>
      </c>
      <c r="B53" s="9" t="s">
        <v>81</v>
      </c>
      <c r="C53" s="9" t="s">
        <v>267</v>
      </c>
      <c r="D53" s="570">
        <f ca="1">INDEX(INDIRECT("SSW_WTPCore2_"&amp;$C53&amp;"_Levels"),1,MATCH(D$43,WTPCore2_AttLevels,0))</f>
        <v>0.33333333333333331</v>
      </c>
      <c r="E53" s="42"/>
      <c r="F53" s="570">
        <f t="shared" ca="1" si="5"/>
        <v>0.2</v>
      </c>
      <c r="G53" s="117">
        <f ca="1">INDEX(INDIRECT("SSW_WTPCore2_"&amp;$C53&amp;"_LevelValues"),1,MATCH("S1 MEAN",WTPCore2_LevelValues,0))</f>
        <v>2.1317184182528393</v>
      </c>
      <c r="H53" s="117">
        <f ca="1">INDEX(INDIRECT("SSW_WTPCore2_"&amp;$C53&amp;"_LevelValues"),1,MATCH("S2 MEAN",WTPCore2_LevelValues,0))</f>
        <v>1.3756516158641041</v>
      </c>
      <c r="I53" s="117">
        <f t="shared" ca="1" si="22"/>
        <v>3.5073700341169434</v>
      </c>
      <c r="J53" s="42">
        <f t="shared" si="8"/>
        <v>2.4249615653357929E-2</v>
      </c>
      <c r="K53" s="579">
        <f t="shared" ca="1" si="9"/>
        <v>25.360135823429545</v>
      </c>
      <c r="L53" s="579">
        <f ca="1">K53*(D53-F53)*(AllProps_SSW/HHProps_SSW)</f>
        <v>3.6079999999999992</v>
      </c>
      <c r="M53" s="117">
        <f ca="1">INDEX(INDIRECT("SSW_WTPCore2_"&amp;$C53&amp;"_UnitValues"),1,MATCH("MEAN",LMH,0))</f>
        <v>24.652821631993461</v>
      </c>
      <c r="N53" s="579">
        <f ca="1">M53*($D53-$F53)*(AllProps_SSW/HHProps_SSW)</f>
        <v>3.5073700341169429</v>
      </c>
      <c r="O53" s="118">
        <f t="shared" ca="1" si="18"/>
        <v>0.74509326238976981</v>
      </c>
      <c r="P53" s="29" t="s">
        <v>369</v>
      </c>
      <c r="Q53" s="374">
        <f ca="1">(O53*HHProps_SSW)/((D53-F53)*AllProps_SSW)</f>
        <v>5.2371580752014397</v>
      </c>
      <c r="R53" s="42">
        <f ca="1">INDEX(INDIRECT("CAM_WTPCore2_"&amp;$C53&amp;"_Levels"),1,MATCH(R$43,WTPCore2_AttLevels,0))</f>
        <v>0.33333333333333331</v>
      </c>
      <c r="S53" s="42"/>
      <c r="T53" s="42">
        <f ca="1">INDEX(INDIRECT("CAM_WTPCore2_"&amp;$C53&amp;"_Levels"),1,MATCH(T$43,WTPCore2_AttLevels,0))</f>
        <v>0.2</v>
      </c>
      <c r="U53" s="117">
        <f ca="1">INDEX(INDIRECT("CAM_WTPCore2_"&amp;$C53&amp;"_LevelValues"),1,MATCH("S1 MEAN",WTPCore2_LevelValues,0))</f>
        <v>0.4252755260698568</v>
      </c>
      <c r="V53" s="117">
        <f ca="1">INDEX(INDIRECT("CAM_WTPCore2_"&amp;$C53&amp;"_LevelValues"),1,MATCH("S2 MEAN",WTPCore2_LevelValues,0))</f>
        <v>0.21698708612330625</v>
      </c>
      <c r="W53" s="117">
        <f t="shared" ca="1" si="19"/>
        <v>0.64226261219316305</v>
      </c>
      <c r="X53" s="42">
        <f t="shared" si="15"/>
        <v>2.2432549152051524E-2</v>
      </c>
      <c r="Y53" s="579">
        <f t="shared" ca="1" si="16"/>
        <v>24.945744680851064</v>
      </c>
      <c r="Z53" s="579">
        <f ca="1">Y53*(R53-T53)*(AllProps_CAM/HHProps_CAM)</f>
        <v>3.5799999999999987</v>
      </c>
      <c r="AA53" s="117">
        <f ca="1">INDEX(INDIRECT("CAM_WTPCore2_"&amp;$C53&amp;"_UnitValues"),1,MATCH("MEAN",LMH,0))</f>
        <v>4.4753405424098069</v>
      </c>
      <c r="AB53" s="579">
        <f ca="1">AA53*($R53-$T53)*(AllProps_CAM/HHProps_CAM)</f>
        <v>0.64226261219316283</v>
      </c>
      <c r="AC53" s="118">
        <f t="shared" ca="1" si="20"/>
        <v>0.78707082088887015</v>
      </c>
      <c r="AD53" s="9" t="str">
        <f t="shared" si="21"/>
        <v>Property affected</v>
      </c>
      <c r="AE53" s="374">
        <f ca="1">(AC53*HHProps_CAM)/((R53-T53)*AllProps_CAM)</f>
        <v>5.4843764647043622</v>
      </c>
    </row>
    <row r="54" spans="1:31" x14ac:dyDescent="0.25">
      <c r="A54" s="177"/>
      <c r="B54" s="177"/>
      <c r="C54" s="177"/>
      <c r="D54" s="120"/>
      <c r="E54" s="120"/>
      <c r="F54" s="120"/>
      <c r="G54" s="121"/>
      <c r="H54" s="121"/>
      <c r="I54" s="120">
        <f ca="1">SUM(I44:I53)</f>
        <v>19.707431517164462</v>
      </c>
      <c r="J54" s="122">
        <f>SUM(J44:J53)</f>
        <v>0.55720130818072533</v>
      </c>
      <c r="K54" s="122"/>
      <c r="L54" s="120">
        <f ca="1">SUM(L44:L53)</f>
        <v>14.53368359615772</v>
      </c>
      <c r="M54" s="809"/>
      <c r="N54" s="120">
        <f ca="1">SUM(N44:N53)</f>
        <v>19.707431517164462</v>
      </c>
      <c r="O54" s="120">
        <f ca="1">SUM(O44:O53)</f>
        <v>17.120557556661087</v>
      </c>
      <c r="P54" s="39"/>
      <c r="Q54" s="39"/>
      <c r="R54" s="38"/>
      <c r="S54" s="39"/>
      <c r="T54" s="39"/>
      <c r="U54" s="39"/>
      <c r="V54" s="40"/>
      <c r="W54" s="120">
        <f ca="1">SUM(W44:W53)</f>
        <v>18.293968410729004</v>
      </c>
      <c r="X54" s="122">
        <f>SUM(X44:X53)</f>
        <v>0.52770779378140764</v>
      </c>
      <c r="Y54" s="122"/>
      <c r="Z54" s="120">
        <f ca="1">SUM(Z44:Z53)</f>
        <v>18.736455873708842</v>
      </c>
      <c r="AA54" s="809"/>
      <c r="AB54" s="120">
        <f ca="1">SUM(AB44:AB53)</f>
        <v>18.293968410729004</v>
      </c>
      <c r="AC54" s="120">
        <f ca="1">SUM(AC44:AC53)</f>
        <v>18.515212142218921</v>
      </c>
      <c r="AD54" s="40"/>
      <c r="AE54" s="39"/>
    </row>
    <row r="55" spans="1:31" x14ac:dyDescent="0.25">
      <c r="A55" s="177"/>
      <c r="B55" s="177"/>
      <c r="C55" s="177"/>
      <c r="D55" s="120"/>
      <c r="E55" s="120"/>
      <c r="F55" s="120"/>
      <c r="G55" s="121"/>
      <c r="H55" s="121"/>
      <c r="I55" s="120"/>
      <c r="J55" s="122"/>
      <c r="K55" s="122"/>
      <c r="L55" s="809"/>
      <c r="M55" s="809"/>
      <c r="N55" s="809"/>
      <c r="O55" s="120"/>
      <c r="P55" s="39"/>
      <c r="Q55" s="39"/>
      <c r="R55" s="38"/>
      <c r="S55" s="39"/>
      <c r="T55" s="39"/>
      <c r="U55" s="39"/>
      <c r="V55" s="40"/>
      <c r="W55" s="120"/>
      <c r="X55" s="122"/>
      <c r="Y55" s="122"/>
      <c r="Z55" s="809"/>
      <c r="AA55" s="809"/>
      <c r="AB55" s="809"/>
      <c r="AC55" s="120"/>
      <c r="AD55" s="40"/>
      <c r="AE55" s="39"/>
    </row>
    <row r="56" spans="1:31" x14ac:dyDescent="0.25">
      <c r="A56" s="29" t="s">
        <v>985</v>
      </c>
      <c r="L56" s="4" t="s">
        <v>986</v>
      </c>
      <c r="M56" s="251">
        <f ca="1">AVERAGE(L54,N54)</f>
        <v>17.12055755666109</v>
      </c>
      <c r="Z56" s="4" t="s">
        <v>986</v>
      </c>
      <c r="AA56" s="251">
        <f ca="1">AVERAGE(Z54,AB54)</f>
        <v>18.515212142218921</v>
      </c>
    </row>
    <row r="57" spans="1:31" x14ac:dyDescent="0.25">
      <c r="A57" s="651" t="s">
        <v>993</v>
      </c>
    </row>
    <row r="58" spans="1:31" x14ac:dyDescent="0.25"/>
    <row r="59" spans="1:31" x14ac:dyDescent="0.25"/>
    <row r="60" spans="1:31" x14ac:dyDescent="0.25"/>
    <row r="61" spans="1:31" x14ac:dyDescent="0.25"/>
    <row r="62" spans="1:31" x14ac:dyDescent="0.25"/>
  </sheetData>
  <mergeCells count="5">
    <mergeCell ref="AC42:AC43"/>
    <mergeCell ref="A4:C4"/>
    <mergeCell ref="J42:J43"/>
    <mergeCell ref="O42:O43"/>
    <mergeCell ref="X42:X4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N56"/>
  <sheetViews>
    <sheetView tabSelected="1" topLeftCell="B1" zoomScale="70" zoomScaleNormal="70" workbookViewId="0">
      <selection activeCell="K10" sqref="K10"/>
    </sheetView>
  </sheetViews>
  <sheetFormatPr defaultColWidth="0" defaultRowHeight="15" zeroHeight="1" x14ac:dyDescent="0.25"/>
  <cols>
    <col min="1" max="1" width="36.85546875" customWidth="1"/>
    <col min="2" max="2" width="23.28515625" customWidth="1"/>
    <col min="3" max="10" width="16.28515625" customWidth="1"/>
    <col min="11" max="13" width="20.42578125" customWidth="1"/>
    <col min="14" max="25" width="16.28515625" customWidth="1"/>
    <col min="26" max="28" width="21.5703125" customWidth="1"/>
    <col min="29" max="30" width="16.28515625" customWidth="1"/>
    <col min="31" max="37" width="11.85546875" customWidth="1"/>
    <col min="38" max="39" width="9.140625" customWidth="1"/>
    <col min="40" max="40" width="0" hidden="1" customWidth="1"/>
    <col min="41" max="16384" width="9.140625" hidden="1"/>
  </cols>
  <sheetData>
    <row r="1" spans="1:29" ht="28.5" x14ac:dyDescent="0.45">
      <c r="A1" s="102" t="s">
        <v>121</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row>
    <row r="2" spans="1:29" ht="21" x14ac:dyDescent="0.25">
      <c r="A2" s="60"/>
      <c r="B2" s="60"/>
      <c r="C2" s="60"/>
      <c r="D2" s="166" t="s">
        <v>452</v>
      </c>
      <c r="E2" s="166"/>
      <c r="F2" s="166"/>
      <c r="G2" s="166"/>
      <c r="H2" s="166"/>
      <c r="I2" s="166"/>
      <c r="J2" s="166"/>
      <c r="K2" s="166"/>
      <c r="L2" s="166"/>
      <c r="M2" s="166"/>
      <c r="N2" s="166"/>
      <c r="O2" s="166"/>
      <c r="P2" s="166"/>
      <c r="Q2" s="166"/>
      <c r="R2" s="166"/>
      <c r="S2" s="304" t="s">
        <v>224</v>
      </c>
      <c r="T2" s="304"/>
      <c r="U2" s="304"/>
      <c r="V2" s="304"/>
      <c r="W2" s="304"/>
      <c r="X2" s="304"/>
      <c r="Y2" s="304"/>
      <c r="Z2" s="304"/>
      <c r="AA2" s="304"/>
      <c r="AB2" s="304"/>
      <c r="AC2" s="304"/>
    </row>
    <row r="3" spans="1:29" ht="21" x14ac:dyDescent="0.35">
      <c r="A3" s="112" t="s">
        <v>392</v>
      </c>
      <c r="B3" s="357"/>
      <c r="C3" s="357"/>
      <c r="D3" s="228" t="s">
        <v>286</v>
      </c>
      <c r="E3" s="228"/>
      <c r="F3" s="228"/>
      <c r="G3" s="60"/>
      <c r="H3" s="60"/>
      <c r="I3" s="60"/>
      <c r="J3" s="60"/>
      <c r="K3" s="60"/>
      <c r="L3" s="60"/>
      <c r="M3" s="60"/>
      <c r="N3" s="60"/>
      <c r="O3" s="60"/>
      <c r="P3" s="60"/>
      <c r="Q3" s="60"/>
      <c r="R3" s="60"/>
      <c r="S3" s="228" t="s">
        <v>287</v>
      </c>
      <c r="T3" s="228"/>
      <c r="U3" s="228"/>
      <c r="V3" s="60"/>
      <c r="W3" s="60"/>
      <c r="X3" s="60"/>
      <c r="Y3" s="60"/>
      <c r="Z3" s="228"/>
      <c r="AA3" s="228"/>
      <c r="AB3" s="60"/>
      <c r="AC3" s="60"/>
    </row>
    <row r="4" spans="1:29" ht="21" x14ac:dyDescent="0.35">
      <c r="A4" s="112"/>
      <c r="B4" s="357"/>
      <c r="C4" s="357"/>
      <c r="D4" s="228" t="s">
        <v>277</v>
      </c>
      <c r="E4" s="228" t="s">
        <v>279</v>
      </c>
      <c r="F4" s="228" t="s">
        <v>278</v>
      </c>
      <c r="G4" s="60"/>
      <c r="H4" s="129" t="s">
        <v>314</v>
      </c>
      <c r="I4" s="130"/>
      <c r="J4" s="130"/>
      <c r="K4" s="60"/>
      <c r="L4" s="60"/>
      <c r="M4" s="60"/>
      <c r="N4" s="60"/>
      <c r="O4" s="60"/>
      <c r="P4" s="60"/>
      <c r="Q4" s="60"/>
      <c r="R4" s="60"/>
      <c r="S4" s="228" t="s">
        <v>277</v>
      </c>
      <c r="T4" s="228" t="s">
        <v>279</v>
      </c>
      <c r="U4" s="228" t="s">
        <v>278</v>
      </c>
      <c r="V4" s="60"/>
      <c r="W4" s="129" t="s">
        <v>314</v>
      </c>
      <c r="X4" s="130"/>
      <c r="Y4" s="130"/>
      <c r="Z4" s="228"/>
      <c r="AA4" s="228"/>
      <c r="AB4" s="60"/>
      <c r="AC4" s="60"/>
    </row>
    <row r="5" spans="1:29" ht="93.75" customHeight="1" x14ac:dyDescent="0.25">
      <c r="A5" s="61" t="s">
        <v>262</v>
      </c>
      <c r="B5" s="61"/>
      <c r="C5" s="61" t="s">
        <v>450</v>
      </c>
      <c r="D5" s="131" t="s">
        <v>274</v>
      </c>
      <c r="E5" s="131" t="s">
        <v>275</v>
      </c>
      <c r="F5" s="131" t="s">
        <v>276</v>
      </c>
      <c r="G5" s="131" t="s">
        <v>280</v>
      </c>
      <c r="H5" s="327" t="s">
        <v>259</v>
      </c>
      <c r="I5" s="327" t="s">
        <v>260</v>
      </c>
      <c r="J5" s="327" t="s">
        <v>261</v>
      </c>
      <c r="K5" s="131" t="s">
        <v>455</v>
      </c>
      <c r="L5" s="131" t="s">
        <v>281</v>
      </c>
      <c r="M5" s="131" t="s">
        <v>282</v>
      </c>
      <c r="N5" s="64"/>
      <c r="O5" s="64"/>
      <c r="P5" s="64"/>
      <c r="Q5" s="64"/>
      <c r="R5" s="64"/>
      <c r="S5" s="131" t="s">
        <v>274</v>
      </c>
      <c r="T5" s="131" t="s">
        <v>275</v>
      </c>
      <c r="U5" s="131" t="s">
        <v>276</v>
      </c>
      <c r="V5" s="131" t="s">
        <v>284</v>
      </c>
      <c r="W5" s="327" t="s">
        <v>259</v>
      </c>
      <c r="X5" s="327" t="s">
        <v>260</v>
      </c>
      <c r="Y5" s="327" t="s">
        <v>261</v>
      </c>
      <c r="Z5" s="131" t="s">
        <v>455</v>
      </c>
      <c r="AA5" s="131" t="s">
        <v>456</v>
      </c>
      <c r="AB5" s="131" t="s">
        <v>283</v>
      </c>
    </row>
    <row r="6" spans="1:29" x14ac:dyDescent="0.25">
      <c r="A6" s="9" t="s">
        <v>117</v>
      </c>
      <c r="B6" s="9"/>
      <c r="C6" s="9" t="s">
        <v>265</v>
      </c>
      <c r="D6" s="9">
        <v>290</v>
      </c>
      <c r="E6" s="9">
        <v>342</v>
      </c>
      <c r="F6" s="9">
        <v>544</v>
      </c>
      <c r="G6" s="362">
        <f t="shared" ref="G6:G15" si="0">D6+E6+F6</f>
        <v>1176</v>
      </c>
      <c r="H6" s="363">
        <f t="shared" ref="H6:J15" ca="1" si="1">INDEX(INDIRECT("SSW_WTPCore_DCE_"&amp;$C6&amp;"_Levels"),MATCH("COMBINED-HH",WTPCore_Group,0),MATCH(H$5,WTPCore_AttLevels,0))</f>
        <v>1.5217391304347827E-2</v>
      </c>
      <c r="I6" s="363">
        <f t="shared" ca="1" si="1"/>
        <v>8.5144927536231884E-3</v>
      </c>
      <c r="J6" s="363">
        <f t="shared" ca="1" si="1"/>
        <v>0</v>
      </c>
      <c r="K6" s="366">
        <f ca="1">H6*HHProps_SSW</f>
        <v>8400</v>
      </c>
      <c r="L6" s="366">
        <f t="shared" ref="L6:L11" ca="1" si="2">K6*3</f>
        <v>25200</v>
      </c>
      <c r="M6" s="221">
        <f ca="1">1000*G6/L6</f>
        <v>46.666666666666664</v>
      </c>
      <c r="N6" s="64"/>
      <c r="O6" s="64"/>
      <c r="P6" s="64"/>
      <c r="Q6" s="64"/>
      <c r="R6" s="64"/>
      <c r="S6" s="9">
        <v>94</v>
      </c>
      <c r="T6" s="32">
        <v>86</v>
      </c>
      <c r="U6" s="32"/>
      <c r="V6" s="362">
        <f t="shared" ref="V6:V15" si="3">S6+T6+U6</f>
        <v>180</v>
      </c>
      <c r="W6" s="8">
        <f t="shared" ref="W6:Y15" ca="1" si="4">INDEX(INDIRECT("CAM_WTPCore_"&amp;$C6&amp;"_Levels"),MATCH("COMBINED-HH",WTPCore_Group,0),MATCH(W$5,WTPCore_AttLevels,0))</f>
        <v>2.1374045801526718E-2</v>
      </c>
      <c r="X6" s="8">
        <f t="shared" ca="1" si="4"/>
        <v>1.0687022900763359E-2</v>
      </c>
      <c r="Y6" s="8">
        <f t="shared" ca="1" si="4"/>
        <v>0</v>
      </c>
      <c r="Z6" s="366">
        <f t="shared" ref="Z6:Z11" ca="1" si="5">W6*HHProps_CAM</f>
        <v>2800</v>
      </c>
      <c r="AA6" s="362">
        <f t="shared" ref="AA6:AA11" ca="1" si="6">Z6*2</f>
        <v>5600</v>
      </c>
      <c r="AB6" s="221">
        <f t="shared" ref="AB6:AB11" ca="1" si="7">1000*V6/AA6</f>
        <v>32.142857142857146</v>
      </c>
    </row>
    <row r="7" spans="1:29" x14ac:dyDescent="0.25">
      <c r="A7" s="9" t="s">
        <v>25</v>
      </c>
      <c r="B7" s="9"/>
      <c r="C7" s="9" t="s">
        <v>266</v>
      </c>
      <c r="D7" s="9">
        <v>1606</v>
      </c>
      <c r="E7" s="9">
        <v>1643</v>
      </c>
      <c r="F7" s="9">
        <v>2310</v>
      </c>
      <c r="G7" s="362">
        <f t="shared" si="0"/>
        <v>5559</v>
      </c>
      <c r="H7" s="363">
        <f t="shared" ca="1" si="1"/>
        <v>6.2681159420289859E-2</v>
      </c>
      <c r="I7" s="363">
        <f t="shared" ca="1" si="1"/>
        <v>3.1340579710144929E-2</v>
      </c>
      <c r="J7" s="363">
        <f t="shared" ca="1" si="1"/>
        <v>0</v>
      </c>
      <c r="K7" s="366">
        <f t="shared" ref="K6:K11" ca="1" si="8">H7*HHProps_SSW</f>
        <v>34600</v>
      </c>
      <c r="L7" s="366">
        <f t="shared" ca="1" si="2"/>
        <v>103800</v>
      </c>
      <c r="M7" s="221">
        <f t="shared" ref="M6:M11" ca="1" si="9">1000*G7/L7</f>
        <v>53.554913294797686</v>
      </c>
      <c r="N7" s="64"/>
      <c r="O7" s="64"/>
      <c r="P7" s="64"/>
      <c r="Q7" s="64"/>
      <c r="R7" s="64"/>
      <c r="S7" s="9">
        <v>197</v>
      </c>
      <c r="T7" s="32">
        <v>158</v>
      </c>
      <c r="U7" s="32"/>
      <c r="V7" s="362">
        <f t="shared" si="3"/>
        <v>355</v>
      </c>
      <c r="W7" s="8">
        <f t="shared" ca="1" si="4"/>
        <v>2.1374045801526718E-2</v>
      </c>
      <c r="X7" s="8">
        <f t="shared" ca="1" si="4"/>
        <v>1.0687022900763359E-2</v>
      </c>
      <c r="Y7" s="8">
        <f t="shared" ca="1" si="4"/>
        <v>0</v>
      </c>
      <c r="Z7" s="366">
        <f t="shared" ca="1" si="5"/>
        <v>2800</v>
      </c>
      <c r="AA7" s="362">
        <f t="shared" ca="1" si="6"/>
        <v>5600</v>
      </c>
      <c r="AB7" s="221">
        <f t="shared" ca="1" si="7"/>
        <v>63.392857142857146</v>
      </c>
    </row>
    <row r="8" spans="1:29" x14ac:dyDescent="0.25">
      <c r="A8" s="9" t="s">
        <v>81</v>
      </c>
      <c r="B8" s="9"/>
      <c r="C8" s="9" t="s">
        <v>267</v>
      </c>
      <c r="D8" s="9">
        <v>109</v>
      </c>
      <c r="E8" s="9">
        <v>103</v>
      </c>
      <c r="F8" s="9">
        <v>86</v>
      </c>
      <c r="G8" s="362">
        <f t="shared" si="0"/>
        <v>298</v>
      </c>
      <c r="H8" s="363">
        <f t="shared" ca="1" si="1"/>
        <v>0.33333333333333331</v>
      </c>
      <c r="I8" s="363">
        <f t="shared" ca="1" si="1"/>
        <v>0</v>
      </c>
      <c r="J8" s="363">
        <f t="shared" ca="1" si="1"/>
        <v>0</v>
      </c>
      <c r="K8" s="366">
        <f t="shared" ca="1" si="8"/>
        <v>184000</v>
      </c>
      <c r="L8" s="366">
        <f t="shared" ca="1" si="2"/>
        <v>552000</v>
      </c>
      <c r="M8" s="221">
        <f t="shared" ca="1" si="9"/>
        <v>0.53985507246376807</v>
      </c>
      <c r="N8" s="64"/>
      <c r="O8" s="64"/>
      <c r="P8" s="64"/>
      <c r="Q8" s="64"/>
      <c r="R8" s="64"/>
      <c r="S8" s="9">
        <v>94</v>
      </c>
      <c r="T8" s="32">
        <v>102</v>
      </c>
      <c r="U8" s="32"/>
      <c r="V8" s="362">
        <f t="shared" si="3"/>
        <v>196</v>
      </c>
      <c r="W8" s="8">
        <f t="shared" ca="1" si="4"/>
        <v>0.33333333333333331</v>
      </c>
      <c r="X8" s="8">
        <f t="shared" ca="1" si="4"/>
        <v>0</v>
      </c>
      <c r="Y8" s="8">
        <f t="shared" ca="1" si="4"/>
        <v>0</v>
      </c>
      <c r="Z8" s="366">
        <f t="shared" ca="1" si="5"/>
        <v>43666.666666666664</v>
      </c>
      <c r="AA8" s="362">
        <f t="shared" ca="1" si="6"/>
        <v>87333.333333333328</v>
      </c>
      <c r="AB8" s="221">
        <f t="shared" ca="1" si="7"/>
        <v>2.2442748091603053</v>
      </c>
    </row>
    <row r="9" spans="1:29" x14ac:dyDescent="0.25">
      <c r="A9" s="9" t="s">
        <v>82</v>
      </c>
      <c r="B9" s="9"/>
      <c r="C9" s="9" t="s">
        <v>268</v>
      </c>
      <c r="D9" s="9">
        <v>0</v>
      </c>
      <c r="E9" s="9">
        <v>2</v>
      </c>
      <c r="F9" s="9">
        <v>1</v>
      </c>
      <c r="G9" s="362">
        <f t="shared" si="0"/>
        <v>3</v>
      </c>
      <c r="H9" s="363">
        <f t="shared" ca="1" si="1"/>
        <v>1</v>
      </c>
      <c r="I9" s="363">
        <f t="shared" ca="1" si="1"/>
        <v>0</v>
      </c>
      <c r="J9" s="363">
        <f t="shared" ca="1" si="1"/>
        <v>0</v>
      </c>
      <c r="K9" s="366">
        <f t="shared" ca="1" si="8"/>
        <v>552000</v>
      </c>
      <c r="L9" s="366">
        <f t="shared" ca="1" si="2"/>
        <v>1656000</v>
      </c>
      <c r="M9" s="221">
        <f t="shared" ca="1" si="9"/>
        <v>1.8115942028985507E-3</v>
      </c>
      <c r="N9" s="64"/>
      <c r="O9" s="64"/>
      <c r="P9" s="64"/>
      <c r="Q9" s="64"/>
      <c r="R9" s="64"/>
      <c r="S9" s="9">
        <v>2</v>
      </c>
      <c r="T9" s="32">
        <v>1</v>
      </c>
      <c r="U9" s="32"/>
      <c r="V9" s="362">
        <f t="shared" si="3"/>
        <v>3</v>
      </c>
      <c r="W9" s="8">
        <f t="shared" ca="1" si="4"/>
        <v>1</v>
      </c>
      <c r="X9" s="8">
        <f t="shared" ca="1" si="4"/>
        <v>0</v>
      </c>
      <c r="Y9" s="8">
        <f t="shared" ca="1" si="4"/>
        <v>0</v>
      </c>
      <c r="Z9" s="366">
        <f t="shared" ca="1" si="5"/>
        <v>131000</v>
      </c>
      <c r="AA9" s="362">
        <f t="shared" ca="1" si="6"/>
        <v>262000</v>
      </c>
      <c r="AB9" s="221">
        <f t="shared" ca="1" si="7"/>
        <v>1.1450381679389313E-2</v>
      </c>
    </row>
    <row r="10" spans="1:29" x14ac:dyDescent="0.25">
      <c r="A10" s="9" t="s">
        <v>83</v>
      </c>
      <c r="B10" s="9"/>
      <c r="C10" s="9" t="s">
        <v>269</v>
      </c>
      <c r="D10" s="9">
        <v>4445</v>
      </c>
      <c r="E10" s="9">
        <v>4013</v>
      </c>
      <c r="F10" s="9">
        <v>4796</v>
      </c>
      <c r="G10" s="362">
        <f t="shared" si="0"/>
        <v>13254</v>
      </c>
      <c r="H10" s="363">
        <f t="shared" ca="1" si="1"/>
        <v>1.4492753623188406E-2</v>
      </c>
      <c r="I10" s="363">
        <f t="shared" ca="1" si="1"/>
        <v>7.246376811594203E-3</v>
      </c>
      <c r="J10" s="363">
        <f t="shared" ca="1" si="1"/>
        <v>0</v>
      </c>
      <c r="K10" s="366">
        <f ca="1">H10*HHProps_SSW</f>
        <v>8000</v>
      </c>
      <c r="L10" s="366">
        <f t="shared" ca="1" si="2"/>
        <v>24000</v>
      </c>
      <c r="M10" s="221">
        <f t="shared" ca="1" si="9"/>
        <v>552.25</v>
      </c>
      <c r="N10" s="64"/>
      <c r="O10" s="64"/>
      <c r="P10" s="64"/>
      <c r="Q10" s="64"/>
      <c r="R10" s="64"/>
      <c r="S10" s="9">
        <v>1597</v>
      </c>
      <c r="T10" s="32">
        <v>1171</v>
      </c>
      <c r="U10" s="32"/>
      <c r="V10" s="362">
        <f t="shared" si="3"/>
        <v>2768</v>
      </c>
      <c r="W10" s="8">
        <f t="shared" ca="1" si="4"/>
        <v>2.5190839694656488E-2</v>
      </c>
      <c r="X10" s="8">
        <f t="shared" ca="1" si="4"/>
        <v>1.2213740458015267E-2</v>
      </c>
      <c r="Y10" s="8">
        <f t="shared" ca="1" si="4"/>
        <v>0</v>
      </c>
      <c r="Z10" s="366">
        <f t="shared" ca="1" si="5"/>
        <v>3300</v>
      </c>
      <c r="AA10" s="362">
        <f t="shared" ca="1" si="6"/>
        <v>6600</v>
      </c>
      <c r="AB10" s="221">
        <f t="shared" ca="1" si="7"/>
        <v>419.39393939393938</v>
      </c>
    </row>
    <row r="11" spans="1:29" x14ac:dyDescent="0.25">
      <c r="A11" s="9" t="s">
        <v>85</v>
      </c>
      <c r="B11" s="9"/>
      <c r="C11" s="9" t="s">
        <v>270</v>
      </c>
      <c r="D11" s="9">
        <v>2239</v>
      </c>
      <c r="E11" s="9">
        <v>2404</v>
      </c>
      <c r="F11" s="9">
        <v>2694</v>
      </c>
      <c r="G11" s="362">
        <f t="shared" si="0"/>
        <v>7337</v>
      </c>
      <c r="H11" s="363">
        <f t="shared" ca="1" si="1"/>
        <v>0.10163043478260869</v>
      </c>
      <c r="I11" s="363">
        <f t="shared" ca="1" si="1"/>
        <v>5.0905797101449275E-2</v>
      </c>
      <c r="J11" s="363">
        <f t="shared" ca="1" si="1"/>
        <v>2.5362318840579712E-2</v>
      </c>
      <c r="K11" s="366">
        <f t="shared" ca="1" si="8"/>
        <v>56100</v>
      </c>
      <c r="L11" s="366">
        <f t="shared" ca="1" si="2"/>
        <v>168300</v>
      </c>
      <c r="M11" s="221">
        <f t="shared" ca="1" si="9"/>
        <v>43.594771241830067</v>
      </c>
      <c r="N11" s="64"/>
      <c r="O11" s="64"/>
      <c r="P11" s="64"/>
      <c r="Q11" s="64"/>
      <c r="R11" s="64"/>
      <c r="S11" s="9">
        <v>486</v>
      </c>
      <c r="T11" s="32">
        <v>541</v>
      </c>
      <c r="U11" s="32"/>
      <c r="V11" s="362">
        <f t="shared" si="3"/>
        <v>1027</v>
      </c>
      <c r="W11" s="8">
        <f t="shared" ca="1" si="4"/>
        <v>9.3129770992366412E-2</v>
      </c>
      <c r="X11" s="8">
        <f t="shared" ca="1" si="4"/>
        <v>4.6564885496183206E-2</v>
      </c>
      <c r="Y11" s="8">
        <f t="shared" ca="1" si="4"/>
        <v>2.2900763358778626E-2</v>
      </c>
      <c r="Z11" s="366">
        <f t="shared" ca="1" si="5"/>
        <v>12200</v>
      </c>
      <c r="AA11" s="362">
        <f t="shared" ca="1" si="6"/>
        <v>24400</v>
      </c>
      <c r="AB11" s="221">
        <f t="shared" ca="1" si="7"/>
        <v>42.090163934426229</v>
      </c>
    </row>
    <row r="12" spans="1:29" x14ac:dyDescent="0.25">
      <c r="A12" s="9" t="s">
        <v>111</v>
      </c>
      <c r="B12" s="9"/>
      <c r="C12" s="9" t="s">
        <v>271</v>
      </c>
      <c r="D12" s="9">
        <v>142</v>
      </c>
      <c r="E12" s="9">
        <v>158</v>
      </c>
      <c r="F12" s="9">
        <v>144</v>
      </c>
      <c r="G12" s="362">
        <f t="shared" si="0"/>
        <v>444</v>
      </c>
      <c r="H12" s="364">
        <f t="shared" ca="1" si="1"/>
        <v>608.33333333333337</v>
      </c>
      <c r="I12" s="364">
        <f t="shared" ca="1" si="1"/>
        <v>365</v>
      </c>
      <c r="J12" s="364">
        <f t="shared" ca="1" si="1"/>
        <v>243.33333333333334</v>
      </c>
      <c r="K12" s="366"/>
      <c r="L12" s="366"/>
      <c r="M12" s="221"/>
      <c r="N12" s="64"/>
      <c r="O12" s="64"/>
      <c r="P12" s="64"/>
      <c r="Q12" s="64"/>
      <c r="R12" s="64"/>
      <c r="S12" s="9">
        <v>48</v>
      </c>
      <c r="T12" s="32">
        <v>28</v>
      </c>
      <c r="U12" s="32"/>
      <c r="V12" s="362">
        <f t="shared" si="3"/>
        <v>76</v>
      </c>
      <c r="W12" s="419">
        <f t="shared" ca="1" si="4"/>
        <v>365</v>
      </c>
      <c r="X12" s="419">
        <f t="shared" ca="1" si="4"/>
        <v>243.33333333333334</v>
      </c>
      <c r="Y12" s="419">
        <f t="shared" ca="1" si="4"/>
        <v>121.66666666666667</v>
      </c>
      <c r="Z12" s="362"/>
      <c r="AA12" s="362"/>
      <c r="AB12" s="367"/>
    </row>
    <row r="13" spans="1:29" x14ac:dyDescent="0.25">
      <c r="A13" s="9" t="s">
        <v>84</v>
      </c>
      <c r="B13" s="9"/>
      <c r="C13" s="9" t="s">
        <v>272</v>
      </c>
      <c r="D13" s="9">
        <v>34</v>
      </c>
      <c r="E13" s="9">
        <v>25</v>
      </c>
      <c r="F13" s="9">
        <v>42</v>
      </c>
      <c r="G13" s="362">
        <f t="shared" si="0"/>
        <v>101</v>
      </c>
      <c r="H13" s="363">
        <f t="shared" ca="1" si="1"/>
        <v>1.2500000000000001E-2</v>
      </c>
      <c r="I13" s="363">
        <f t="shared" ca="1" si="1"/>
        <v>8.3333333333333332E-3</v>
      </c>
      <c r="J13" s="363">
        <f t="shared" ca="1" si="1"/>
        <v>0</v>
      </c>
      <c r="K13" s="366"/>
      <c r="L13" s="366"/>
      <c r="M13" s="221"/>
      <c r="N13" s="64"/>
      <c r="O13" s="64"/>
      <c r="P13" s="64"/>
      <c r="Q13" s="64"/>
      <c r="R13" s="64"/>
      <c r="S13" s="9">
        <v>4</v>
      </c>
      <c r="T13" s="32">
        <v>5</v>
      </c>
      <c r="U13" s="32"/>
      <c r="V13" s="362">
        <f t="shared" si="3"/>
        <v>9</v>
      </c>
      <c r="W13" s="8">
        <f t="shared" ca="1" si="4"/>
        <v>1.2500000000000001E-2</v>
      </c>
      <c r="X13" s="8">
        <f t="shared" ca="1" si="4"/>
        <v>8.3333333333333332E-3</v>
      </c>
      <c r="Y13" s="8">
        <f t="shared" ca="1" si="4"/>
        <v>0</v>
      </c>
      <c r="Z13" s="362"/>
      <c r="AA13" s="362"/>
      <c r="AB13" s="367"/>
    </row>
    <row r="14" spans="1:29" x14ac:dyDescent="0.25">
      <c r="A14" s="9" t="s">
        <v>101</v>
      </c>
      <c r="B14" s="9"/>
      <c r="C14" s="9" t="s">
        <v>3</v>
      </c>
      <c r="D14" s="9">
        <v>415</v>
      </c>
      <c r="E14" s="9">
        <v>438</v>
      </c>
      <c r="F14" s="9">
        <v>389</v>
      </c>
      <c r="G14" s="362">
        <f t="shared" si="0"/>
        <v>1242</v>
      </c>
      <c r="H14" s="365">
        <f ca="1">INDEX(INDIRECT("SSW_WTPCore_DCE_"&amp;$C14&amp;"_Levels"),MATCH("COMBINED-HH",WTPCore_Group,0),MATCH(H$5,WTPCore_AttLevels,0))</f>
        <v>70.5</v>
      </c>
      <c r="I14" s="365">
        <f t="shared" ca="1" si="1"/>
        <v>35.25</v>
      </c>
      <c r="J14" s="365">
        <f t="shared" ca="1" si="1"/>
        <v>17.625</v>
      </c>
      <c r="K14" s="366"/>
      <c r="L14" s="366"/>
      <c r="M14" s="221"/>
      <c r="N14" s="64"/>
      <c r="O14" s="64"/>
      <c r="P14" s="64"/>
      <c r="Q14" s="64"/>
      <c r="R14" s="64"/>
      <c r="S14" s="9">
        <v>188</v>
      </c>
      <c r="T14" s="32">
        <v>211</v>
      </c>
      <c r="U14" s="32"/>
      <c r="V14" s="362">
        <f t="shared" si="3"/>
        <v>399</v>
      </c>
      <c r="W14" s="124">
        <f ca="1">INDEX(INDIRECT("CAM_WTPCore_"&amp;$C14&amp;"_Levels"),MATCH("COMBINED-HH",WTPCore_Group,0),MATCH(W$5,WTPCore_AttLevels,0))</f>
        <v>13.5</v>
      </c>
      <c r="X14" s="124">
        <f t="shared" ca="1" si="4"/>
        <v>6.75</v>
      </c>
      <c r="Y14" s="124">
        <f t="shared" ca="1" si="4"/>
        <v>3.375</v>
      </c>
      <c r="Z14" s="362"/>
      <c r="AA14" s="362"/>
      <c r="AB14" s="367"/>
    </row>
    <row r="15" spans="1:29" x14ac:dyDescent="0.25">
      <c r="A15" s="9" t="s">
        <v>370</v>
      </c>
      <c r="B15" s="9"/>
      <c r="C15" s="9" t="s">
        <v>399</v>
      </c>
      <c r="D15" s="9">
        <v>102</v>
      </c>
      <c r="E15" s="9">
        <v>112</v>
      </c>
      <c r="F15" s="9">
        <v>130</v>
      </c>
      <c r="G15" s="362">
        <f t="shared" si="0"/>
        <v>344</v>
      </c>
      <c r="H15" s="568">
        <f ca="1">INDEX(INDIRECT("SSW_WTPCore_DCE_"&amp;$C15&amp;"_Levels"),MATCH("COMBINED-HH",WTPCore_Group,0),MATCH(H$5,WTPCore_AttLevels,0))</f>
        <v>1.2500000000000001E-2</v>
      </c>
      <c r="I15" s="568">
        <f t="shared" ca="1" si="1"/>
        <v>8.3333333333333332E-3</v>
      </c>
      <c r="J15" s="568">
        <f t="shared" ca="1" si="1"/>
        <v>0</v>
      </c>
      <c r="K15" s="366">
        <f ca="1">H15*HHProps_SSW</f>
        <v>6900</v>
      </c>
      <c r="L15" s="366">
        <f ca="1">K15*3</f>
        <v>20700</v>
      </c>
      <c r="M15" s="221">
        <f ca="1">1000*G15/L15</f>
        <v>16.618357487922705</v>
      </c>
      <c r="N15" s="64"/>
      <c r="O15" s="64"/>
      <c r="P15" s="64"/>
      <c r="Q15" s="64"/>
      <c r="R15" s="64"/>
      <c r="S15" s="9">
        <v>15</v>
      </c>
      <c r="T15" s="32">
        <v>20</v>
      </c>
      <c r="U15" s="32"/>
      <c r="V15" s="362">
        <f t="shared" si="3"/>
        <v>35</v>
      </c>
      <c r="W15" s="569">
        <f ca="1">INDEX(INDIRECT("CAM_WTPCore_"&amp;$C15&amp;"_Levels"),MATCH("COMBINED-HH",WTPCore_Group,0),MATCH(W$5,WTPCore_AttLevels,0))</f>
        <v>1.2500000000000001E-2</v>
      </c>
      <c r="X15" s="569">
        <f t="shared" ca="1" si="4"/>
        <v>8.3333333333333332E-3</v>
      </c>
      <c r="Y15" s="569">
        <f t="shared" ca="1" si="4"/>
        <v>0</v>
      </c>
      <c r="Z15" s="362">
        <f ca="1">W15*HHProps_CAM</f>
        <v>1637.5</v>
      </c>
      <c r="AA15" s="362">
        <f ca="1">Z15*2</f>
        <v>3275</v>
      </c>
      <c r="AB15" s="221">
        <f ca="1">1000*V15/AA15</f>
        <v>10.687022900763358</v>
      </c>
    </row>
    <row r="16" spans="1:29" x14ac:dyDescent="0.25">
      <c r="A16" s="61"/>
      <c r="B16" s="61"/>
      <c r="C16" s="61"/>
      <c r="D16" s="61"/>
      <c r="E16" s="61"/>
      <c r="F16" s="61"/>
      <c r="G16" s="61"/>
      <c r="H16" s="165"/>
      <c r="I16" s="165"/>
      <c r="J16" s="165"/>
      <c r="K16" s="4"/>
      <c r="L16" s="4"/>
      <c r="M16" s="35"/>
      <c r="N16" s="64"/>
      <c r="O16" s="64"/>
      <c r="P16" s="64"/>
      <c r="Q16" s="64"/>
      <c r="R16" s="64"/>
      <c r="S16" s="4"/>
      <c r="T16" s="4"/>
      <c r="U16" s="4"/>
      <c r="V16" s="4"/>
      <c r="W16" s="369"/>
      <c r="X16" s="369"/>
      <c r="Y16" s="251"/>
      <c r="Z16" s="4"/>
      <c r="AA16" s="4"/>
      <c r="AB16" s="368"/>
    </row>
    <row r="17" spans="1:38" x14ac:dyDescent="0.25">
      <c r="A17" s="60"/>
      <c r="B17" s="60"/>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row>
    <row r="18" spans="1:38" x14ac:dyDescent="0.25">
      <c r="A18" s="64"/>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row>
    <row r="19" spans="1:38" x14ac:dyDescent="0.25">
      <c r="A19" s="165" t="s">
        <v>227</v>
      </c>
      <c r="B19" s="64" t="s">
        <v>457</v>
      </c>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row>
    <row r="20" spans="1:38" x14ac:dyDescent="0.25">
      <c r="A20" s="64"/>
      <c r="B20" s="9" t="s">
        <v>285</v>
      </c>
      <c r="C20" s="64"/>
      <c r="D20" s="64"/>
      <c r="E20" s="64"/>
      <c r="F20" s="64"/>
      <c r="G20" s="64"/>
      <c r="H20" s="64"/>
      <c r="I20" s="64"/>
      <c r="J20" s="64"/>
      <c r="K20" s="359"/>
      <c r="L20" s="360"/>
      <c r="M20" s="64"/>
      <c r="N20" s="64"/>
      <c r="O20" s="64"/>
      <c r="P20" s="64"/>
      <c r="Q20" s="64"/>
      <c r="R20" s="64"/>
      <c r="S20" s="64"/>
      <c r="T20" s="64"/>
      <c r="U20" s="64"/>
      <c r="V20" s="64"/>
      <c r="W20" s="64"/>
      <c r="X20" s="64"/>
      <c r="Y20" s="64"/>
      <c r="Z20" s="64"/>
      <c r="AA20" s="64"/>
      <c r="AB20" s="64"/>
      <c r="AC20" s="64"/>
      <c r="AD20" s="64"/>
      <c r="AE20" s="64"/>
      <c r="AF20" s="64"/>
      <c r="AG20" s="64"/>
      <c r="AH20" s="64"/>
    </row>
    <row r="21" spans="1:38" x14ac:dyDescent="0.25">
      <c r="A21" s="64"/>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row>
    <row r="22" spans="1:38" ht="15.75" x14ac:dyDescent="0.25">
      <c r="A22" s="358"/>
      <c r="B22" s="358"/>
      <c r="C22" s="358"/>
      <c r="D22" s="358"/>
      <c r="E22" s="358"/>
      <c r="F22" s="358"/>
      <c r="G22" s="358"/>
      <c r="H22" s="358"/>
      <c r="I22" s="358"/>
      <c r="J22" s="358"/>
      <c r="K22" s="358"/>
      <c r="L22" s="358"/>
      <c r="M22" s="64"/>
      <c r="N22" s="64"/>
      <c r="O22" s="64"/>
      <c r="P22" s="64"/>
      <c r="Q22" s="64"/>
      <c r="R22" s="64"/>
      <c r="S22" s="64"/>
      <c r="T22" s="358"/>
      <c r="U22" s="64"/>
      <c r="V22" s="64"/>
      <c r="W22" s="64"/>
      <c r="X22" s="358"/>
      <c r="Y22" s="358"/>
      <c r="Z22" s="361"/>
      <c r="AA22" s="358"/>
      <c r="AB22" s="358"/>
      <c r="AC22" s="358"/>
      <c r="AD22" s="358"/>
      <c r="AE22" s="358"/>
      <c r="AF22" s="358"/>
      <c r="AG22" s="358"/>
      <c r="AH22" s="358"/>
    </row>
    <row r="23" spans="1:38" s="9" customFormat="1" x14ac:dyDescent="0.25">
      <c r="A23" s="60"/>
      <c r="B23" s="60"/>
      <c r="C23" s="60"/>
      <c r="D23" s="110"/>
      <c r="E23" s="110"/>
      <c r="F23" s="110"/>
      <c r="G23" s="110"/>
      <c r="H23" s="110"/>
      <c r="I23" s="110"/>
      <c r="J23" s="111"/>
      <c r="K23" s="110"/>
      <c r="L23" s="110"/>
      <c r="M23" s="110"/>
      <c r="N23" s="110"/>
      <c r="O23" s="110"/>
      <c r="P23" s="110"/>
      <c r="Q23" s="110"/>
      <c r="R23" s="110"/>
      <c r="S23" s="111"/>
      <c r="T23" s="110"/>
      <c r="U23" s="110"/>
      <c r="V23" s="110"/>
      <c r="W23" s="110"/>
      <c r="X23" s="110"/>
      <c r="Y23" s="111"/>
      <c r="Z23" s="110"/>
      <c r="AA23" s="110"/>
      <c r="AB23" s="110"/>
      <c r="AC23" s="110"/>
      <c r="AD23" s="60"/>
      <c r="AE23" s="60"/>
      <c r="AF23" s="60"/>
      <c r="AG23" s="60"/>
    </row>
    <row r="24" spans="1:38" s="9" customFormat="1" ht="19.5" x14ac:dyDescent="0.3">
      <c r="A24" s="112" t="s">
        <v>362</v>
      </c>
      <c r="B24" s="60"/>
      <c r="C24" s="60"/>
      <c r="D24" s="242"/>
      <c r="E24" s="241"/>
      <c r="F24" s="241"/>
      <c r="G24" s="241"/>
      <c r="H24" s="241"/>
      <c r="I24" s="241"/>
      <c r="J24" s="243"/>
      <c r="K24" s="110"/>
      <c r="L24" s="110"/>
      <c r="M24" s="110"/>
      <c r="N24" s="110"/>
      <c r="O24" s="110"/>
      <c r="P24" s="110"/>
      <c r="Q24" s="110"/>
      <c r="R24" s="110"/>
      <c r="S24" s="111"/>
      <c r="T24" s="110"/>
      <c r="U24" s="110"/>
      <c r="V24" s="110"/>
      <c r="W24" s="110"/>
      <c r="X24" s="110"/>
      <c r="Y24" s="243"/>
      <c r="Z24" s="110"/>
      <c r="AA24" s="110"/>
      <c r="AB24" s="110"/>
      <c r="AC24" s="110"/>
      <c r="AD24" s="60"/>
      <c r="AE24" s="60"/>
      <c r="AF24" s="60"/>
      <c r="AG24" s="60"/>
    </row>
    <row r="25" spans="1:38" s="9" customFormat="1" ht="15.75" customHeight="1" thickBot="1" x14ac:dyDescent="0.3">
      <c r="A25" s="60"/>
      <c r="B25" s="63"/>
      <c r="C25" s="245"/>
      <c r="D25" s="129" t="s">
        <v>988</v>
      </c>
      <c r="E25" s="193"/>
      <c r="F25" s="193"/>
      <c r="G25" s="129" t="s">
        <v>987</v>
      </c>
      <c r="H25" s="129"/>
      <c r="I25" s="130"/>
      <c r="J25" s="1014" t="s">
        <v>453</v>
      </c>
      <c r="K25" s="1013" t="s">
        <v>454</v>
      </c>
      <c r="L25" s="60"/>
      <c r="M25" s="60"/>
      <c r="N25" s="60"/>
      <c r="O25" s="60"/>
      <c r="P25" s="1013" t="s">
        <v>333</v>
      </c>
      <c r="Q25" s="60"/>
      <c r="R25" s="60"/>
      <c r="S25" s="129" t="s">
        <v>988</v>
      </c>
      <c r="T25" s="193"/>
      <c r="U25" s="193"/>
      <c r="V25" s="129" t="s">
        <v>987</v>
      </c>
      <c r="W25" s="129"/>
      <c r="X25" s="130"/>
      <c r="Y25" s="1014" t="s">
        <v>453</v>
      </c>
      <c r="Z25" s="1013" t="s">
        <v>454</v>
      </c>
      <c r="AA25" s="60"/>
      <c r="AB25" s="60"/>
      <c r="AC25" s="60"/>
      <c r="AD25" s="60"/>
      <c r="AE25" s="1013" t="s">
        <v>333</v>
      </c>
      <c r="AF25" s="60"/>
      <c r="AG25" s="60"/>
    </row>
    <row r="26" spans="1:38" s="65" customFormat="1" ht="30" customHeight="1" x14ac:dyDescent="0.25">
      <c r="A26" s="66" t="s">
        <v>382</v>
      </c>
      <c r="B26" s="66" t="s">
        <v>425</v>
      </c>
      <c r="C26" s="66" t="s">
        <v>450</v>
      </c>
      <c r="D26" s="340" t="s">
        <v>259</v>
      </c>
      <c r="E26" s="340" t="s">
        <v>260</v>
      </c>
      <c r="F26" s="340" t="s">
        <v>261</v>
      </c>
      <c r="G26" s="340" t="s">
        <v>313</v>
      </c>
      <c r="H26" s="340" t="s">
        <v>312</v>
      </c>
      <c r="I26" s="340" t="s">
        <v>311</v>
      </c>
      <c r="J26" s="1014"/>
      <c r="K26" s="1013"/>
      <c r="L26" s="811" t="s">
        <v>989</v>
      </c>
      <c r="M26" s="811" t="s">
        <v>990</v>
      </c>
      <c r="N26" s="811" t="s">
        <v>991</v>
      </c>
      <c r="O26" s="808" t="s">
        <v>992</v>
      </c>
      <c r="P26" s="1013"/>
      <c r="Q26" s="246" t="s">
        <v>368</v>
      </c>
      <c r="R26" s="372" t="s">
        <v>367</v>
      </c>
      <c r="S26" s="340" t="s">
        <v>259</v>
      </c>
      <c r="T26" s="340" t="s">
        <v>260</v>
      </c>
      <c r="U26" s="340" t="s">
        <v>261</v>
      </c>
      <c r="V26" s="340" t="s">
        <v>313</v>
      </c>
      <c r="W26" s="340" t="s">
        <v>312</v>
      </c>
      <c r="X26" s="340" t="s">
        <v>311</v>
      </c>
      <c r="Y26" s="1014"/>
      <c r="Z26" s="1013"/>
      <c r="AA26" s="811" t="s">
        <v>989</v>
      </c>
      <c r="AB26" s="811" t="s">
        <v>990</v>
      </c>
      <c r="AC26" s="811" t="s">
        <v>991</v>
      </c>
      <c r="AD26" s="808" t="s">
        <v>992</v>
      </c>
      <c r="AE26" s="1013"/>
      <c r="AF26" s="246" t="s">
        <v>368</v>
      </c>
      <c r="AG26" s="372" t="s">
        <v>367</v>
      </c>
    </row>
    <row r="27" spans="1:38" s="176" customFormat="1" x14ac:dyDescent="0.25">
      <c r="A27" s="9" t="str">
        <f>A6</f>
        <v>Taste and smell of water</v>
      </c>
      <c r="B27" s="9" t="s">
        <v>117</v>
      </c>
      <c r="C27" s="9" t="s">
        <v>265</v>
      </c>
      <c r="D27" s="570">
        <f ca="1">INDEX(INDIRECT("SSW_WTPCore2_"&amp;$C27&amp;"_Levels"),1,MATCH(D$26,WTPCore2_AttLevels,0))</f>
        <v>1.6666666666666666E-2</v>
      </c>
      <c r="E27" s="570"/>
      <c r="F27" s="570">
        <f ca="1">INDEX(INDIRECT("SSW_WTPCore2_"&amp;$C27&amp;"_Levels"),1,MATCH(F$26,WTPCore2_AttLevels,0))</f>
        <v>1.1111111111111112E-2</v>
      </c>
      <c r="G27" s="117">
        <f ca="1">INDEX(INDIRECT("SSW_WTPCore2_"&amp;$C27&amp;"_LevelValues"),1,MATCH("S1 MEAN",WTPCore2_LevelValues,0))</f>
        <v>0.30818609087835352</v>
      </c>
      <c r="H27" s="117">
        <f ca="1">INDEX(INDIRECT("SSW_WTPCore2_"&amp;$C27&amp;"_LevelValues"),1,MATCH("S2 MEAN",WTPCore2_LevelValues,0))</f>
        <v>0.18578205633963885</v>
      </c>
      <c r="I27" s="117">
        <f ca="1">SUM(G27:H27)</f>
        <v>0.49396814721799237</v>
      </c>
      <c r="J27" s="192">
        <f ca="1">VLOOKUP($A27,$A$5:$AB$15,COLUMN($M$5),0)</f>
        <v>46.666666666666664</v>
      </c>
      <c r="K27" s="370">
        <f ca="1">J27*(D27-F27)</f>
        <v>0.25925925925925919</v>
      </c>
      <c r="L27" s="579">
        <f ca="1">INDEX(INDIRECT("SSW_WTPCore_DCE_"&amp;$C27&amp;"_UnitValues"),MATCH("COMBINED-HH",WTPCore_Group,0),MATCH("MEAN",LMH,0))</f>
        <v>171.97536823750744</v>
      </c>
      <c r="M27" s="579">
        <f ca="1">L27*($D27-$F27)*(AllProps_SSW/HHProps_SSW)</f>
        <v>1.0194594594594593</v>
      </c>
      <c r="N27" s="117">
        <f ca="1">INDEX(INDIRECT("SSW_WTPCore2_"&amp;$C27&amp;"_UnitValues"),1,MATCH("MEAN",LMH,0))</f>
        <v>83.328820216603944</v>
      </c>
      <c r="O27" s="579">
        <f ca="1">N27*($D27-$F27)*(AllProps_SSW/HHProps_SSW)</f>
        <v>0.49396814721799231</v>
      </c>
      <c r="P27" s="579">
        <f ca="1">(K27/$K$32)*$N$33</f>
        <v>0.36892740264154383</v>
      </c>
      <c r="Q27" s="29" t="s">
        <v>369</v>
      </c>
      <c r="R27" s="373">
        <f ca="1">(P27*HHProps_SSW)/((D27-F27)*AllProps_SSW)</f>
        <v>62.235359467680475</v>
      </c>
      <c r="S27" s="42">
        <f ca="1">INDEX(INDIRECT("CAM_WTPCore2_"&amp;$C27&amp;"_Levels"),1,MATCH(S$26,WTPCore2_AttLevels,0))</f>
        <v>1.4285714285714285E-2</v>
      </c>
      <c r="T27" s="42"/>
      <c r="U27" s="42">
        <f ca="1">INDEX(INDIRECT("CAM_WTPCore2_"&amp;$C27&amp;"_Levels"),1,MATCH(U$26,WTPCore2_AttLevels,0))</f>
        <v>0.01</v>
      </c>
      <c r="V27" s="117">
        <f ca="1">INDEX(INDIRECT("CAM_WTPCore2_"&amp;$C27&amp;"_LevelValues"),1,MATCH("S1 MEAN",WTPCore2_LevelValues,0))</f>
        <v>4.7204807663126298E-2</v>
      </c>
      <c r="W27" s="117">
        <f ca="1">INDEX(INDIRECT("CAM_WTPCore2_"&amp;$C27&amp;"_LevelValues"),1,MATCH("S2 MEAN",WTPCore2_LevelValues,0))</f>
        <v>0.1217094578997745</v>
      </c>
      <c r="X27" s="117">
        <f ca="1">SUM(V27:W27)</f>
        <v>0.16891426556290079</v>
      </c>
      <c r="Y27" s="192">
        <f ca="1">VLOOKUP($A27,$A$5:$AB$15,COLUMN($AB$5),0)</f>
        <v>32.142857142857146</v>
      </c>
      <c r="Z27" s="370">
        <f ca="1">Y27*(S27-U27)</f>
        <v>0.13775510204081631</v>
      </c>
      <c r="AA27" s="579">
        <f ca="1">INDEX(INDIRECT("CAM_WTPCore_"&amp;$C27&amp;"_UnitValues"),MATCH("COMBINED-HH",WTPCore_Group,0),MATCH("MEAN",LMH,0))</f>
        <v>205.16697061803447</v>
      </c>
      <c r="AB27" s="579">
        <f ca="1">AA27*($S27-$U27)*(AllProps_CAM/HHProps_CAM)</f>
        <v>0.94640816326530608</v>
      </c>
      <c r="AC27" s="117">
        <f ca="1">INDEX(INDIRECT("CAM_WTPCore2_"&amp;$C27&amp;"_UnitValues"),1,MATCH("MEAN",LMH,0))</f>
        <v>36.618057097205678</v>
      </c>
      <c r="AD27" s="579">
        <f ca="1">AC27*($S27-$U27)*(AllProps_CAM/HHProps_CAM)</f>
        <v>0.16891426556290076</v>
      </c>
      <c r="AE27" s="14">
        <f ca="1">Z27*AC$33/Z$32</f>
        <v>0.22010412574846774</v>
      </c>
      <c r="AF27" s="29" t="s">
        <v>369</v>
      </c>
      <c r="AG27" s="373">
        <f ca="1">(AE27*HHProps_CAM)/((S27-U27)*AllProps_CAM)</f>
        <v>47.71524428164183</v>
      </c>
    </row>
    <row r="28" spans="1:38" s="176" customFormat="1" x14ac:dyDescent="0.25">
      <c r="A28" s="9" t="str">
        <f>A7</f>
        <v>Discoloured water</v>
      </c>
      <c r="B28" s="9" t="s">
        <v>25</v>
      </c>
      <c r="C28" s="9" t="s">
        <v>266</v>
      </c>
      <c r="D28" s="570">
        <f ca="1">INDEX(INDIRECT("SSW_WTPCore2_"&amp;$C28&amp;"_Levels"),1,MATCH(D$26,WTPCore2_AttLevels,0))</f>
        <v>6.6666666666666666E-2</v>
      </c>
      <c r="E28" s="570"/>
      <c r="F28" s="570">
        <f ca="1">INDEX(INDIRECT("SSW_WTPCore2_"&amp;$C28&amp;"_Levels"),1,MATCH(F$26,WTPCore2_AttLevels,0))</f>
        <v>0.04</v>
      </c>
      <c r="G28" s="117">
        <f ca="1">INDEX(INDIRECT("SSW_WTPCore2_"&amp;$C28&amp;"_LevelValues"),1,MATCH("S1 MEAN",WTPCore2_LevelValues,0))</f>
        <v>3.3679929677046498</v>
      </c>
      <c r="H28" s="117">
        <f ca="1">INDEX(INDIRECT("SSW_WTPCore2_"&amp;$C28&amp;"_LevelValues"),1,MATCH("S2 MEAN",WTPCore2_LevelValues,0))</f>
        <v>0.60669022375558512</v>
      </c>
      <c r="I28" s="117">
        <f ca="1">SUM(G28:H28)</f>
        <v>3.974683191460235</v>
      </c>
      <c r="J28" s="192">
        <f ca="1">VLOOKUP($A28,$A$5:$AA$15,COLUMN($M$5),0)</f>
        <v>53.554913294797686</v>
      </c>
      <c r="K28" s="370">
        <f ca="1">J28*(D28-F28)</f>
        <v>1.4281310211946048</v>
      </c>
      <c r="L28" s="579">
        <f ca="1">INDEX(INDIRECT("SSW_WTPCore_DCE_"&amp;$C28&amp;"_UnitValues"),MATCH("COMBINED-HH",WTPCore_Group,0),MATCH("MEAN",LMH,0))</f>
        <v>27.809917858229387</v>
      </c>
      <c r="M28" s="579">
        <f ca="1">L28*($D28-$F28)*(AllProps_SSW/HHProps_SSW)</f>
        <v>0.79130635838150276</v>
      </c>
      <c r="N28" s="117">
        <f ca="1">INDEX(INDIRECT("SSW_WTPCore2_"&amp;$C28&amp;"_UnitValues"),1,MATCH("MEAN",LMH,0))</f>
        <v>139.68750774741403</v>
      </c>
      <c r="O28" s="579">
        <f ca="1">N28*($D28-$F28)*(AllProps_SSW/HHProps_SSW)</f>
        <v>3.974683191460235</v>
      </c>
      <c r="P28" s="579">
        <f t="shared" ref="P28:P30" ca="1" si="10">(K28/$K$32)*$N$33</f>
        <v>2.0322385776558307</v>
      </c>
      <c r="Q28" s="29" t="s">
        <v>369</v>
      </c>
      <c r="R28" s="373">
        <f ca="1">(P28*HHProps_SSW)/((D28-F28)*AllProps_SSW)</f>
        <v>71.421627432047032</v>
      </c>
      <c r="S28" s="42">
        <f ca="1">INDEX(INDIRECT("CAM_WTPCore2_"&amp;$C28&amp;"_Levels"),1,MATCH(S$26,WTPCore2_AttLevels,0))</f>
        <v>2.2222222222222223E-2</v>
      </c>
      <c r="T28" s="42"/>
      <c r="U28" s="42">
        <f ca="1">INDEX(INDIRECT("CAM_WTPCore2_"&amp;$C28&amp;"_Levels"),1,MATCH(U$26,WTPCore2_AttLevels,0))</f>
        <v>1.5384615384615385E-2</v>
      </c>
      <c r="V28" s="117">
        <f ca="1">INDEX(INDIRECT("CAM_WTPCore2_"&amp;$C28&amp;"_LevelValues"),1,MATCH("S1 MEAN",WTPCore2_LevelValues,0))</f>
        <v>3.1155463151224057</v>
      </c>
      <c r="W28" s="117">
        <f ca="1">INDEX(INDIRECT("CAM_WTPCore2_"&amp;$C28&amp;"_LevelValues"),1,MATCH("S2 MEAN",WTPCore2_LevelValues,0))</f>
        <v>1.3419840000849801</v>
      </c>
      <c r="X28" s="117">
        <f ca="1">SUM(V28:W28)</f>
        <v>4.4575303152073857</v>
      </c>
      <c r="Y28" s="192">
        <f ca="1">VLOOKUP($A28,$A$5:$AB$15,COLUMN($AB$5),0)</f>
        <v>63.392857142857146</v>
      </c>
      <c r="Z28" s="370">
        <f ca="1">Y28*(S28-U28)</f>
        <v>0.43345543345543347</v>
      </c>
      <c r="AA28" s="579">
        <f ca="1">INDEX(INDIRECT("CAM_WTPCore_"&amp;$C28&amp;"_UnitValues"),MATCH("COMBINED-HH",WTPCore_Group,0),MATCH("MEAN",LMH,0))</f>
        <v>305.14240121580548</v>
      </c>
      <c r="AB28" s="579">
        <f ca="1">AA28*($S28-$U28)*(AllProps_CAM/HHProps_CAM)</f>
        <v>2.2457142857142856</v>
      </c>
      <c r="AC28" s="117">
        <f ca="1">INDEX(INDIRECT("CAM_WTPCore2_"&amp;$C28&amp;"_UnitValues"),1,MATCH("MEAN",LMH,0))</f>
        <v>605.67878671262065</v>
      </c>
      <c r="AD28" s="579">
        <f ca="1">AC28*($S28-$U28)*(AllProps_CAM/HHProps_CAM)</f>
        <v>4.4575303152073857</v>
      </c>
      <c r="AE28" s="14">
        <f t="shared" ref="AE28:AE30" ca="1" si="11">Z28*AC$33/Z$32</f>
        <v>0.69257201960739778</v>
      </c>
      <c r="AF28" s="29" t="s">
        <v>369</v>
      </c>
      <c r="AG28" s="373">
        <f ca="1">(AE28*HHProps_CAM)/((S28-U28)*AllProps_CAM)</f>
        <v>94.105065111015833</v>
      </c>
    </row>
    <row r="29" spans="1:38" s="176" customFormat="1" x14ac:dyDescent="0.25">
      <c r="A29" s="9" t="str">
        <f>A10</f>
        <v>Unexpected temporary loss of water supply</v>
      </c>
      <c r="B29" s="9" t="s">
        <v>83</v>
      </c>
      <c r="C29" s="9" t="s">
        <v>269</v>
      </c>
      <c r="D29" s="570">
        <f ca="1">INDEX(INDIRECT("SSW_WTPCore2_"&amp;$C29&amp;"_Levels"),1,MATCH(D$26,WTPCore2_AttLevels,0))</f>
        <v>1.4285714285714285E-2</v>
      </c>
      <c r="E29" s="570"/>
      <c r="F29" s="570">
        <f ca="1">INDEX(INDIRECT("SSW_WTPCore2_"&amp;$C29&amp;"_Levels"),1,MATCH(F$26,WTPCore2_AttLevels,0))</f>
        <v>9.5238095238095247E-3</v>
      </c>
      <c r="G29" s="117">
        <f ca="1">INDEX(INDIRECT("SSW_WTPCore2_"&amp;$C29&amp;"_LevelValues"),1,MATCH("S1 MEAN",WTPCore2_LevelValues,0))</f>
        <v>0.39718669024665654</v>
      </c>
      <c r="H29" s="117">
        <f ca="1">INDEX(INDIRECT("SSW_WTPCore2_"&amp;$C29&amp;"_LevelValues"),1,MATCH("S2 MEAN",WTPCore2_LevelValues,0))</f>
        <v>0.53859352958370721</v>
      </c>
      <c r="I29" s="117">
        <f ca="1">SUM(G29:H29)</f>
        <v>0.93578021983036375</v>
      </c>
      <c r="J29" s="192">
        <f ca="1">VLOOKUP($A29,$A$5:$AA$15,COLUMN($M$5),0)</f>
        <v>552.25</v>
      </c>
      <c r="K29" s="370">
        <f ca="1">J29*(D29-F29)</f>
        <v>2.6297619047619039</v>
      </c>
      <c r="L29" s="579">
        <f ca="1">INDEX(INDIRECT("SSW_WTPCore_DCE_"&amp;$C29&amp;"_UnitValues"),MATCH("COMBINED-HH",WTPCore_Group,0),MATCH("MEAN",LMH,0))</f>
        <v>160.37052631578945</v>
      </c>
      <c r="M29" s="579">
        <f ca="1">L29*($D29-$F29)*(AllProps_SSW/HHProps_SSW)</f>
        <v>0.8148571428571425</v>
      </c>
      <c r="N29" s="117">
        <f ca="1">INDEX(INDIRECT("SSW_WTPCore2_"&amp;$C29&amp;"_UnitValues"),1,MATCH("MEAN",LMH,0))</f>
        <v>184.16917331534088</v>
      </c>
      <c r="O29" s="579">
        <f ca="1">N29*($D29-$F29)*(AllProps_SSW/HHProps_SSW)</f>
        <v>0.93578021983036364</v>
      </c>
      <c r="P29" s="579">
        <f t="shared" ca="1" si="10"/>
        <v>3.74216616934517</v>
      </c>
      <c r="Q29" s="29" t="s">
        <v>369</v>
      </c>
      <c r="R29" s="373">
        <f ca="1">(P29*HHProps_SSW)/((D29-F29)*AllProps_SSW)</f>
        <v>736.48879855771179</v>
      </c>
      <c r="S29" s="42">
        <f ca="1">INDEX(INDIRECT("CAM_WTPCore2_"&amp;$C29&amp;"_Levels"),1,MATCH(S$26,WTPCore2_AttLevels,0))</f>
        <v>2.5000000000000001E-2</v>
      </c>
      <c r="T29" s="42"/>
      <c r="U29" s="42">
        <f ca="1">INDEX(INDIRECT("CAM_WTPCore2_"&amp;$C29&amp;"_Levels"),1,MATCH(U$26,WTPCore2_AttLevels,0))</f>
        <v>1.6666666666666666E-2</v>
      </c>
      <c r="V29" s="117">
        <f ca="1">INDEX(INDIRECT("CAM_WTPCore2_"&amp;$C29&amp;"_LevelValues"),1,MATCH("S1 MEAN",WTPCore2_LevelValues,0))</f>
        <v>5.3490671066612649E-2</v>
      </c>
      <c r="W29" s="117">
        <f ca="1">INDEX(INDIRECT("CAM_WTPCore2_"&amp;$C29&amp;"_LevelValues"),1,MATCH("S2 MEAN",WTPCore2_LevelValues,0))</f>
        <v>0.33457681646237136</v>
      </c>
      <c r="X29" s="117">
        <f ca="1">SUM(V29:W29)</f>
        <v>0.38806748752898401</v>
      </c>
      <c r="Y29" s="192">
        <f ca="1">VLOOKUP($A29,$A$5:$AB$15,COLUMN($AB$5),0)</f>
        <v>419.39393939393938</v>
      </c>
      <c r="Z29" s="370">
        <f ca="1">Y29*(S29-U29)</f>
        <v>3.4949494949494957</v>
      </c>
      <c r="AA29" s="579">
        <f ca="1">INDEX(INDIRECT("CAM_WTPCore_"&amp;$C29&amp;"_UnitValues"),MATCH("COMBINED-HH",WTPCore_Group,0),MATCH("MEAN",LMH,0))</f>
        <v>27.921526908635794</v>
      </c>
      <c r="AB29" s="579">
        <f ca="1">AA29*($S29-$U29)*(AllProps_CAM/HHProps_CAM)</f>
        <v>0.25044117647058822</v>
      </c>
      <c r="AC29" s="117">
        <f ca="1">INDEX(INDIRECT("CAM_WTPCore2_"&amp;$C29&amp;"_UnitValues"),1,MATCH("MEAN",LMH,0))</f>
        <v>43.265396481954809</v>
      </c>
      <c r="AD29" s="579">
        <f ca="1">AC29*($S29-$U29)*(AllProps_CAM/HHProps_CAM)</f>
        <v>0.38806748752898401</v>
      </c>
      <c r="AE29" s="14">
        <f t="shared" ca="1" si="11"/>
        <v>5.5842055337665899</v>
      </c>
      <c r="AF29" s="29" t="s">
        <v>369</v>
      </c>
      <c r="AG29" s="373">
        <f ca="1">(AE29*HHProps_CAM)/((S29-U29)*AllProps_CAM)</f>
        <v>622.57951057312607</v>
      </c>
    </row>
    <row r="30" spans="1:38" s="176" customFormat="1" ht="15.75" thickBot="1" x14ac:dyDescent="0.3">
      <c r="A30" s="9" t="str">
        <f>A15</f>
        <v>Water not safe to drink</v>
      </c>
      <c r="B30" s="9" t="s">
        <v>370</v>
      </c>
      <c r="C30" s="9" t="s">
        <v>399</v>
      </c>
      <c r="D30" s="570">
        <f ca="1">INDEX(INDIRECT("SSW_WTPCore2_"&amp;$C30&amp;"_Levels"),1,MATCH(D$26,WTPCore2_AttLevels,0))</f>
        <v>1.2500000000000001E-2</v>
      </c>
      <c r="E30" s="570"/>
      <c r="F30" s="570">
        <f ca="1">INDEX(INDIRECT("SSW_WTPCore2_"&amp;$C30&amp;"_Levels"),1,MATCH(F$26,WTPCore2_AttLevels,0))</f>
        <v>8.3333333333333332E-3</v>
      </c>
      <c r="G30" s="117">
        <f ca="1">INDEX(INDIRECT("SSW_WTPCore2_"&amp;$C30&amp;"_LevelValues"),1,MATCH("S1 MEAN",WTPCore2_LevelValues,0))</f>
        <v>0.88929876177631462</v>
      </c>
      <c r="H30" s="117">
        <f ca="1">INDEX(INDIRECT("SSW_WTPCore2_"&amp;$C30&amp;"_LevelValues"),1,MATCH("S2 MEAN",WTPCore2_LevelValues,0))</f>
        <v>0.22437782965097952</v>
      </c>
      <c r="I30" s="117">
        <f ca="1">SUM(G30:H30)</f>
        <v>1.1136765914272941</v>
      </c>
      <c r="J30" s="192">
        <f ca="1">VLOOKUP($A30,$A$5:$AA$15,COLUMN($M$5),0)</f>
        <v>16.618357487922705</v>
      </c>
      <c r="K30" s="370">
        <f ca="1">J30*(D30-F30)</f>
        <v>6.9243156199677955E-2</v>
      </c>
      <c r="L30" s="579">
        <f ca="1">INDEX(INDIRECT("SSW_WTPCore_DCE_"&amp;$C30&amp;"_UnitValues"),MATCH("COMBINED-HH",WTPCore_Group,0),MATCH("MEAN",LMH,0))</f>
        <v>751.24482173174863</v>
      </c>
      <c r="M30" s="579">
        <f ca="1">L30*($D30-$F30)*(AllProps_SSW/HHProps_SSW)</f>
        <v>3.3400000000000003</v>
      </c>
      <c r="N30" s="117">
        <f ca="1">INDEX(INDIRECT("SSW_WTPCore2_"&amp;$C30&amp;"_UnitValues"),1,MATCH("MEAN",LMH,0))</f>
        <v>250.4921474232392</v>
      </c>
      <c r="O30" s="579">
        <f ca="1">N30*($D30-$F30)*(AllProps_SSW/HHProps_SSW)</f>
        <v>1.1136765914272941</v>
      </c>
      <c r="P30" s="579">
        <f t="shared" ca="1" si="10"/>
        <v>9.8533405674449653E-2</v>
      </c>
      <c r="Q30" s="29" t="s">
        <v>369</v>
      </c>
      <c r="R30" s="374">
        <f ca="1">(P30*HHProps_SSW)/((D30-F30)*AllProps_SSW)</f>
        <v>22.162488257641915</v>
      </c>
      <c r="S30" s="42">
        <f ca="1">INDEX(INDIRECT("CAM_WTPCore2_"&amp;$C30&amp;"_Levels"),1,MATCH(S$26,WTPCore2_AttLevels,0))</f>
        <v>1.2500000000000001E-2</v>
      </c>
      <c r="T30" s="570"/>
      <c r="U30" s="42">
        <f ca="1">INDEX(INDIRECT("CAM_WTPCore2_"&amp;$C30&amp;"_Levels"),1,MATCH(U$26,WTPCore2_AttLevels,0))</f>
        <v>8.3333333333333332E-3</v>
      </c>
      <c r="V30" s="117">
        <f ca="1">INDEX(INDIRECT("CAM_WTPCore2_"&amp;$C30&amp;"_LevelValues"),1,MATCH("S1 MEAN",WTPCore2_LevelValues,0))</f>
        <v>1.0483009561625427</v>
      </c>
      <c r="W30" s="117">
        <f ca="1">INDEX(INDIRECT("CAM_WTPCore2_"&amp;$C30&amp;"_LevelValues"),1,MATCH("S2 MEAN",WTPCore2_LevelValues,0))</f>
        <v>1.4106837870846367</v>
      </c>
      <c r="X30" s="117">
        <f ca="1">SUM(V30:W30)</f>
        <v>2.4589847432471794</v>
      </c>
      <c r="Y30" s="192">
        <f ca="1">VLOOKUP($A30,$A$5:$AB$15,COLUMN($AB$5),0)</f>
        <v>10.687022900763358</v>
      </c>
      <c r="Z30" s="370">
        <f ca="1">Y30*(S30-U30)</f>
        <v>4.4529262086513997E-2</v>
      </c>
      <c r="AA30" s="579">
        <f ca="1">INDEX(INDIRECT("CAM_WTPCore_"&amp;$C30&amp;"_UnitValues"),MATCH("COMBINED-HH",WTPCore_Group,0),MATCH("MEAN",LMH,0))</f>
        <v>495.01276595744673</v>
      </c>
      <c r="AB30" s="579">
        <f ca="1">AA30*($S30-$U30)*(AllProps_CAM/HHProps_CAM)</f>
        <v>2.2200000000000002</v>
      </c>
      <c r="AC30" s="117">
        <f ca="1">INDEX(INDIRECT("CAM_WTPCore2_"&amp;$C30&amp;"_UnitValues"),1,MATCH("MEAN",LMH,0))</f>
        <v>548.30127891979646</v>
      </c>
      <c r="AD30" s="579">
        <f ca="1">AC30*($S30-$U30)*(AllProps_CAM/HHProps_CAM)</f>
        <v>2.458984743247179</v>
      </c>
      <c r="AE30" s="14">
        <f t="shared" ca="1" si="11"/>
        <v>7.1148539375859438E-2</v>
      </c>
      <c r="AF30" s="29" t="s">
        <v>369</v>
      </c>
      <c r="AG30" s="374">
        <f ca="1">(AE30*HHProps_CAM)/((S30-U30)*AllProps_CAM)</f>
        <v>15.864610482106528</v>
      </c>
    </row>
    <row r="31" spans="1:38" x14ac:dyDescent="0.25">
      <c r="A31" s="9"/>
      <c r="B31" s="9"/>
      <c r="C31" s="9"/>
      <c r="D31" s="9"/>
      <c r="E31" s="9"/>
      <c r="F31" s="9"/>
      <c r="G31" s="9"/>
      <c r="H31" s="9"/>
      <c r="L31" s="579"/>
      <c r="M31" s="579"/>
      <c r="N31" s="117"/>
      <c r="O31" s="579"/>
      <c r="Q31" s="64"/>
      <c r="R31" s="64"/>
      <c r="S31" s="9"/>
      <c r="T31" s="64"/>
      <c r="U31" s="64"/>
      <c r="V31" s="64"/>
      <c r="W31" s="9"/>
      <c r="AD31" s="9"/>
      <c r="AF31" s="9"/>
      <c r="AG31" s="9"/>
      <c r="AH31" s="9"/>
      <c r="AI31" s="9"/>
      <c r="AJ31" s="9"/>
      <c r="AK31" s="9"/>
      <c r="AL31" s="9"/>
    </row>
    <row r="32" spans="1:38" s="176" customFormat="1" x14ac:dyDescent="0.25">
      <c r="A32" s="177"/>
      <c r="B32" s="177"/>
      <c r="C32" s="177"/>
      <c r="D32" s="120"/>
      <c r="E32" s="120"/>
      <c r="F32" s="120"/>
      <c r="G32" s="121"/>
      <c r="H32" s="121"/>
      <c r="I32" s="120">
        <f ca="1">SUM(I27:I30)</f>
        <v>6.5181081499358857</v>
      </c>
      <c r="J32" s="371">
        <f ca="1">SUM(J27:J30)</f>
        <v>669.08993744938709</v>
      </c>
      <c r="K32" s="371">
        <f ca="1">SUM(K27:K30)</f>
        <v>4.3863953414154464</v>
      </c>
      <c r="L32" s="120"/>
      <c r="M32" s="40">
        <f ca="1">SUM(M27:M30)</f>
        <v>5.9656229606981048</v>
      </c>
      <c r="N32" s="39"/>
      <c r="O32" s="40">
        <f ca="1">SUM(O27:O30)</f>
        <v>6.5181081499358857</v>
      </c>
      <c r="P32" s="120">
        <f ca="1">SUM(P27:P30)</f>
        <v>6.2418655553169939</v>
      </c>
      <c r="Q32" s="39"/>
      <c r="R32" s="39"/>
      <c r="S32" s="38"/>
      <c r="T32" s="39"/>
      <c r="U32" s="39"/>
      <c r="V32" s="39"/>
      <c r="W32" s="40"/>
      <c r="X32" s="120">
        <f ca="1">SUM(X27:X30)</f>
        <v>7.4734968115464495</v>
      </c>
      <c r="Y32" s="371">
        <f ca="1">SUM(Y27:Y30)</f>
        <v>525.61667658041711</v>
      </c>
      <c r="Z32" s="371">
        <f ca="1">SUM(Z27:Z30)</f>
        <v>4.1106892925322596</v>
      </c>
      <c r="AA32" s="120"/>
      <c r="AB32" s="40">
        <f ca="1">SUM(AB27:AB30)</f>
        <v>5.6625636254501801</v>
      </c>
      <c r="AC32" s="40"/>
      <c r="AD32" s="120">
        <f ca="1">SUM(AD27:AD30)</f>
        <v>7.4734968115464486</v>
      </c>
      <c r="AE32" s="120">
        <f ca="1">SUM(AE27:AE30)</f>
        <v>6.5680302184983148</v>
      </c>
      <c r="AF32" s="177"/>
      <c r="AG32" s="177"/>
    </row>
    <row r="33" spans="1:38" x14ac:dyDescent="0.25">
      <c r="A33" s="9"/>
      <c r="B33" s="9"/>
      <c r="C33" s="9"/>
      <c r="D33" s="9"/>
      <c r="E33" s="9"/>
      <c r="F33" s="9"/>
      <c r="G33" s="9"/>
      <c r="H33" s="9"/>
      <c r="I33" s="9"/>
      <c r="J33" s="9"/>
      <c r="K33" s="9"/>
      <c r="L33" s="9"/>
      <c r="M33" s="4" t="s">
        <v>986</v>
      </c>
      <c r="N33" s="251">
        <f ca="1">AVERAGE(M32,O32)</f>
        <v>6.2418655553169948</v>
      </c>
      <c r="O33" s="64"/>
      <c r="P33" s="64"/>
      <c r="Q33" s="64"/>
      <c r="R33" s="64"/>
      <c r="S33" s="9"/>
      <c r="T33" s="64"/>
      <c r="U33" s="64"/>
      <c r="V33" s="64"/>
      <c r="W33" s="9"/>
      <c r="X33" s="9"/>
      <c r="Y33" s="9"/>
      <c r="Z33" s="9"/>
      <c r="AA33" s="9"/>
      <c r="AB33" s="4" t="s">
        <v>986</v>
      </c>
      <c r="AC33" s="251">
        <f ca="1">AVERAGE(AB32,AD32)</f>
        <v>6.5680302184983148</v>
      </c>
      <c r="AD33" s="9"/>
      <c r="AE33" s="9"/>
      <c r="AF33" s="9"/>
      <c r="AG33" s="9"/>
      <c r="AH33" s="9"/>
      <c r="AI33" s="9"/>
      <c r="AJ33" s="9"/>
      <c r="AK33" s="9"/>
      <c r="AL33" s="9"/>
    </row>
    <row r="34" spans="1:38" x14ac:dyDescent="0.25">
      <c r="A34" s="61" t="s">
        <v>262</v>
      </c>
      <c r="B34" s="61" t="s">
        <v>263</v>
      </c>
      <c r="C34" s="9"/>
      <c r="D34" s="9"/>
      <c r="E34" s="9"/>
      <c r="F34" s="9"/>
      <c r="G34" s="9"/>
      <c r="H34" s="9"/>
      <c r="I34" s="9"/>
      <c r="J34" s="9"/>
      <c r="K34" s="9"/>
      <c r="L34" s="9"/>
      <c r="M34" s="64"/>
      <c r="N34" s="64"/>
      <c r="O34" s="64"/>
      <c r="P34" s="64"/>
      <c r="Q34" s="64"/>
      <c r="R34" s="64"/>
      <c r="S34" s="9"/>
      <c r="T34" s="64"/>
      <c r="U34" s="64"/>
      <c r="V34" s="64"/>
      <c r="W34" s="9"/>
      <c r="X34" s="9"/>
      <c r="Y34" s="64"/>
      <c r="Z34" s="64"/>
      <c r="AA34" s="64"/>
      <c r="AB34" s="9"/>
      <c r="AC34" s="9"/>
      <c r="AD34" s="9"/>
      <c r="AE34" s="9"/>
      <c r="AF34" s="9"/>
      <c r="AG34" s="9"/>
      <c r="AH34" s="9"/>
      <c r="AI34" s="9"/>
      <c r="AJ34" s="9"/>
      <c r="AK34" s="9"/>
      <c r="AL34" s="9"/>
    </row>
    <row r="35" spans="1:38" x14ac:dyDescent="0.25">
      <c r="A35" s="9" t="s">
        <v>117</v>
      </c>
      <c r="B35" s="9" t="s">
        <v>90</v>
      </c>
      <c r="C35" s="9"/>
      <c r="D35" s="9"/>
      <c r="E35" s="9"/>
      <c r="F35" s="9"/>
      <c r="G35" s="9"/>
      <c r="H35" s="9"/>
      <c r="I35" s="9"/>
      <c r="J35" s="9"/>
      <c r="K35" s="9"/>
      <c r="L35" s="9"/>
      <c r="M35" s="64"/>
      <c r="N35" s="64"/>
      <c r="O35" s="64"/>
      <c r="P35" s="64"/>
      <c r="Q35" s="64"/>
      <c r="R35" s="64"/>
      <c r="S35" s="9"/>
      <c r="T35" s="64"/>
      <c r="U35" s="64"/>
      <c r="V35" s="64"/>
      <c r="W35" s="9"/>
      <c r="X35" s="9"/>
      <c r="Y35" s="64"/>
      <c r="Z35" s="64"/>
      <c r="AA35" s="64"/>
      <c r="AB35" s="9"/>
      <c r="AC35" s="9"/>
      <c r="AD35" s="9"/>
      <c r="AE35" s="9"/>
      <c r="AF35" s="9"/>
      <c r="AG35" s="9"/>
      <c r="AH35" s="9"/>
      <c r="AI35" s="9"/>
      <c r="AJ35" s="9"/>
      <c r="AK35" s="9"/>
      <c r="AL35" s="9"/>
    </row>
    <row r="36" spans="1:38" x14ac:dyDescent="0.25">
      <c r="A36" s="9" t="s">
        <v>25</v>
      </c>
      <c r="B36" s="9" t="s">
        <v>91</v>
      </c>
      <c r="C36" s="9"/>
      <c r="D36" s="9"/>
      <c r="E36" s="9"/>
      <c r="F36" s="9"/>
      <c r="G36" s="9"/>
      <c r="H36" s="9"/>
      <c r="I36" s="9"/>
      <c r="J36" s="9"/>
      <c r="K36" s="9"/>
      <c r="L36" s="9"/>
      <c r="M36" s="64"/>
      <c r="N36" s="64"/>
      <c r="O36" s="64"/>
      <c r="P36" s="64"/>
      <c r="Q36" s="64"/>
      <c r="R36" s="64"/>
      <c r="S36" s="9"/>
      <c r="T36" s="64"/>
      <c r="U36" s="64"/>
      <c r="V36" s="64"/>
      <c r="W36" s="9"/>
      <c r="X36" s="9"/>
      <c r="Y36" s="64"/>
      <c r="Z36" s="64"/>
      <c r="AA36" s="64"/>
      <c r="AB36" s="9"/>
      <c r="AC36" s="9"/>
      <c r="AD36" s="9"/>
      <c r="AE36" s="9"/>
      <c r="AF36" s="9"/>
      <c r="AG36" s="9"/>
      <c r="AH36" s="9"/>
      <c r="AI36" s="9"/>
      <c r="AJ36" s="9"/>
      <c r="AK36" s="9"/>
      <c r="AL36" s="9"/>
    </row>
    <row r="37" spans="1:38" x14ac:dyDescent="0.25">
      <c r="A37" s="9" t="s">
        <v>83</v>
      </c>
      <c r="B37" s="9" t="s">
        <v>94</v>
      </c>
      <c r="C37" s="9"/>
      <c r="D37" s="9"/>
      <c r="E37" s="9"/>
      <c r="F37" s="9"/>
      <c r="G37" s="9"/>
      <c r="H37" s="9"/>
      <c r="I37" s="9"/>
      <c r="J37" s="9"/>
      <c r="K37" s="9"/>
      <c r="L37" s="9"/>
      <c r="M37" s="64"/>
      <c r="N37" s="64"/>
      <c r="O37" s="64"/>
      <c r="P37" s="64"/>
      <c r="Q37" s="64"/>
      <c r="R37" s="64"/>
      <c r="S37" s="9"/>
      <c r="T37" s="64"/>
      <c r="U37" s="64"/>
      <c r="V37" s="64"/>
      <c r="W37" s="9"/>
      <c r="X37" s="9"/>
      <c r="Y37" s="64"/>
      <c r="Z37" s="64"/>
      <c r="AA37" s="64"/>
      <c r="AB37" s="9"/>
      <c r="AC37" s="9"/>
      <c r="AD37" s="9"/>
      <c r="AE37" s="9"/>
      <c r="AF37" s="9"/>
      <c r="AG37" s="9"/>
      <c r="AH37" s="9"/>
      <c r="AI37" s="9"/>
      <c r="AJ37" s="9"/>
      <c r="AK37" s="9"/>
      <c r="AL37" s="9"/>
    </row>
    <row r="38" spans="1:38" x14ac:dyDescent="0.25">
      <c r="A38" s="9" t="s">
        <v>370</v>
      </c>
      <c r="B38" s="9" t="s">
        <v>371</v>
      </c>
      <c r="C38" s="9"/>
      <c r="D38" s="9"/>
      <c r="E38" s="9"/>
      <c r="F38" s="9"/>
      <c r="G38" s="9"/>
      <c r="H38" s="9"/>
      <c r="I38" s="9"/>
      <c r="J38" s="9"/>
      <c r="K38" s="9"/>
      <c r="L38" s="9"/>
      <c r="M38" s="64"/>
      <c r="N38" s="64"/>
      <c r="O38" s="64"/>
      <c r="P38" s="64"/>
      <c r="Q38" s="64"/>
      <c r="R38" s="64"/>
      <c r="S38" s="9"/>
      <c r="T38" s="64"/>
      <c r="U38" s="64"/>
      <c r="V38" s="64"/>
      <c r="W38" s="9"/>
      <c r="X38" s="9"/>
      <c r="Y38" s="9"/>
      <c r="Z38" s="9"/>
      <c r="AA38" s="9"/>
      <c r="AB38" s="9"/>
      <c r="AC38" s="9"/>
      <c r="AD38" s="9"/>
      <c r="AE38" s="9"/>
      <c r="AF38" s="9"/>
      <c r="AG38" s="9"/>
      <c r="AH38" s="9"/>
      <c r="AI38" s="9"/>
      <c r="AJ38" s="9"/>
      <c r="AK38" s="9"/>
      <c r="AL38" s="9"/>
    </row>
    <row r="39" spans="1:38" x14ac:dyDescent="0.25">
      <c r="A39" s="7"/>
      <c r="B39" s="5"/>
      <c r="C39" s="5"/>
      <c r="D39" s="5"/>
      <c r="E39" s="5"/>
      <c r="F39" s="5"/>
      <c r="G39" s="5"/>
      <c r="H39" s="5"/>
      <c r="I39" s="5"/>
      <c r="J39" s="5"/>
      <c r="K39" s="5"/>
      <c r="L39" s="5"/>
      <c r="M39" s="10"/>
      <c r="N39" s="10"/>
      <c r="O39" s="10"/>
      <c r="P39" s="10"/>
      <c r="Q39" s="10"/>
      <c r="R39" s="10"/>
      <c r="S39" s="5"/>
      <c r="T39" s="10"/>
      <c r="U39" s="10"/>
      <c r="V39" s="10"/>
      <c r="W39" s="5"/>
      <c r="X39" s="5"/>
      <c r="Y39" s="5"/>
      <c r="Z39" s="5"/>
      <c r="AA39" s="5"/>
      <c r="AB39" s="5"/>
      <c r="AC39" s="5"/>
      <c r="AD39" s="5"/>
      <c r="AE39" s="5"/>
      <c r="AF39" s="5"/>
      <c r="AG39" s="5"/>
      <c r="AH39" s="5"/>
      <c r="AI39" s="5"/>
      <c r="AJ39" s="5"/>
      <c r="AK39" s="5"/>
      <c r="AL39" s="5"/>
    </row>
    <row r="40" spans="1:38" x14ac:dyDescent="0.25"/>
    <row r="41" spans="1:38" x14ac:dyDescent="0.25"/>
    <row r="42" spans="1:38" x14ac:dyDescent="0.25"/>
    <row r="43" spans="1:38" x14ac:dyDescent="0.25"/>
    <row r="44" spans="1:38" x14ac:dyDescent="0.25"/>
    <row r="45" spans="1:38" x14ac:dyDescent="0.25"/>
    <row r="46" spans="1:38" x14ac:dyDescent="0.25"/>
    <row r="47" spans="1:38" x14ac:dyDescent="0.25"/>
    <row r="48" spans="1:38" x14ac:dyDescent="0.25"/>
    <row r="49" x14ac:dyDescent="0.25"/>
    <row r="50" x14ac:dyDescent="0.25"/>
    <row r="51" x14ac:dyDescent="0.25"/>
    <row r="52" x14ac:dyDescent="0.25"/>
    <row r="53" x14ac:dyDescent="0.25"/>
    <row r="54" x14ac:dyDescent="0.25"/>
    <row r="55" x14ac:dyDescent="0.25"/>
    <row r="56" x14ac:dyDescent="0.25"/>
  </sheetData>
  <mergeCells count="6">
    <mergeCell ref="AE25:AE26"/>
    <mergeCell ref="J25:J26"/>
    <mergeCell ref="K25:K26"/>
    <mergeCell ref="Y25:Y26"/>
    <mergeCell ref="Z25:Z26"/>
    <mergeCell ref="P25:P2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T50"/>
  <sheetViews>
    <sheetView zoomScale="70" zoomScaleNormal="70" workbookViewId="0">
      <pane xSplit="1" ySplit="3" topLeftCell="B4" activePane="bottomRight" state="frozen"/>
      <selection pane="topRight"/>
      <selection pane="bottomLeft"/>
      <selection pane="bottomRight"/>
    </sheetView>
  </sheetViews>
  <sheetFormatPr defaultColWidth="0" defaultRowHeight="15" zeroHeight="1" x14ac:dyDescent="0.25"/>
  <cols>
    <col min="1" max="1" width="55.85546875" style="10" customWidth="1"/>
    <col min="2" max="2" width="27" style="10" customWidth="1"/>
    <col min="3" max="3" width="21.7109375" style="10" customWidth="1"/>
    <col min="4" max="9" width="13.5703125" style="10" customWidth="1"/>
    <col min="10" max="10" width="15" style="10" customWidth="1"/>
    <col min="11" max="15" width="17.140625" style="10" customWidth="1"/>
    <col min="16" max="16" width="17.28515625" style="10" customWidth="1"/>
    <col min="17" max="17" width="18.85546875" style="10" customWidth="1"/>
    <col min="18" max="18" width="17" style="10" customWidth="1"/>
    <col min="19" max="19" width="23.85546875" style="10" customWidth="1"/>
    <col min="20" max="25" width="13.140625" style="10" customWidth="1"/>
    <col min="26" max="26" width="15" style="10" customWidth="1"/>
    <col min="27" max="31" width="18" style="10" customWidth="1"/>
    <col min="32" max="32" width="21.28515625" style="10" customWidth="1"/>
    <col min="33" max="33" width="18.85546875" style="10" customWidth="1"/>
    <col min="34" max="34" width="17" style="10" customWidth="1"/>
    <col min="35" max="35" width="9.140625" style="10" customWidth="1"/>
    <col min="36" max="38" width="9.140625" style="10" hidden="1" customWidth="1"/>
    <col min="39" max="46" width="0" style="10" hidden="1" customWidth="1"/>
    <col min="47" max="16384" width="9.140625" style="10" hidden="1"/>
  </cols>
  <sheetData>
    <row r="1" spans="1:36" s="295" customFormat="1" ht="28.5" x14ac:dyDescent="0.45">
      <c r="A1" s="102" t="s">
        <v>120</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row>
    <row r="2" spans="1:36" ht="24" customHeight="1" x14ac:dyDescent="0.3">
      <c r="A2" s="420"/>
      <c r="B2" s="420"/>
      <c r="C2" s="166" t="s">
        <v>223</v>
      </c>
      <c r="D2" s="166"/>
      <c r="E2" s="166"/>
      <c r="F2" s="166"/>
      <c r="G2" s="166"/>
      <c r="H2" s="166"/>
      <c r="I2" s="166"/>
      <c r="J2" s="166"/>
      <c r="K2" s="166"/>
      <c r="L2" s="166"/>
      <c r="M2" s="166"/>
      <c r="N2" s="166"/>
      <c r="O2" s="166"/>
      <c r="P2" s="166"/>
      <c r="Q2" s="166"/>
      <c r="R2" s="166"/>
      <c r="S2" s="304" t="s">
        <v>224</v>
      </c>
      <c r="T2" s="304"/>
      <c r="U2" s="304"/>
      <c r="V2" s="304"/>
      <c r="W2" s="304"/>
      <c r="X2" s="304"/>
      <c r="Y2" s="304"/>
      <c r="Z2" s="304"/>
      <c r="AA2" s="304"/>
      <c r="AB2" s="304"/>
      <c r="AC2" s="304"/>
      <c r="AD2" s="304"/>
      <c r="AE2" s="304"/>
      <c r="AF2" s="304"/>
      <c r="AG2" s="304"/>
      <c r="AH2" s="304"/>
      <c r="AI2" s="64"/>
      <c r="AJ2" s="64"/>
    </row>
    <row r="3" spans="1:36" ht="16.5" customHeight="1" x14ac:dyDescent="0.3">
      <c r="A3" s="112" t="s">
        <v>152</v>
      </c>
      <c r="B3" s="420"/>
      <c r="C3" s="421"/>
      <c r="D3" s="193" t="s">
        <v>994</v>
      </c>
      <c r="E3" s="193"/>
      <c r="F3" s="193"/>
      <c r="G3" s="193" t="s">
        <v>995</v>
      </c>
      <c r="H3" s="422"/>
      <c r="I3" s="422"/>
      <c r="J3" s="430"/>
      <c r="K3" s="423"/>
      <c r="L3" s="423"/>
      <c r="M3" s="423"/>
      <c r="N3" s="423"/>
      <c r="O3" s="423"/>
      <c r="P3" s="423"/>
      <c r="Q3" s="422"/>
      <c r="R3" s="498"/>
      <c r="S3" s="425"/>
      <c r="T3" s="193" t="s">
        <v>994</v>
      </c>
      <c r="U3" s="193"/>
      <c r="V3" s="193"/>
      <c r="W3" s="193" t="s">
        <v>995</v>
      </c>
      <c r="X3" s="193"/>
      <c r="Y3" s="193"/>
      <c r="Z3" s="430"/>
      <c r="AA3" s="422"/>
      <c r="AB3" s="422"/>
      <c r="AC3" s="422"/>
      <c r="AD3" s="422"/>
      <c r="AE3" s="422"/>
      <c r="AF3" s="422"/>
      <c r="AG3" s="422"/>
      <c r="AH3" s="498"/>
      <c r="AI3" s="64"/>
      <c r="AJ3" s="64"/>
    </row>
    <row r="4" spans="1:36" ht="27.75" customHeight="1" x14ac:dyDescent="0.3">
      <c r="A4" s="112"/>
      <c r="B4" s="420"/>
      <c r="C4" s="352" t="s">
        <v>461</v>
      </c>
      <c r="D4" s="352" t="s">
        <v>259</v>
      </c>
      <c r="E4" s="352" t="s">
        <v>260</v>
      </c>
      <c r="F4" s="352" t="s">
        <v>261</v>
      </c>
      <c r="G4" s="352" t="s">
        <v>313</v>
      </c>
      <c r="H4" s="352" t="s">
        <v>312</v>
      </c>
      <c r="I4" s="352" t="s">
        <v>311</v>
      </c>
      <c r="J4" s="351" t="s">
        <v>463</v>
      </c>
      <c r="K4" s="352" t="s">
        <v>454</v>
      </c>
      <c r="L4" s="814" t="s">
        <v>989</v>
      </c>
      <c r="M4" s="814" t="s">
        <v>990</v>
      </c>
      <c r="N4" s="814" t="s">
        <v>991</v>
      </c>
      <c r="O4" s="808" t="s">
        <v>992</v>
      </c>
      <c r="P4" s="352" t="s">
        <v>333</v>
      </c>
      <c r="Q4" s="246" t="s">
        <v>368</v>
      </c>
      <c r="R4" s="316" t="s">
        <v>462</v>
      </c>
      <c r="S4" s="352" t="s">
        <v>461</v>
      </c>
      <c r="T4" s="352" t="s">
        <v>259</v>
      </c>
      <c r="U4" s="352" t="s">
        <v>260</v>
      </c>
      <c r="V4" s="352" t="s">
        <v>261</v>
      </c>
      <c r="W4" s="352" t="s">
        <v>313</v>
      </c>
      <c r="X4" s="352" t="s">
        <v>312</v>
      </c>
      <c r="Y4" s="352" t="s">
        <v>311</v>
      </c>
      <c r="Z4" s="351" t="s">
        <v>463</v>
      </c>
      <c r="AA4" s="352" t="s">
        <v>454</v>
      </c>
      <c r="AB4" s="808" t="s">
        <v>989</v>
      </c>
      <c r="AC4" s="808" t="s">
        <v>990</v>
      </c>
      <c r="AD4" s="808" t="s">
        <v>991</v>
      </c>
      <c r="AE4" s="808" t="s">
        <v>992</v>
      </c>
      <c r="AF4" s="352" t="s">
        <v>333</v>
      </c>
      <c r="AG4" s="246" t="s">
        <v>368</v>
      </c>
      <c r="AH4" s="316" t="s">
        <v>462</v>
      </c>
      <c r="AI4" s="64"/>
      <c r="AJ4" s="64"/>
    </row>
    <row r="5" spans="1:36" x14ac:dyDescent="0.25">
      <c r="A5" s="63" t="s">
        <v>467</v>
      </c>
      <c r="B5" s="115" t="s">
        <v>450</v>
      </c>
      <c r="C5" s="427" t="s">
        <v>492</v>
      </c>
      <c r="D5" s="113"/>
      <c r="E5" s="113"/>
      <c r="F5" s="113"/>
      <c r="G5" s="113"/>
      <c r="H5" s="113"/>
      <c r="I5" s="113"/>
      <c r="J5" s="244"/>
      <c r="K5" s="66"/>
      <c r="L5" s="66"/>
      <c r="M5" s="66"/>
      <c r="N5" s="66"/>
      <c r="O5" s="66"/>
      <c r="P5" s="66"/>
      <c r="Q5" s="246"/>
      <c r="R5" s="171"/>
      <c r="S5" s="434" t="s">
        <v>493</v>
      </c>
      <c r="T5" s="113"/>
      <c r="U5" s="113"/>
      <c r="V5" s="113"/>
      <c r="W5" s="113"/>
      <c r="X5" s="113"/>
      <c r="Y5" s="113"/>
      <c r="Z5" s="113"/>
      <c r="AA5" s="113"/>
      <c r="AB5" s="113"/>
      <c r="AC5" s="113"/>
      <c r="AD5" s="113"/>
      <c r="AE5" s="113"/>
      <c r="AF5" s="113"/>
      <c r="AG5" s="273"/>
      <c r="AH5" s="171"/>
      <c r="AI5" s="64"/>
      <c r="AJ5" s="64"/>
    </row>
    <row r="6" spans="1:36" x14ac:dyDescent="0.25">
      <c r="A6" s="9" t="s">
        <v>25</v>
      </c>
      <c r="B6" s="9" t="s">
        <v>266</v>
      </c>
      <c r="C6" s="276">
        <v>-0.13</v>
      </c>
      <c r="D6" s="435">
        <f ca="1">INDEX(INDIRECT("SSW_WTPCore2_"&amp;$B6&amp;"_Levels"),1,MATCH(D$4,WTPCore2_AttLevels,0))</f>
        <v>6.6666666666666666E-2</v>
      </c>
      <c r="E6" s="435"/>
      <c r="F6" s="435">
        <f ca="1">INDEX(INDIRECT("SSW_WTPCore2_"&amp;$B6&amp;"_Levels"),1,MATCH(F$4,WTPCore2_AttLevels,0))</f>
        <v>0.04</v>
      </c>
      <c r="G6" s="436">
        <f ca="1">INDEX(INDIRECT("SSW_WTPCore2_"&amp;$B6&amp;"_LevelValues"),1,MATCH("S1 MEAN",WTPCore2_LevelValues,0))</f>
        <v>3.3679929677046498</v>
      </c>
      <c r="H6" s="436">
        <f ca="1">INDEX(INDIRECT("SSW_WTPCore2_"&amp;$B6&amp;"_LevelValues"),1,MATCH("S2 MEAN",WTPCore2_LevelValues,0))</f>
        <v>0.60669022375558512</v>
      </c>
      <c r="I6" s="436">
        <f ca="1">SUM(G6:H6)</f>
        <v>3.974683191460235</v>
      </c>
      <c r="J6" s="190">
        <f>MAX(-C6,0)</f>
        <v>0.13</v>
      </c>
      <c r="K6" s="302">
        <f ca="1">100*J6*(D6-F6)</f>
        <v>0.34666666666666662</v>
      </c>
      <c r="L6" s="579">
        <f ca="1">INDEX(INDIRECT("SSW_WTPCore_DCE_"&amp;$B6&amp;"_UnitValues"),MATCH("COMBINED-HH",WTPCore_Group,0),MATCH("MEAN",LMH,0))</f>
        <v>27.809917858229387</v>
      </c>
      <c r="M6" s="579">
        <f ca="1">L6*($D6-$F6)*(AllProps_SSW/HHProps_SSW)</f>
        <v>0.79130635838150276</v>
      </c>
      <c r="N6" s="117">
        <f ca="1">INDEX(INDIRECT("SSW_WTPCore2_"&amp;$B6&amp;"_UnitValues"),1,MATCH("MEAN",LMH,0))</f>
        <v>139.68750774741403</v>
      </c>
      <c r="O6" s="579">
        <f ca="1">N6*($D6-$F6)*(AllProps_SSW/HHProps_SSW)</f>
        <v>3.974683191460235</v>
      </c>
      <c r="P6" s="436">
        <f ca="1">K6*N$13/K$12</f>
        <v>1.2635029703945839</v>
      </c>
      <c r="Q6" s="418" t="s">
        <v>369</v>
      </c>
      <c r="R6" s="499">
        <f ca="1">(P6*HHProps_SSW)/((D6-F6)*AllProps_SSW)</f>
        <v>44.404943102152615</v>
      </c>
      <c r="S6" s="157">
        <v>-0.38</v>
      </c>
      <c r="T6" s="435">
        <f ca="1">INDEX(INDIRECT("CAM_WTPCore2_"&amp;$B6&amp;"_Levels"),1,MATCH(T$4,WTPCore2_AttLevels,0))</f>
        <v>2.2222222222222223E-2</v>
      </c>
      <c r="U6" s="435"/>
      <c r="V6" s="435">
        <f ca="1">INDEX(INDIRECT("CAM_WTPCore2_"&amp;$B6&amp;"_Levels"),1,MATCH(V$4,WTPCore2_AttLevels,0))</f>
        <v>1.5384615384615385E-2</v>
      </c>
      <c r="W6" s="436">
        <f ca="1">INDEX(INDIRECT("CAM_WTPCore2_"&amp;$B6&amp;"_LevelValues"),1,MATCH("S1 MEAN",WTPCore2_LevelValues,0))</f>
        <v>3.1155463151224057</v>
      </c>
      <c r="X6" s="436">
        <f ca="1">INDEX(INDIRECT("CAM_WTPCore2_"&amp;$B6&amp;"_LevelValues"),1,MATCH("S2 MEAN",WTPCore2_LevelValues,0))</f>
        <v>1.3419840000849801</v>
      </c>
      <c r="Y6" s="436">
        <f ca="1">SUM(W6:X6)</f>
        <v>4.4575303152073857</v>
      </c>
      <c r="Z6" s="98">
        <f>MAX(-S6,0)</f>
        <v>0.38</v>
      </c>
      <c r="AA6" s="302">
        <f ca="1">100*Z6*(T6-V6)</f>
        <v>0.25982905982905985</v>
      </c>
      <c r="AB6" s="579">
        <f ca="1">INDEX(INDIRECT("CAM_WTPCore_"&amp;$B6&amp;"_UnitValues"),MATCH("COMBINED-HH",WTPCore_Group,0),MATCH("MEAN",LMH,0))</f>
        <v>305.14240121580548</v>
      </c>
      <c r="AC6" s="579">
        <f ca="1">AB6*($T6-$V6)*(AllProps_CAM/HHProps_CAM)</f>
        <v>2.2457142857142856</v>
      </c>
      <c r="AD6" s="117">
        <f ca="1">INDEX(INDIRECT("CAM_WTPCore2_"&amp;$B6&amp;"_UnitValues"),1,MATCH("MEAN",LMH,0))</f>
        <v>605.67878671262065</v>
      </c>
      <c r="AE6" s="579">
        <f ca="1">AD6*($T6-$V6)*(AllProps_CAM/HHProps_CAM)</f>
        <v>4.4575303152073857</v>
      </c>
      <c r="AF6" s="436">
        <f ca="1">AA6*AE$13/AA$12</f>
        <v>1.4772252749934793</v>
      </c>
      <c r="AG6" s="418" t="s">
        <v>369</v>
      </c>
      <c r="AH6" s="499">
        <f ca="1">(AF6*HHProps_CAM)/((T6-V6)*AllProps_CAM)</f>
        <v>200.72191303036399</v>
      </c>
      <c r="AI6" s="64"/>
      <c r="AJ6" s="64"/>
    </row>
    <row r="7" spans="1:36" x14ac:dyDescent="0.25">
      <c r="A7" s="9" t="s">
        <v>458</v>
      </c>
      <c r="B7" s="9" t="s">
        <v>265</v>
      </c>
      <c r="C7" s="276">
        <v>-0.32</v>
      </c>
      <c r="D7" s="435">
        <f ca="1">INDEX(INDIRECT("SSW_WTPCore2_"&amp;$B7&amp;"_Levels"),1,MATCH(D$4,WTPCore2_AttLevels,0))</f>
        <v>1.6666666666666666E-2</v>
      </c>
      <c r="E7" s="435"/>
      <c r="F7" s="435">
        <f ca="1">INDEX(INDIRECT("SSW_WTPCore2_"&amp;$B7&amp;"_Levels"),1,MATCH(F$4,WTPCore2_AttLevels,0))</f>
        <v>1.1111111111111112E-2</v>
      </c>
      <c r="G7" s="436">
        <f ca="1">INDEX(INDIRECT("SSW_WTPCore2_"&amp;$B7&amp;"_LevelValues"),1,MATCH("S1 MEAN",WTPCore2_LevelValues,0))</f>
        <v>0.30818609087835352</v>
      </c>
      <c r="H7" s="436">
        <f ca="1">INDEX(INDIRECT("SSW_WTPCore2_"&amp;$B7&amp;"_LevelValues"),1,MATCH("S2 MEAN",WTPCore2_LevelValues,0))</f>
        <v>0.18578205633963885</v>
      </c>
      <c r="I7" s="436">
        <f ca="1">SUM(G7:H7)</f>
        <v>0.49396814721799237</v>
      </c>
      <c r="J7" s="190">
        <f>MAX(-C7,0)</f>
        <v>0.32</v>
      </c>
      <c r="K7" s="302">
        <f ca="1">100*J7*(D7-F7)</f>
        <v>0.17777777777777776</v>
      </c>
      <c r="L7" s="579">
        <f ca="1">INDEX(INDIRECT("SSW_WTPCore_DCE_"&amp;$B7&amp;"_UnitValues"),MATCH("COMBINED-HH",WTPCore_Group,0),MATCH("MEAN",LMH,0))</f>
        <v>171.97536823750744</v>
      </c>
      <c r="M7" s="579">
        <f ca="1">L7*($D7-$F7)*(AllProps_SSW/HHProps_SSW)</f>
        <v>1.0194594594594593</v>
      </c>
      <c r="N7" s="117">
        <f ca="1">INDEX(INDIRECT("SSW_WTPCore2_"&amp;$B7&amp;"_UnitValues"),1,MATCH("MEAN",LMH,0))</f>
        <v>83.328820216603944</v>
      </c>
      <c r="O7" s="579">
        <f ca="1">N7*($D7-$F7)*(AllProps_SSW/HHProps_SSW)</f>
        <v>0.49396814721799231</v>
      </c>
      <c r="P7" s="436">
        <f t="shared" ref="P7:P9" ca="1" si="0">K7*N$13/K$12</f>
        <v>0.64795024122799183</v>
      </c>
      <c r="Q7" s="418" t="s">
        <v>369</v>
      </c>
      <c r="R7" s="499">
        <f ca="1">(P7*HHProps_SSW)/((D7-F7)*AllProps_SSW)</f>
        <v>109.30447532837569</v>
      </c>
      <c r="S7" s="276">
        <v>-7.0000000000000007E-2</v>
      </c>
      <c r="T7" s="435">
        <f ca="1">INDEX(INDIRECT("CAM_WTPCore2_"&amp;$B7&amp;"_Levels"),1,MATCH(T$4,WTPCore2_AttLevels,0))</f>
        <v>1.4285714285714285E-2</v>
      </c>
      <c r="U7" s="435"/>
      <c r="V7" s="435">
        <f ca="1">INDEX(INDIRECT("CAM_WTPCore2_"&amp;$B7&amp;"_Levels"),1,MATCH(V$4,WTPCore2_AttLevels,0))</f>
        <v>0.01</v>
      </c>
      <c r="W7" s="436">
        <f ca="1">INDEX(INDIRECT("CAM_WTPCore2_"&amp;$B7&amp;"_LevelValues"),1,MATCH("S1 MEAN",WTPCore2_LevelValues,0))</f>
        <v>4.7204807663126298E-2</v>
      </c>
      <c r="X7" s="436">
        <f ca="1">INDEX(INDIRECT("CAM_WTPCore2_"&amp;$B7&amp;"_LevelValues"),1,MATCH("S2 MEAN",WTPCore2_LevelValues,0))</f>
        <v>0.1217094578997745</v>
      </c>
      <c r="Y7" s="436">
        <f ca="1">SUM(W7:X7)</f>
        <v>0.16891426556290079</v>
      </c>
      <c r="Z7" s="190">
        <f>MAX(-S7,0)</f>
        <v>7.0000000000000007E-2</v>
      </c>
      <c r="AA7" s="302">
        <f ca="1">100*Z7*(T7-V7)</f>
        <v>0.03</v>
      </c>
      <c r="AB7" s="579">
        <f ca="1">INDEX(INDIRECT("CAM_WTPCore_"&amp;$B7&amp;"_UnitValues"),MATCH("COMBINED-HH",WTPCore_Group,0),MATCH("MEAN",LMH,0))</f>
        <v>205.16697061803447</v>
      </c>
      <c r="AC7" s="579">
        <f ca="1">AB7*($T7-$V7)*(AllProps_CAM/HHProps_CAM)</f>
        <v>0.94640816326530608</v>
      </c>
      <c r="AD7" s="117">
        <f ca="1">INDEX(INDIRECT("CAM_WTPCore2_"&amp;$B7&amp;"_UnitValues"),1,MATCH("MEAN",LMH,0))</f>
        <v>36.618057097205678</v>
      </c>
      <c r="AE7" s="579">
        <f ca="1">AD7*($T7-$V7)*(AllProps_CAM/HHProps_CAM)</f>
        <v>0.16891426556290076</v>
      </c>
      <c r="AF7" s="436">
        <f t="shared" ref="AF7:AF9" ca="1" si="1">AA7*AE$13/AA$12</f>
        <v>0.17056120773773395</v>
      </c>
      <c r="AG7" s="418" t="s">
        <v>369</v>
      </c>
      <c r="AH7" s="499">
        <f ca="1">(AF7*HHProps_CAM)/((T7-V7)*AllProps_CAM)</f>
        <v>36.975089242435473</v>
      </c>
      <c r="AI7" s="64"/>
      <c r="AJ7" s="64"/>
    </row>
    <row r="8" spans="1:36" x14ac:dyDescent="0.25">
      <c r="A8" s="239" t="s">
        <v>153</v>
      </c>
      <c r="B8" s="239" t="s">
        <v>269</v>
      </c>
      <c r="C8" s="559">
        <v>0.1</v>
      </c>
      <c r="D8" s="435">
        <f ca="1">INDEX(INDIRECT("SSW_WTPCore2_"&amp;$B8&amp;"_Levels"),1,MATCH(D$4,WTPCore2_AttLevels,0))</f>
        <v>1.4285714285714285E-2</v>
      </c>
      <c r="E8" s="435"/>
      <c r="F8" s="435">
        <f ca="1">INDEX(INDIRECT("SSW_WTPCore2_"&amp;$B8&amp;"_Levels"),1,MATCH(F$4,WTPCore2_AttLevels,0))</f>
        <v>9.5238095238095247E-3</v>
      </c>
      <c r="G8" s="436">
        <f ca="1">INDEX(INDIRECT("SSW_WTPCore2_"&amp;$B8&amp;"_LevelValues"),1,MATCH("S1 MEAN",WTPCore2_LevelValues,0))</f>
        <v>0.39718669024665654</v>
      </c>
      <c r="H8" s="436">
        <f ca="1">INDEX(INDIRECT("SSW_WTPCore2_"&amp;$B8&amp;"_LevelValues"),1,MATCH("S2 MEAN",WTPCore2_LevelValues,0))</f>
        <v>0.53859352958370721</v>
      </c>
      <c r="I8" s="436">
        <f ca="1">SUM(G8:H8)</f>
        <v>0.93578021983036375</v>
      </c>
      <c r="J8" s="433">
        <f>MAX(-C8,0)</f>
        <v>0</v>
      </c>
      <c r="K8" s="302">
        <f ca="1">100*J8*(D8-F8)</f>
        <v>0</v>
      </c>
      <c r="L8" s="579">
        <f ca="1">INDEX(INDIRECT("SSW_WTPCore_DCE_"&amp;$B8&amp;"_UnitValues"),MATCH("COMBINED-HH",WTPCore_Group,0),MATCH("MEAN",LMH,0))</f>
        <v>160.37052631578945</v>
      </c>
      <c r="M8" s="579">
        <f ca="1">L8*($D8-$F8)*(AllProps_SSW/HHProps_SSW)</f>
        <v>0.8148571428571425</v>
      </c>
      <c r="N8" s="117">
        <f ca="1">INDEX(INDIRECT("SSW_WTPCore2_"&amp;$B8&amp;"_UnitValues"),1,MATCH("MEAN",LMH,0))</f>
        <v>184.16917331534088</v>
      </c>
      <c r="O8" s="579">
        <f ca="1">N8*($D8-$F8)*(AllProps_SSW/HHProps_SSW)</f>
        <v>0.93578021983036364</v>
      </c>
      <c r="P8" s="436">
        <f t="shared" ca="1" si="0"/>
        <v>0</v>
      </c>
      <c r="Q8" s="418" t="s">
        <v>369</v>
      </c>
      <c r="R8" s="499">
        <f ca="1">(P8*HHProps_SSW)/((D8-F8)*AllProps_SSW)</f>
        <v>0</v>
      </c>
      <c r="S8" s="157">
        <v>-0.27</v>
      </c>
      <c r="T8" s="435">
        <f ca="1">INDEX(INDIRECT("CAM_WTPCore2_"&amp;$B8&amp;"_Levels"),1,MATCH(T$4,WTPCore2_AttLevels,0))</f>
        <v>2.5000000000000001E-2</v>
      </c>
      <c r="U8" s="435"/>
      <c r="V8" s="435">
        <f ca="1">INDEX(INDIRECT("CAM_WTPCore2_"&amp;$B8&amp;"_Levels"),1,MATCH(V$4,WTPCore2_AttLevels,0))</f>
        <v>1.6666666666666666E-2</v>
      </c>
      <c r="W8" s="436">
        <f ca="1">INDEX(INDIRECT("CAM_WTPCore2_"&amp;$B8&amp;"_LevelValues"),1,MATCH("S1 MEAN",WTPCore2_LevelValues,0))</f>
        <v>5.3490671066612649E-2</v>
      </c>
      <c r="X8" s="436">
        <f ca="1">INDEX(INDIRECT("CAM_WTPCore2_"&amp;$B8&amp;"_LevelValues"),1,MATCH("S2 MEAN",WTPCore2_LevelValues,0))</f>
        <v>0.33457681646237136</v>
      </c>
      <c r="Y8" s="436">
        <f ca="1">SUM(W8:X8)</f>
        <v>0.38806748752898401</v>
      </c>
      <c r="Z8" s="190">
        <f>MAX(-S8,0)</f>
        <v>0.27</v>
      </c>
      <c r="AA8" s="302">
        <f ca="1">100*Z8*(T8-V8)</f>
        <v>0.22500000000000003</v>
      </c>
      <c r="AB8" s="579">
        <f ca="1">INDEX(INDIRECT("CAM_WTPCore_"&amp;$B8&amp;"_UnitValues"),MATCH("COMBINED-HH",WTPCore_Group,0),MATCH("MEAN",LMH,0))</f>
        <v>27.921526908635794</v>
      </c>
      <c r="AC8" s="579">
        <f ca="1">AB8*($T8-$V8)*(AllProps_CAM/HHProps_CAM)</f>
        <v>0.25044117647058822</v>
      </c>
      <c r="AD8" s="117">
        <f ca="1">INDEX(INDIRECT("CAM_WTPCore2_"&amp;$B8&amp;"_UnitValues"),1,MATCH("MEAN",LMH,0))</f>
        <v>43.265396481954809</v>
      </c>
      <c r="AE8" s="579">
        <f ca="1">AD8*($T8-$V8)*(AllProps_CAM/HHProps_CAM)</f>
        <v>0.38806748752898401</v>
      </c>
      <c r="AF8" s="436">
        <f t="shared" ca="1" si="1"/>
        <v>1.2792090580330047</v>
      </c>
      <c r="AG8" s="418" t="s">
        <v>369</v>
      </c>
      <c r="AH8" s="499">
        <f ca="1">(AF8*HHProps_CAM)/((T8-V8)*AllProps_CAM)</f>
        <v>142.61820136367965</v>
      </c>
      <c r="AI8" s="64"/>
      <c r="AJ8" s="64"/>
    </row>
    <row r="9" spans="1:36" x14ac:dyDescent="0.25">
      <c r="A9" s="9" t="s">
        <v>154</v>
      </c>
      <c r="B9" s="9" t="s">
        <v>270</v>
      </c>
      <c r="C9" s="276">
        <v>-0.28000000000000003</v>
      </c>
      <c r="D9" s="435">
        <f ca="1">INDEX(INDIRECT("SSW_WTPCore2_"&amp;$B9&amp;"_Levels"),1,MATCH(D$4,WTPCore2_AttLevels,0))</f>
        <v>0.1</v>
      </c>
      <c r="E9" s="435"/>
      <c r="F9" s="435">
        <f ca="1">INDEX(INDIRECT("SSW_WTPCore2_"&amp;$B9&amp;"_Levels"),1,MATCH(F$4,WTPCore2_AttLevels,0))</f>
        <v>6.6666666666666666E-2</v>
      </c>
      <c r="G9" s="436">
        <f ca="1">INDEX(INDIRECT("SSW_WTPCore2_"&amp;$B9&amp;"_LevelValues"),1,MATCH("S1 MEAN",WTPCore2_LevelValues,0))</f>
        <v>0.78010561855806027</v>
      </c>
      <c r="H9" s="436">
        <f ca="1">INDEX(INDIRECT("SSW_WTPCore2_"&amp;$B9&amp;"_LevelValues"),1,MATCH("S2 MEAN",WTPCore2_LevelValues,0))</f>
        <v>0.37050953266002729</v>
      </c>
      <c r="I9" s="437">
        <f ca="1">SUM(G9:H9)</f>
        <v>1.1506151512180876</v>
      </c>
      <c r="J9" s="190">
        <f>MAX(-C9,0)</f>
        <v>0.28000000000000003</v>
      </c>
      <c r="K9" s="302">
        <f ca="1">100*J9*(D9-F9)</f>
        <v>0.93333333333333368</v>
      </c>
      <c r="L9" s="579">
        <f ca="1">INDEX(INDIRECT("SSW_WTPCore_DCE_"&amp;$B9&amp;"_UnitValues"),MATCH("COMBINED-HH",WTPCore_Group,0),MATCH("MEAN",LMH,0))</f>
        <v>40.646907591559547</v>
      </c>
      <c r="M9" s="579">
        <f ca="1">L9*($D9-$F9)*(AllProps_SSW/HHProps_SSW)</f>
        <v>1.445714285714286</v>
      </c>
      <c r="N9" s="117">
        <f ca="1">INDEX(INDIRECT("SSW_WTPCore2_"&amp;$B9&amp;"_UnitValues"),1,MATCH("MEAN",LMH,0))</f>
        <v>32.35006265563927</v>
      </c>
      <c r="O9" s="579">
        <f ca="1">N9*($D9-$F9)*(AllProps_SSW/HHProps_SSW)</f>
        <v>1.1506151512180878</v>
      </c>
      <c r="P9" s="436">
        <f t="shared" ca="1" si="0"/>
        <v>3.4017387664469587</v>
      </c>
      <c r="Q9" s="418" t="s">
        <v>369</v>
      </c>
      <c r="R9" s="499">
        <f ca="1">(P9*HHProps_SSW)/((D9-F9)*AllProps_SSW)</f>
        <v>95.641415912328753</v>
      </c>
      <c r="S9" s="276">
        <v>-0.22</v>
      </c>
      <c r="T9" s="435">
        <f ca="1">INDEX(INDIRECT("CAM_WTPCore2_"&amp;$B9&amp;"_Levels"),1,MATCH(T$4,WTPCore2_AttLevels,0))</f>
        <v>9.0909090909090912E-2</v>
      </c>
      <c r="U9" s="447"/>
      <c r="V9" s="435">
        <f ca="1">INDEX(INDIRECT("CAM_WTPCore2_"&amp;$B9&amp;"_Levels"),1,MATCH(V$4,WTPCore2_AttLevels,0))</f>
        <v>6.6666666666666666E-2</v>
      </c>
      <c r="W9" s="436">
        <f ca="1">INDEX(INDIRECT("CAM_WTPCore2_"&amp;$B9&amp;"_LevelValues"),1,MATCH("S1 MEAN",WTPCore2_LevelValues,0))</f>
        <v>2.1416418362159599</v>
      </c>
      <c r="X9" s="436">
        <f ca="1">INDEX(INDIRECT("CAM_WTPCore2_"&amp;$B9&amp;"_LevelValues"),1,MATCH("S2 MEAN",WTPCore2_LevelValues,0))</f>
        <v>0.84070533256091329</v>
      </c>
      <c r="Y9" s="437">
        <f ca="1">SUM(W9:X9)</f>
        <v>2.9823471687768732</v>
      </c>
      <c r="Z9" s="190">
        <f>MAX(-S9,0)</f>
        <v>0.22</v>
      </c>
      <c r="AA9" s="302">
        <f ca="1">100*Z9*(T9-V9)</f>
        <v>0.53333333333333344</v>
      </c>
      <c r="AB9" s="579">
        <f ca="1">INDEX(INDIRECT("CAM_WTPCore_"&amp;$B9&amp;"_UnitValues"),MATCH("COMBINED-HH",WTPCore_Group,0),MATCH("MEAN",LMH,0))</f>
        <v>18.356144634344844</v>
      </c>
      <c r="AC9" s="579">
        <f ca="1">AB9*($T9-$V9)*(AllProps_CAM/HHProps_CAM)</f>
        <v>0.47896671634376553</v>
      </c>
      <c r="AD9" s="117">
        <f ca="1">INDEX(INDIRECT("CAM_WTPCore2_"&amp;$B9&amp;"_UnitValues"),1,MATCH("MEAN",LMH,0))</f>
        <v>114.29686888849665</v>
      </c>
      <c r="AE9" s="579">
        <f ca="1">AD9*($T9-$V9)*(AllProps_CAM/HHProps_CAM)</f>
        <v>2.9823471687768732</v>
      </c>
      <c r="AF9" s="436">
        <f t="shared" ca="1" si="1"/>
        <v>3.0321992486708265</v>
      </c>
      <c r="AG9" s="418" t="s">
        <v>369</v>
      </c>
      <c r="AH9" s="499">
        <f ca="1">(AF9*HHProps_CAM)/((T9-V9)*AllProps_CAM)</f>
        <v>116.20742333336864</v>
      </c>
      <c r="AI9" s="64"/>
      <c r="AJ9" s="64"/>
    </row>
    <row r="10" spans="1:36" x14ac:dyDescent="0.25">
      <c r="A10" s="64" t="s">
        <v>155</v>
      </c>
      <c r="B10" s="64" t="s">
        <v>3</v>
      </c>
      <c r="C10" s="157">
        <v>0.03</v>
      </c>
      <c r="D10" s="438">
        <f ca="1">INDEX(INDIRECT("SSW_WTPCore2_"&amp;$B10&amp;"_Levels"),1,MATCH(D$4,WTPCore2_AttLevels,0))</f>
        <v>70.5</v>
      </c>
      <c r="E10" s="438"/>
      <c r="F10" s="438">
        <f ca="1">INDEX(INDIRECT("SSW_WTPCore2_"&amp;$B10&amp;"_Levels"),1,MATCH(F$4,WTPCore2_AttLevels,0))</f>
        <v>35.25</v>
      </c>
      <c r="G10" s="437"/>
      <c r="H10" s="437"/>
      <c r="I10" s="437"/>
      <c r="J10" s="439"/>
      <c r="K10" s="440"/>
      <c r="L10" s="440"/>
      <c r="M10" s="440"/>
      <c r="N10" s="440"/>
      <c r="O10" s="440"/>
      <c r="P10" s="437"/>
      <c r="Q10" s="441"/>
      <c r="R10" s="500"/>
      <c r="S10" s="157">
        <v>0.18</v>
      </c>
      <c r="T10" s="435"/>
      <c r="U10" s="435"/>
      <c r="V10" s="435"/>
      <c r="W10" s="436"/>
      <c r="X10" s="436"/>
      <c r="Y10" s="436"/>
      <c r="Z10" s="181"/>
      <c r="AA10" s="181"/>
      <c r="AB10" s="181"/>
      <c r="AC10" s="181"/>
      <c r="AD10" s="181"/>
      <c r="AE10" s="181"/>
      <c r="AF10" s="437"/>
      <c r="AG10" s="449"/>
      <c r="AH10" s="500"/>
      <c r="AI10" s="64"/>
      <c r="AJ10" s="64"/>
    </row>
    <row r="11" spans="1:36" x14ac:dyDescent="0.25">
      <c r="A11" s="64" t="s">
        <v>459</v>
      </c>
      <c r="B11" s="64" t="s">
        <v>460</v>
      </c>
      <c r="C11" s="276">
        <v>-1.1299999999999999</v>
      </c>
      <c r="D11" s="442"/>
      <c r="E11" s="442"/>
      <c r="F11" s="442"/>
      <c r="G11" s="442"/>
      <c r="H11" s="443"/>
      <c r="I11" s="442"/>
      <c r="J11" s="442"/>
      <c r="K11" s="302"/>
      <c r="L11" s="302"/>
      <c r="M11" s="302"/>
      <c r="N11" s="302"/>
      <c r="O11" s="302"/>
      <c r="P11" s="442"/>
      <c r="Q11" s="444"/>
      <c r="R11" s="501"/>
      <c r="S11" s="276"/>
      <c r="T11" s="435"/>
      <c r="U11" s="435"/>
      <c r="V11" s="435"/>
      <c r="W11" s="436"/>
      <c r="X11" s="436"/>
      <c r="Y11" s="436"/>
      <c r="Z11" s="442"/>
      <c r="AA11" s="181"/>
      <c r="AB11" s="181"/>
      <c r="AC11" s="181"/>
      <c r="AD11" s="181"/>
      <c r="AE11" s="181"/>
      <c r="AF11" s="442"/>
      <c r="AG11" s="449"/>
      <c r="AH11" s="501"/>
    </row>
    <row r="12" spans="1:36" s="6" customFormat="1" x14ac:dyDescent="0.25">
      <c r="A12" s="63"/>
      <c r="B12" s="63"/>
      <c r="C12" s="263"/>
      <c r="D12" s="815"/>
      <c r="E12" s="815"/>
      <c r="F12" s="815"/>
      <c r="G12" s="554"/>
      <c r="H12" s="554"/>
      <c r="I12" s="554">
        <f ca="1">SUM(I6:I11)</f>
        <v>6.5550467097266782</v>
      </c>
      <c r="J12" s="101">
        <f>SUM(J6:J11)</f>
        <v>0.73</v>
      </c>
      <c r="K12" s="816">
        <f ca="1">SUM(K6:K11)</f>
        <v>1.4577777777777781</v>
      </c>
      <c r="L12" s="816"/>
      <c r="M12" s="554">
        <f ca="1">SUM(M6:M9)</f>
        <v>4.0713372464123907</v>
      </c>
      <c r="N12" s="816"/>
      <c r="O12" s="554">
        <f ca="1">SUM(O6:O9)</f>
        <v>6.5550467097266791</v>
      </c>
      <c r="P12" s="554">
        <f ca="1">SUM(P6:P11)</f>
        <v>5.3131919780695345</v>
      </c>
      <c r="Q12" s="817"/>
      <c r="R12" s="554"/>
      <c r="S12" s="263"/>
      <c r="T12" s="815"/>
      <c r="U12" s="815"/>
      <c r="V12" s="815"/>
      <c r="W12" s="554"/>
      <c r="X12" s="554"/>
      <c r="Y12" s="554">
        <f ca="1">SUM(Y6:Y11)</f>
        <v>7.9968592370761433</v>
      </c>
      <c r="Z12" s="101">
        <f>SUM(Z7:Z10)</f>
        <v>0.56000000000000005</v>
      </c>
      <c r="AA12" s="816">
        <f ca="1">SUM(AA6:AA11)</f>
        <v>1.0481623931623933</v>
      </c>
      <c r="AB12" s="816"/>
      <c r="AC12" s="554">
        <f ca="1">SUM(AC6:AC9)</f>
        <v>3.9215303417939453</v>
      </c>
      <c r="AD12" s="554"/>
      <c r="AE12" s="554">
        <f ca="1">SUM(AE6:AE9)</f>
        <v>7.9968592370761433</v>
      </c>
      <c r="AF12" s="554">
        <f ca="1">SUM(AF6:AF11)</f>
        <v>5.9591947894350445</v>
      </c>
      <c r="AG12" s="818"/>
      <c r="AH12" s="819"/>
      <c r="AI12" s="63"/>
      <c r="AJ12" s="63"/>
    </row>
    <row r="13" spans="1:36" s="6" customFormat="1" x14ac:dyDescent="0.25">
      <c r="A13" s="63"/>
      <c r="B13" s="63"/>
      <c r="C13" s="263"/>
      <c r="D13" s="815"/>
      <c r="E13" s="815"/>
      <c r="F13" s="815"/>
      <c r="G13" s="554"/>
      <c r="H13" s="554"/>
      <c r="I13" s="554"/>
      <c r="J13" s="101"/>
      <c r="K13" s="816"/>
      <c r="L13" s="816"/>
      <c r="M13" s="817" t="s">
        <v>986</v>
      </c>
      <c r="N13" s="554">
        <f ca="1">AVERAGE(M12,O12)</f>
        <v>5.3131919780695345</v>
      </c>
      <c r="Q13" s="817"/>
      <c r="R13" s="554"/>
      <c r="S13" s="263"/>
      <c r="T13" s="815"/>
      <c r="U13" s="815"/>
      <c r="V13" s="815"/>
      <c r="W13" s="554"/>
      <c r="X13" s="554"/>
      <c r="Y13" s="554"/>
      <c r="Z13" s="101"/>
      <c r="AA13" s="816"/>
      <c r="AB13" s="816"/>
      <c r="AC13" s="816"/>
      <c r="AD13" s="817" t="s">
        <v>986</v>
      </c>
      <c r="AE13" s="554">
        <f ca="1">AVERAGE(AC12,AE12)</f>
        <v>5.9591947894350445</v>
      </c>
      <c r="AF13" s="554"/>
      <c r="AG13" s="818"/>
      <c r="AH13" s="819"/>
      <c r="AI13" s="63"/>
      <c r="AJ13" s="63"/>
    </row>
    <row r="14" spans="1:36" x14ac:dyDescent="0.25">
      <c r="A14" s="115" t="s">
        <v>468</v>
      </c>
      <c r="B14" s="502"/>
      <c r="C14" s="350"/>
      <c r="D14" s="350"/>
      <c r="E14" s="350"/>
      <c r="F14" s="350"/>
      <c r="G14" s="350"/>
      <c r="H14" s="350"/>
      <c r="I14" s="350"/>
      <c r="J14" s="350"/>
      <c r="K14" s="350"/>
      <c r="L14" s="350"/>
      <c r="M14" s="350"/>
      <c r="N14" s="350"/>
      <c r="O14" s="350"/>
      <c r="P14" s="350"/>
      <c r="Q14" s="60"/>
      <c r="R14" s="350"/>
      <c r="S14" s="350"/>
      <c r="T14" s="350"/>
      <c r="U14" s="350"/>
      <c r="V14" s="350"/>
      <c r="W14" s="350"/>
      <c r="X14" s="350"/>
      <c r="Y14" s="350"/>
      <c r="Z14" s="350"/>
      <c r="AA14" s="60"/>
      <c r="AB14" s="60"/>
      <c r="AC14" s="60"/>
      <c r="AD14" s="60"/>
      <c r="AE14" s="60"/>
      <c r="AF14" s="350"/>
      <c r="AG14" s="60"/>
      <c r="AH14" s="350"/>
      <c r="AI14" s="64"/>
      <c r="AJ14" s="64"/>
    </row>
    <row r="15" spans="1:36" x14ac:dyDescent="0.25">
      <c r="A15" s="9" t="s">
        <v>464</v>
      </c>
      <c r="B15" s="9"/>
      <c r="C15" s="9"/>
      <c r="D15" s="9"/>
      <c r="E15" s="9"/>
      <c r="F15" s="9"/>
      <c r="G15" s="9"/>
      <c r="H15" s="9"/>
      <c r="I15" s="9"/>
      <c r="J15" s="9"/>
      <c r="K15" s="9"/>
      <c r="L15" s="9"/>
      <c r="M15" s="9"/>
      <c r="N15" s="9"/>
      <c r="O15" s="9"/>
      <c r="P15" s="9"/>
      <c r="Q15" s="9"/>
      <c r="R15" s="9"/>
      <c r="S15" s="9"/>
      <c r="T15" s="9"/>
      <c r="U15" s="9"/>
      <c r="V15" s="9"/>
      <c r="W15" s="9"/>
      <c r="X15" s="9"/>
      <c r="Y15" s="9"/>
      <c r="Z15" s="9"/>
      <c r="AA15" s="64"/>
      <c r="AB15" s="64"/>
      <c r="AC15" s="64"/>
      <c r="AD15" s="64"/>
      <c r="AE15" s="64"/>
      <c r="AF15" s="9"/>
      <c r="AG15" s="64"/>
      <c r="AH15" s="9"/>
      <c r="AI15" s="64"/>
      <c r="AJ15" s="64"/>
    </row>
    <row r="16" spans="1:36" x14ac:dyDescent="0.25">
      <c r="A16" s="59" t="s">
        <v>495</v>
      </c>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row>
    <row r="17" spans="1:36" x14ac:dyDescent="0.25">
      <c r="A17" s="9" t="s">
        <v>465</v>
      </c>
      <c r="B17" s="9"/>
      <c r="C17" s="9"/>
      <c r="D17" s="9"/>
      <c r="E17" s="9"/>
      <c r="F17" s="9"/>
      <c r="G17" s="9"/>
      <c r="H17" s="9"/>
      <c r="I17" s="9"/>
      <c r="J17" s="9"/>
      <c r="K17" s="9"/>
      <c r="L17" s="9"/>
      <c r="M17" s="9"/>
      <c r="N17" s="9"/>
      <c r="O17" s="9"/>
      <c r="P17" s="9"/>
      <c r="Q17" s="9"/>
      <c r="R17" s="9"/>
      <c r="S17" s="9"/>
      <c r="T17" s="9"/>
      <c r="U17" s="9"/>
      <c r="V17" s="9"/>
      <c r="W17" s="9"/>
      <c r="X17" s="9"/>
      <c r="Y17" s="9"/>
      <c r="Z17" s="9"/>
      <c r="AA17" s="64"/>
      <c r="AB17" s="64"/>
      <c r="AC17" s="64"/>
      <c r="AD17" s="64"/>
      <c r="AE17" s="64"/>
      <c r="AF17" s="9"/>
      <c r="AG17" s="64"/>
      <c r="AH17" s="9"/>
      <c r="AI17" s="64"/>
      <c r="AJ17" s="64"/>
    </row>
    <row r="18" spans="1:36" x14ac:dyDescent="0.25">
      <c r="A18" s="64" t="s">
        <v>494</v>
      </c>
      <c r="AA18" s="64"/>
      <c r="AB18" s="64"/>
      <c r="AC18" s="64"/>
      <c r="AD18" s="64"/>
      <c r="AE18" s="64"/>
      <c r="AG18" s="64"/>
      <c r="AI18" s="64"/>
      <c r="AJ18" s="64"/>
    </row>
    <row r="19" spans="1:36" ht="15.75" thickBot="1" x14ac:dyDescent="0.3">
      <c r="AA19" s="64"/>
      <c r="AB19" s="64"/>
      <c r="AC19" s="64"/>
      <c r="AD19" s="64"/>
      <c r="AE19" s="64"/>
      <c r="AG19" s="64"/>
      <c r="AI19" s="64"/>
      <c r="AJ19" s="64"/>
    </row>
    <row r="20" spans="1:36" x14ac:dyDescent="0.25">
      <c r="A20" s="63"/>
      <c r="B20" s="15"/>
      <c r="C20" s="15"/>
      <c r="D20" s="15"/>
      <c r="E20" s="15"/>
      <c r="F20" s="15"/>
      <c r="G20" s="15"/>
      <c r="H20" s="15"/>
      <c r="I20" s="15"/>
      <c r="J20" s="15"/>
      <c r="K20" s="15"/>
      <c r="L20" s="15"/>
      <c r="M20" s="15"/>
      <c r="N20" s="15"/>
      <c r="O20" s="15"/>
      <c r="P20" s="15"/>
      <c r="Q20" s="15"/>
      <c r="R20" s="453"/>
      <c r="S20" s="15"/>
      <c r="T20" s="15"/>
      <c r="U20" s="15"/>
      <c r="V20" s="15"/>
      <c r="W20" s="15"/>
      <c r="X20" s="15"/>
      <c r="Y20" s="15"/>
      <c r="Z20" s="15"/>
      <c r="AA20" s="60"/>
      <c r="AB20" s="60"/>
      <c r="AC20" s="60"/>
      <c r="AD20" s="60"/>
      <c r="AE20" s="60"/>
      <c r="AF20" s="15"/>
      <c r="AG20" s="60"/>
      <c r="AH20" s="453"/>
      <c r="AI20" s="64"/>
      <c r="AJ20" s="64"/>
    </row>
    <row r="21" spans="1:36" ht="30.75" x14ac:dyDescent="0.3">
      <c r="A21" s="112" t="s">
        <v>496</v>
      </c>
      <c r="B21" s="63"/>
      <c r="C21" s="60"/>
      <c r="D21" s="60"/>
      <c r="E21" s="60"/>
      <c r="F21" s="60"/>
      <c r="G21" s="60"/>
      <c r="H21" s="60"/>
      <c r="I21" s="60"/>
      <c r="J21" s="60"/>
      <c r="K21" s="60"/>
      <c r="L21" s="60"/>
      <c r="M21" s="60"/>
      <c r="N21" s="60"/>
      <c r="O21" s="60"/>
      <c r="P21" s="60"/>
      <c r="Q21" s="60"/>
      <c r="R21" s="320" t="s">
        <v>462</v>
      </c>
      <c r="S21" s="60"/>
      <c r="T21" s="60"/>
      <c r="U21" s="60"/>
      <c r="V21" s="60"/>
      <c r="W21" s="60"/>
      <c r="X21" s="60"/>
      <c r="Y21" s="60"/>
      <c r="Z21" s="60"/>
      <c r="AA21" s="60"/>
      <c r="AB21" s="60"/>
      <c r="AC21" s="60"/>
      <c r="AD21" s="60"/>
      <c r="AE21" s="60"/>
      <c r="AF21" s="60"/>
      <c r="AG21" s="60"/>
      <c r="AH21" s="320" t="s">
        <v>462</v>
      </c>
      <c r="AI21" s="64"/>
      <c r="AJ21" s="64"/>
    </row>
    <row r="22" spans="1:36" x14ac:dyDescent="0.25">
      <c r="A22" s="63" t="s">
        <v>288</v>
      </c>
      <c r="B22" s="63" t="s">
        <v>263</v>
      </c>
      <c r="C22" s="63" t="s">
        <v>466</v>
      </c>
      <c r="D22" s="63"/>
      <c r="E22" s="63"/>
      <c r="F22" s="63"/>
      <c r="G22" s="63"/>
      <c r="H22" s="63"/>
      <c r="I22" s="63"/>
      <c r="J22" s="63"/>
      <c r="K22" s="63"/>
      <c r="L22" s="63"/>
      <c r="M22" s="63"/>
      <c r="N22" s="63"/>
      <c r="O22" s="63"/>
      <c r="P22" s="63"/>
      <c r="Q22" s="63"/>
      <c r="R22" s="454"/>
      <c r="S22" s="63"/>
      <c r="T22" s="63"/>
      <c r="U22" s="63"/>
      <c r="V22" s="63"/>
      <c r="W22" s="63"/>
      <c r="X22" s="63"/>
      <c r="Y22" s="63"/>
      <c r="Z22" s="63"/>
      <c r="AA22" s="60"/>
      <c r="AB22" s="60"/>
      <c r="AC22" s="60"/>
      <c r="AD22" s="60"/>
      <c r="AE22" s="60"/>
      <c r="AF22" s="63"/>
      <c r="AG22" s="60"/>
      <c r="AH22" s="454"/>
      <c r="AI22" s="64"/>
      <c r="AJ22" s="64"/>
    </row>
    <row r="23" spans="1:36" x14ac:dyDescent="0.25">
      <c r="A23" s="64" t="s">
        <v>25</v>
      </c>
      <c r="B23" s="64" t="s">
        <v>25</v>
      </c>
      <c r="C23" s="64" t="s">
        <v>91</v>
      </c>
      <c r="D23" s="64"/>
      <c r="E23" s="64"/>
      <c r="F23" s="64"/>
      <c r="G23" s="64"/>
      <c r="H23" s="64"/>
      <c r="I23" s="64"/>
      <c r="J23" s="64"/>
      <c r="K23" s="64"/>
      <c r="L23" s="64"/>
      <c r="M23" s="64"/>
      <c r="N23" s="64"/>
      <c r="O23" s="64"/>
      <c r="P23" s="64"/>
      <c r="Q23" s="64"/>
      <c r="R23" s="567">
        <f ca="1">R6</f>
        <v>44.404943102152615</v>
      </c>
      <c r="S23" s="64"/>
      <c r="T23" s="64"/>
      <c r="U23" s="64"/>
      <c r="V23" s="64"/>
      <c r="W23" s="64"/>
      <c r="X23" s="64"/>
      <c r="Y23" s="64"/>
      <c r="Z23" s="64"/>
      <c r="AF23" s="64"/>
      <c r="AH23" s="567">
        <f ca="1">AH6</f>
        <v>200.72191303036399</v>
      </c>
    </row>
    <row r="24" spans="1:36" x14ac:dyDescent="0.25">
      <c r="A24" s="64" t="s">
        <v>458</v>
      </c>
      <c r="B24" s="64" t="s">
        <v>117</v>
      </c>
      <c r="C24" s="64" t="s">
        <v>90</v>
      </c>
      <c r="D24" s="64"/>
      <c r="E24" s="64"/>
      <c r="F24" s="64"/>
      <c r="G24" s="64"/>
      <c r="H24" s="64"/>
      <c r="I24" s="64"/>
      <c r="J24" s="64"/>
      <c r="K24" s="64"/>
      <c r="L24" s="64"/>
      <c r="M24" s="64"/>
      <c r="N24" s="64"/>
      <c r="O24" s="64"/>
      <c r="P24" s="64"/>
      <c r="Q24" s="64"/>
      <c r="R24" s="567">
        <f ca="1">R7</f>
        <v>109.30447532837569</v>
      </c>
      <c r="S24" s="64"/>
      <c r="T24" s="64"/>
      <c r="U24" s="64"/>
      <c r="V24" s="64"/>
      <c r="W24" s="64"/>
      <c r="X24" s="64"/>
      <c r="Y24" s="64"/>
      <c r="Z24" s="64"/>
      <c r="AF24" s="64"/>
      <c r="AH24" s="567">
        <f ca="1">AH7</f>
        <v>36.975089242435473</v>
      </c>
    </row>
    <row r="25" spans="1:36" x14ac:dyDescent="0.25">
      <c r="A25" s="64" t="s">
        <v>153</v>
      </c>
      <c r="B25" s="64" t="s">
        <v>83</v>
      </c>
      <c r="C25" s="9" t="s">
        <v>94</v>
      </c>
      <c r="D25" s="64"/>
      <c r="E25" s="64"/>
      <c r="F25" s="64"/>
      <c r="G25" s="64"/>
      <c r="H25" s="64"/>
      <c r="I25" s="64"/>
      <c r="J25" s="64"/>
      <c r="K25" s="64"/>
      <c r="L25" s="64"/>
      <c r="M25" s="64"/>
      <c r="N25" s="64"/>
      <c r="O25" s="64"/>
      <c r="P25" s="64"/>
      <c r="Q25" s="64"/>
      <c r="R25" s="451">
        <f ca="1">R8</f>
        <v>0</v>
      </c>
      <c r="S25" s="64"/>
      <c r="T25" s="64"/>
      <c r="U25" s="64"/>
      <c r="V25" s="64"/>
      <c r="W25" s="64"/>
      <c r="X25" s="64"/>
      <c r="Y25" s="64"/>
      <c r="Z25" s="64"/>
      <c r="AF25" s="64"/>
      <c r="AH25" s="567">
        <f ca="1">AH8</f>
        <v>142.61820136367965</v>
      </c>
    </row>
    <row r="26" spans="1:36" x14ac:dyDescent="0.25">
      <c r="A26" s="64" t="s">
        <v>154</v>
      </c>
      <c r="B26" s="64" t="s">
        <v>85</v>
      </c>
      <c r="C26" s="64" t="s">
        <v>96</v>
      </c>
      <c r="D26" s="5"/>
      <c r="E26" s="5"/>
      <c r="F26" s="5"/>
      <c r="G26" s="5"/>
      <c r="H26" s="5"/>
      <c r="I26" s="5"/>
      <c r="J26" s="5"/>
      <c r="K26" s="5"/>
      <c r="L26" s="5"/>
      <c r="M26" s="5"/>
      <c r="N26" s="5"/>
      <c r="O26" s="5"/>
      <c r="P26" s="5"/>
      <c r="Q26" s="5"/>
      <c r="R26" s="567">
        <f ca="1">R9</f>
        <v>95.641415912328753</v>
      </c>
      <c r="S26" s="5"/>
      <c r="T26" s="5"/>
      <c r="U26" s="5"/>
      <c r="V26" s="5"/>
      <c r="W26" s="5"/>
      <c r="X26" s="5"/>
      <c r="Y26" s="5"/>
      <c r="Z26" s="5"/>
      <c r="AF26" s="5"/>
      <c r="AH26" s="567">
        <f ca="1">AH9</f>
        <v>116.20742333336864</v>
      </c>
    </row>
    <row r="27" spans="1:36" x14ac:dyDescent="0.25">
      <c r="A27" s="5"/>
      <c r="B27" s="5"/>
      <c r="C27" s="5"/>
      <c r="D27" s="5"/>
      <c r="E27" s="5"/>
      <c r="F27" s="5"/>
      <c r="G27" s="5"/>
      <c r="H27" s="219"/>
      <c r="I27" s="5"/>
      <c r="J27" s="5"/>
      <c r="K27" s="5"/>
      <c r="L27" s="5"/>
      <c r="M27" s="5"/>
      <c r="N27" s="5"/>
      <c r="O27" s="5"/>
      <c r="P27" s="5"/>
      <c r="Q27" s="5"/>
      <c r="R27" s="455"/>
      <c r="S27" s="5"/>
      <c r="T27" s="5"/>
      <c r="U27" s="5"/>
      <c r="V27" s="5"/>
      <c r="W27" s="5"/>
      <c r="X27" s="5"/>
      <c r="Y27" s="5"/>
      <c r="Z27" s="5"/>
      <c r="AF27" s="5"/>
      <c r="AH27" s="455"/>
    </row>
    <row r="28" spans="1:36" ht="15.75" thickBot="1" x14ac:dyDescent="0.3">
      <c r="A28" s="5"/>
      <c r="B28" s="5"/>
      <c r="C28" s="5"/>
      <c r="D28" s="5"/>
      <c r="E28" s="5"/>
      <c r="F28" s="5"/>
      <c r="G28" s="5"/>
      <c r="H28" s="5"/>
      <c r="I28" s="5"/>
      <c r="J28" s="5"/>
      <c r="K28" s="5"/>
      <c r="L28" s="5"/>
      <c r="M28" s="5"/>
      <c r="N28" s="5"/>
      <c r="O28" s="5"/>
      <c r="P28" s="5"/>
      <c r="Q28" s="5"/>
      <c r="R28" s="452"/>
      <c r="S28" s="5"/>
      <c r="T28" s="5"/>
      <c r="U28" s="5"/>
      <c r="V28" s="5"/>
      <c r="W28" s="5"/>
      <c r="X28" s="5"/>
      <c r="Y28" s="5"/>
      <c r="Z28" s="5"/>
      <c r="AF28" s="5"/>
      <c r="AH28" s="452"/>
    </row>
    <row r="29" spans="1:36" s="15" customFormat="1" x14ac:dyDescent="0.25">
      <c r="A29" s="63"/>
      <c r="B29" s="60"/>
      <c r="C29" s="109"/>
      <c r="D29" s="182"/>
      <c r="E29" s="182"/>
      <c r="F29" s="182"/>
      <c r="G29" s="553"/>
      <c r="H29" s="553"/>
      <c r="I29" s="554"/>
      <c r="J29" s="555"/>
      <c r="K29" s="555"/>
      <c r="L29" s="555"/>
      <c r="M29" s="555"/>
      <c r="N29" s="555"/>
      <c r="O29" s="555"/>
      <c r="P29" s="554"/>
      <c r="Q29" s="556"/>
      <c r="S29" s="109"/>
      <c r="T29" s="557"/>
      <c r="U29" s="557"/>
      <c r="V29" s="557"/>
      <c r="W29" s="553"/>
      <c r="X29" s="553"/>
      <c r="Y29" s="553"/>
      <c r="Z29" s="182"/>
      <c r="AA29" s="182"/>
      <c r="AB29" s="182"/>
      <c r="AC29" s="182"/>
      <c r="AD29" s="182"/>
      <c r="AE29" s="182"/>
      <c r="AF29" s="553"/>
      <c r="AG29" s="558"/>
      <c r="AI29" s="60"/>
      <c r="AJ29" s="60"/>
    </row>
    <row r="30" spans="1:36" x14ac:dyDescent="0.25">
      <c r="A30" s="64"/>
      <c r="B30" s="64"/>
      <c r="C30" s="276"/>
      <c r="D30" s="442"/>
      <c r="E30" s="442"/>
      <c r="F30" s="442"/>
      <c r="G30" s="442"/>
      <c r="H30" s="443"/>
      <c r="I30" s="442"/>
      <c r="J30" s="442"/>
      <c r="K30" s="302"/>
      <c r="L30" s="302"/>
      <c r="M30" s="302"/>
      <c r="N30" s="302"/>
      <c r="O30" s="302"/>
      <c r="P30" s="442"/>
      <c r="Q30" s="444"/>
      <c r="S30" s="276"/>
      <c r="T30" s="435"/>
      <c r="U30" s="435"/>
      <c r="V30" s="435"/>
      <c r="W30" s="436"/>
      <c r="X30" s="436"/>
      <c r="Y30" s="436"/>
      <c r="Z30" s="442"/>
      <c r="AA30" s="181"/>
      <c r="AB30" s="181"/>
      <c r="AC30" s="181"/>
      <c r="AD30" s="181"/>
      <c r="AE30" s="181"/>
      <c r="AF30" s="442"/>
      <c r="AG30" s="449"/>
    </row>
    <row r="31" spans="1:36" x14ac:dyDescent="0.25"/>
    <row r="32" spans="1:36"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AP356"/>
  <sheetViews>
    <sheetView zoomScale="70" zoomScaleNormal="70" workbookViewId="0">
      <pane xSplit="1" ySplit="16" topLeftCell="B17" activePane="bottomRight" state="frozen"/>
      <selection pane="topRight" activeCell="B1" sqref="B1"/>
      <selection pane="bottomLeft" activeCell="A5" sqref="A5"/>
      <selection pane="bottomRight"/>
    </sheetView>
  </sheetViews>
  <sheetFormatPr defaultRowHeight="15" x14ac:dyDescent="0.25"/>
  <cols>
    <col min="1" max="1" width="25.42578125" customWidth="1"/>
    <col min="2" max="2" width="50.28515625" style="650" customWidth="1"/>
    <col min="3" max="3" width="25.28515625" style="650" customWidth="1"/>
    <col min="4" max="4" width="25.140625" style="650" customWidth="1"/>
    <col min="5" max="5" width="19.140625" style="650" customWidth="1"/>
    <col min="6" max="6" width="23" style="650" customWidth="1"/>
    <col min="7" max="7" width="19.42578125" style="650" customWidth="1"/>
    <col min="8" max="8" width="28.28515625" style="650" customWidth="1"/>
    <col min="9" max="9" width="24.140625" style="650" customWidth="1"/>
    <col min="10" max="10" width="24" customWidth="1"/>
    <col min="11" max="12" width="11.5703125" customWidth="1"/>
    <col min="13" max="13" width="15.42578125" customWidth="1"/>
    <col min="14" max="15" width="11.5703125" customWidth="1"/>
    <col min="16" max="16" width="13.28515625" customWidth="1"/>
    <col min="17" max="17" width="17.7109375" customWidth="1"/>
    <col min="18" max="18" width="26.140625" customWidth="1"/>
    <col min="19" max="19" width="20.7109375" customWidth="1"/>
    <col min="20" max="20" width="23.140625" customWidth="1"/>
    <col min="21" max="21" width="16.42578125" customWidth="1"/>
    <col min="22" max="22" width="19.28515625" customWidth="1"/>
    <col min="23" max="23" width="26" customWidth="1"/>
    <col min="24" max="24" width="18.140625" customWidth="1"/>
    <col min="25" max="25" width="21.85546875" customWidth="1"/>
    <col min="27" max="27" width="11.5703125" customWidth="1"/>
    <col min="28" max="28" width="12" customWidth="1"/>
    <col min="29" max="29" width="12.140625" customWidth="1"/>
    <col min="30" max="30" width="11.28515625" customWidth="1"/>
    <col min="31" max="31" width="15" customWidth="1"/>
    <col min="32" max="32" width="14.28515625" customWidth="1"/>
    <col min="33" max="33" width="17.140625" customWidth="1"/>
  </cols>
  <sheetData>
    <row r="1" spans="1:33" s="295" customFormat="1" ht="28.5" x14ac:dyDescent="0.45">
      <c r="A1" s="102" t="s">
        <v>881</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665"/>
    </row>
    <row r="2" spans="1:33" s="10" customFormat="1" ht="24" customHeight="1" x14ac:dyDescent="0.3">
      <c r="A2" s="420" t="s">
        <v>883</v>
      </c>
      <c r="B2" s="420"/>
      <c r="C2" s="166" t="s">
        <v>223</v>
      </c>
      <c r="D2" s="166"/>
      <c r="E2" s="166"/>
      <c r="F2" s="166"/>
      <c r="G2" s="166"/>
      <c r="H2" s="166"/>
      <c r="I2" s="166"/>
      <c r="J2" s="166"/>
      <c r="K2" s="166"/>
      <c r="L2" s="166"/>
      <c r="M2" s="166"/>
      <c r="N2" s="166"/>
      <c r="O2" s="166"/>
      <c r="P2" s="304" t="s">
        <v>224</v>
      </c>
      <c r="Q2" s="304"/>
      <c r="R2" s="304"/>
      <c r="S2" s="304"/>
      <c r="T2" s="304"/>
      <c r="U2" s="304"/>
      <c r="V2" s="304"/>
      <c r="W2" s="304"/>
      <c r="X2" s="304"/>
      <c r="Y2" s="304"/>
      <c r="Z2" s="304"/>
      <c r="AA2" s="304"/>
      <c r="AB2" s="304"/>
      <c r="AC2" s="304"/>
      <c r="AD2" s="304"/>
      <c r="AE2" s="304"/>
      <c r="AF2" s="666"/>
      <c r="AG2" s="64"/>
    </row>
    <row r="3" spans="1:33" s="10" customFormat="1" ht="24" customHeight="1" thickBot="1" x14ac:dyDescent="0.35">
      <c r="A3" s="420"/>
      <c r="B3" s="420"/>
      <c r="C3" s="166"/>
      <c r="D3" s="166"/>
      <c r="E3" s="166"/>
      <c r="F3" s="166"/>
      <c r="G3" s="166"/>
      <c r="H3" s="166"/>
      <c r="I3" s="166"/>
      <c r="J3" s="166"/>
      <c r="K3" s="166"/>
      <c r="L3" s="166"/>
      <c r="M3" s="166"/>
      <c r="N3" s="166"/>
      <c r="O3" s="166"/>
      <c r="P3" s="304"/>
      <c r="Q3" s="304"/>
      <c r="R3" s="304"/>
      <c r="S3" s="304"/>
      <c r="T3" s="304"/>
      <c r="U3" s="304"/>
      <c r="V3" s="304"/>
      <c r="W3" s="304"/>
      <c r="X3" s="304"/>
      <c r="Y3" s="304"/>
      <c r="Z3" s="304"/>
      <c r="AA3" s="304"/>
      <c r="AB3" s="304"/>
      <c r="AC3" s="304"/>
      <c r="AD3" s="304"/>
      <c r="AE3" s="304"/>
      <c r="AF3" s="666"/>
      <c r="AG3" s="64"/>
    </row>
    <row r="4" spans="1:33" s="742" customFormat="1" ht="24" customHeight="1" x14ac:dyDescent="0.3">
      <c r="A4" s="741"/>
      <c r="B4" s="746" t="s">
        <v>963</v>
      </c>
      <c r="C4" s="753"/>
      <c r="D4" s="754"/>
      <c r="E4" s="743"/>
      <c r="F4" s="743"/>
      <c r="G4" s="743"/>
      <c r="H4" s="743"/>
      <c r="I4" s="743"/>
      <c r="J4" s="743"/>
      <c r="K4" s="743"/>
      <c r="L4" s="743"/>
      <c r="M4" s="743"/>
      <c r="N4" s="743"/>
      <c r="O4" s="743"/>
      <c r="P4" s="740"/>
      <c r="Q4" s="740"/>
      <c r="R4" s="740"/>
      <c r="S4" s="740"/>
      <c r="T4" s="740"/>
      <c r="U4" s="740"/>
      <c r="V4" s="740"/>
      <c r="W4" s="740"/>
      <c r="X4" s="740"/>
      <c r="Y4" s="740"/>
      <c r="Z4" s="740"/>
      <c r="AA4" s="740"/>
      <c r="AB4" s="740"/>
      <c r="AC4" s="740"/>
      <c r="AD4" s="740"/>
      <c r="AE4" s="740"/>
      <c r="AF4" s="236"/>
      <c r="AG4" s="236"/>
    </row>
    <row r="5" spans="1:33" s="742" customFormat="1" ht="24" customHeight="1" thickBot="1" x14ac:dyDescent="0.35">
      <c r="A5" s="741"/>
      <c r="B5" s="750"/>
      <c r="C5" s="755" t="s">
        <v>39</v>
      </c>
      <c r="D5" s="756" t="s">
        <v>118</v>
      </c>
      <c r="E5" s="743"/>
      <c r="F5"/>
      <c r="G5" s="743"/>
      <c r="H5" s="743"/>
      <c r="I5" s="743"/>
      <c r="J5" s="743"/>
      <c r="K5" s="743"/>
      <c r="L5" s="743"/>
      <c r="M5" s="743"/>
      <c r="N5" s="743"/>
      <c r="O5" s="743"/>
      <c r="P5" s="740"/>
      <c r="Q5" s="740"/>
      <c r="R5" s="740"/>
      <c r="S5" s="740"/>
      <c r="T5" s="740"/>
      <c r="U5" s="740"/>
      <c r="V5" s="740"/>
      <c r="W5" s="740"/>
      <c r="X5" s="740"/>
      <c r="Y5" s="740"/>
      <c r="Z5" s="740"/>
      <c r="AA5" s="740"/>
      <c r="AB5" s="740"/>
      <c r="AC5" s="740"/>
      <c r="AD5" s="740"/>
      <c r="AE5" s="740"/>
      <c r="AF5" s="236"/>
      <c r="AG5" s="236"/>
    </row>
    <row r="6" spans="1:33" s="742" customFormat="1" ht="24" customHeight="1" x14ac:dyDescent="0.3">
      <c r="A6" s="741"/>
      <c r="B6" s="744" t="s">
        <v>954</v>
      </c>
      <c r="C6" s="900">
        <v>-0.22</v>
      </c>
      <c r="D6" s="901">
        <v>-0.21</v>
      </c>
      <c r="E6" s="751"/>
      <c r="F6" s="743"/>
      <c r="G6" s="743"/>
      <c r="H6" s="743"/>
      <c r="I6" s="743"/>
      <c r="J6" s="743"/>
      <c r="K6" s="743"/>
      <c r="L6" s="743"/>
      <c r="M6" s="743"/>
      <c r="N6" s="743"/>
      <c r="O6" s="743"/>
      <c r="P6" s="740"/>
      <c r="Q6" s="740"/>
      <c r="R6" s="740"/>
      <c r="S6" s="740"/>
      <c r="T6" s="740"/>
      <c r="U6" s="740"/>
      <c r="V6" s="740"/>
      <c r="W6" s="740"/>
      <c r="X6" s="740"/>
      <c r="Y6" s="740"/>
      <c r="Z6" s="740"/>
      <c r="AA6" s="740"/>
      <c r="AB6" s="740"/>
      <c r="AC6" s="740"/>
      <c r="AD6" s="740"/>
      <c r="AE6" s="740"/>
      <c r="AF6" s="236"/>
      <c r="AG6" s="236"/>
    </row>
    <row r="7" spans="1:33" s="742" customFormat="1" ht="24" customHeight="1" x14ac:dyDescent="0.3">
      <c r="A7" s="741"/>
      <c r="B7" s="745" t="s">
        <v>957</v>
      </c>
      <c r="C7" s="902">
        <v>250</v>
      </c>
      <c r="D7" s="903">
        <v>250</v>
      </c>
      <c r="E7" s="751"/>
      <c r="F7" s="743"/>
      <c r="G7" s="743"/>
      <c r="H7" s="743"/>
      <c r="I7" s="743"/>
      <c r="J7" s="743"/>
      <c r="K7" s="743"/>
      <c r="L7" s="743"/>
      <c r="M7" s="743"/>
      <c r="N7" s="743"/>
      <c r="O7" s="743"/>
      <c r="P7" s="740"/>
      <c r="Q7" s="740"/>
      <c r="R7" s="740"/>
      <c r="S7" s="740"/>
      <c r="T7" s="740"/>
      <c r="U7" s="740"/>
      <c r="V7" s="740"/>
      <c r="W7" s="740"/>
      <c r="X7" s="740"/>
      <c r="Y7" s="740"/>
      <c r="Z7" s="740"/>
      <c r="AA7" s="740"/>
      <c r="AB7" s="740"/>
      <c r="AC7" s="740"/>
      <c r="AD7" s="740"/>
      <c r="AE7" s="740"/>
      <c r="AF7" s="236"/>
      <c r="AG7" s="236"/>
    </row>
    <row r="8" spans="1:33" s="742" customFormat="1" ht="24" customHeight="1" x14ac:dyDescent="0.3">
      <c r="A8" s="741"/>
      <c r="B8" s="744" t="s">
        <v>958</v>
      </c>
      <c r="C8" s="902">
        <v>50</v>
      </c>
      <c r="D8" s="903">
        <v>50</v>
      </c>
      <c r="E8" s="751"/>
      <c r="F8" s="743"/>
      <c r="G8" s="743"/>
      <c r="H8" s="743"/>
      <c r="I8" s="743"/>
      <c r="J8" s="743"/>
      <c r="K8" s="743"/>
      <c r="L8" s="743"/>
      <c r="M8" s="743"/>
      <c r="N8" s="743"/>
      <c r="O8" s="743"/>
      <c r="P8" s="740"/>
      <c r="Q8" s="740"/>
      <c r="R8" s="740"/>
      <c r="S8" s="740"/>
      <c r="T8" s="740"/>
      <c r="U8" s="740"/>
      <c r="V8" s="740"/>
      <c r="W8" s="740"/>
      <c r="X8" s="740"/>
      <c r="Y8" s="740"/>
      <c r="Z8" s="740"/>
      <c r="AA8" s="740"/>
      <c r="AB8" s="740"/>
      <c r="AC8" s="740"/>
      <c r="AD8" s="740"/>
      <c r="AE8" s="740"/>
      <c r="AF8" s="236"/>
      <c r="AG8" s="236"/>
    </row>
    <row r="9" spans="1:33" s="742" customFormat="1" ht="24" customHeight="1" x14ac:dyDescent="0.3">
      <c r="A9" s="741"/>
      <c r="B9" s="744" t="s">
        <v>955</v>
      </c>
      <c r="C9" s="904">
        <v>-0.27</v>
      </c>
      <c r="D9" s="901">
        <v>0</v>
      </c>
      <c r="E9" s="751"/>
      <c r="F9" s="743"/>
      <c r="G9" s="743"/>
      <c r="H9" s="743"/>
      <c r="I9" s="743"/>
      <c r="J9" s="743"/>
      <c r="K9" s="743"/>
      <c r="L9" s="743"/>
      <c r="M9" s="743"/>
      <c r="N9" s="743"/>
      <c r="O9" s="743"/>
      <c r="P9" s="740"/>
      <c r="Q9" s="740"/>
      <c r="R9" s="740"/>
      <c r="S9" s="740"/>
      <c r="T9" s="740"/>
      <c r="U9" s="740"/>
      <c r="V9" s="740"/>
      <c r="W9" s="740"/>
      <c r="X9" s="740"/>
      <c r="Y9" s="740"/>
      <c r="Z9" s="740"/>
      <c r="AA9" s="740"/>
      <c r="AB9" s="740"/>
      <c r="AC9" s="740"/>
      <c r="AD9" s="740"/>
      <c r="AE9" s="740"/>
      <c r="AF9" s="236"/>
      <c r="AG9" s="236"/>
    </row>
    <row r="10" spans="1:33" s="742" customFormat="1" ht="24" customHeight="1" x14ac:dyDescent="0.3">
      <c r="A10" s="741"/>
      <c r="B10" s="744" t="s">
        <v>959</v>
      </c>
      <c r="C10" s="902">
        <v>80</v>
      </c>
      <c r="D10" s="903">
        <v>15</v>
      </c>
      <c r="E10" s="751"/>
      <c r="F10" s="743"/>
      <c r="G10" s="743"/>
      <c r="H10" s="743"/>
      <c r="I10" s="743"/>
      <c r="J10" s="743"/>
      <c r="K10" s="743"/>
      <c r="L10" s="743"/>
      <c r="M10" s="743"/>
      <c r="N10" s="743"/>
      <c r="O10" s="743"/>
      <c r="P10" s="740"/>
      <c r="Q10" s="740"/>
      <c r="R10" s="740"/>
      <c r="S10" s="740"/>
      <c r="T10" s="740"/>
      <c r="U10" s="740"/>
      <c r="V10" s="740"/>
      <c r="W10" s="740"/>
      <c r="X10" s="740"/>
      <c r="Y10" s="740"/>
      <c r="Z10" s="740"/>
      <c r="AA10" s="740"/>
      <c r="AB10" s="740"/>
      <c r="AC10" s="740"/>
      <c r="AD10" s="740"/>
      <c r="AE10" s="740"/>
      <c r="AF10" s="236"/>
      <c r="AG10" s="236"/>
    </row>
    <row r="11" spans="1:33" s="742" customFormat="1" ht="24" customHeight="1" x14ac:dyDescent="0.3">
      <c r="A11" s="741"/>
      <c r="B11" s="744" t="s">
        <v>960</v>
      </c>
      <c r="C11" s="902">
        <v>40</v>
      </c>
      <c r="D11" s="903">
        <v>8</v>
      </c>
      <c r="E11" s="751"/>
      <c r="F11" s="743"/>
      <c r="G11" s="743"/>
      <c r="H11" s="743"/>
      <c r="I11" s="743"/>
      <c r="J11" s="743"/>
      <c r="K11" s="743"/>
      <c r="L11" s="743"/>
      <c r="M11" s="743"/>
      <c r="N11" s="743"/>
      <c r="O11" s="743"/>
      <c r="P11" s="740"/>
      <c r="Q11" s="740"/>
      <c r="R11" s="740"/>
      <c r="S11" s="740"/>
      <c r="T11" s="740"/>
      <c r="U11" s="740"/>
      <c r="V11" s="740"/>
      <c r="W11" s="740"/>
      <c r="X11" s="740"/>
      <c r="Y11" s="740"/>
      <c r="Z11" s="740"/>
      <c r="AA11" s="740"/>
      <c r="AB11" s="740"/>
      <c r="AC11" s="740"/>
      <c r="AD11" s="740"/>
      <c r="AE11" s="740"/>
      <c r="AF11" s="236"/>
      <c r="AG11" s="236"/>
    </row>
    <row r="12" spans="1:33" s="742" customFormat="1" ht="24" customHeight="1" x14ac:dyDescent="0.3">
      <c r="A12" s="741"/>
      <c r="B12" s="744" t="s">
        <v>956</v>
      </c>
      <c r="C12" s="904">
        <v>-6.47</v>
      </c>
      <c r="D12" s="901">
        <v>-6.16</v>
      </c>
      <c r="E12" s="751"/>
      <c r="F12" s="743"/>
      <c r="G12" s="743"/>
      <c r="H12" s="743"/>
      <c r="I12" s="743"/>
      <c r="J12" s="743"/>
      <c r="K12" s="743"/>
      <c r="L12" s="743"/>
      <c r="M12" s="743"/>
      <c r="N12" s="743"/>
      <c r="O12" s="743"/>
      <c r="P12" s="740"/>
      <c r="Q12" s="740"/>
      <c r="R12" s="740"/>
      <c r="S12" s="740"/>
      <c r="T12" s="740"/>
      <c r="U12" s="740"/>
      <c r="V12" s="740"/>
      <c r="W12" s="740"/>
      <c r="X12" s="740"/>
      <c r="Y12" s="740"/>
      <c r="Z12" s="740"/>
      <c r="AA12" s="740"/>
      <c r="AB12" s="740"/>
      <c r="AC12" s="740"/>
      <c r="AD12" s="740"/>
      <c r="AE12" s="740"/>
      <c r="AF12" s="236"/>
      <c r="AG12" s="236"/>
    </row>
    <row r="13" spans="1:33" s="742" customFormat="1" ht="24" customHeight="1" x14ac:dyDescent="0.3">
      <c r="A13" s="741"/>
      <c r="B13" s="745" t="s">
        <v>961</v>
      </c>
      <c r="C13" s="902">
        <v>14</v>
      </c>
      <c r="D13" s="903">
        <v>14</v>
      </c>
      <c r="E13" s="751"/>
      <c r="F13" s="743"/>
      <c r="G13" s="743"/>
      <c r="H13" s="743"/>
      <c r="I13" s="743"/>
      <c r="J13" s="743"/>
      <c r="K13" s="743"/>
      <c r="L13" s="743"/>
      <c r="M13" s="743"/>
      <c r="N13" s="743"/>
      <c r="O13" s="743"/>
      <c r="P13" s="740"/>
      <c r="Q13" s="740"/>
      <c r="R13" s="740"/>
      <c r="S13" s="740"/>
      <c r="T13" s="740"/>
      <c r="U13" s="740"/>
      <c r="V13" s="740"/>
      <c r="W13" s="740"/>
      <c r="X13" s="740"/>
      <c r="Y13" s="740"/>
      <c r="Z13" s="740"/>
      <c r="AA13" s="740"/>
      <c r="AB13" s="740"/>
      <c r="AC13" s="740"/>
      <c r="AD13" s="740"/>
      <c r="AE13" s="740"/>
      <c r="AF13" s="236"/>
      <c r="AG13" s="236"/>
    </row>
    <row r="14" spans="1:33" s="742" customFormat="1" ht="24" customHeight="1" thickBot="1" x14ac:dyDescent="0.35">
      <c r="A14" s="741"/>
      <c r="B14" s="752" t="s">
        <v>962</v>
      </c>
      <c r="C14" s="905">
        <v>2</v>
      </c>
      <c r="D14" s="906">
        <v>2</v>
      </c>
      <c r="E14" s="751"/>
      <c r="F14" s="743"/>
      <c r="G14" s="743"/>
      <c r="H14" s="743"/>
      <c r="I14" s="743"/>
      <c r="J14" s="743"/>
      <c r="K14" s="743"/>
      <c r="L14" s="743"/>
      <c r="M14" s="743"/>
      <c r="N14" s="743"/>
      <c r="O14" s="743"/>
      <c r="P14" s="740"/>
      <c r="Q14" s="740"/>
      <c r="R14" s="740"/>
      <c r="S14" s="740"/>
      <c r="T14" s="740"/>
      <c r="U14" s="740"/>
      <c r="V14" s="740"/>
      <c r="W14" s="740"/>
      <c r="X14" s="740"/>
      <c r="Y14" s="740"/>
      <c r="Z14" s="740"/>
      <c r="AA14" s="740"/>
      <c r="AB14" s="740"/>
      <c r="AC14" s="740"/>
      <c r="AD14" s="740"/>
      <c r="AE14" s="740"/>
      <c r="AF14" s="236"/>
      <c r="AG14" s="236"/>
    </row>
    <row r="16" spans="1:33" s="663" customFormat="1" x14ac:dyDescent="0.25">
      <c r="A16" s="657" t="s">
        <v>878</v>
      </c>
      <c r="B16" s="658" t="s">
        <v>946</v>
      </c>
      <c r="C16" s="658" t="s">
        <v>944</v>
      </c>
      <c r="D16" s="659" t="s">
        <v>945</v>
      </c>
      <c r="E16" s="658" t="s">
        <v>947</v>
      </c>
      <c r="F16" s="660" t="s">
        <v>949</v>
      </c>
      <c r="G16" s="661" t="s">
        <v>950</v>
      </c>
      <c r="H16" s="658" t="s">
        <v>948</v>
      </c>
      <c r="I16" s="660" t="s">
        <v>951</v>
      </c>
      <c r="J16" s="662" t="s">
        <v>952</v>
      </c>
      <c r="P16" s="657" t="s">
        <v>878</v>
      </c>
      <c r="Q16" s="657" t="s">
        <v>946</v>
      </c>
      <c r="R16" s="657" t="s">
        <v>879</v>
      </c>
      <c r="S16" s="657" t="s">
        <v>880</v>
      </c>
      <c r="T16" s="657" t="s">
        <v>947</v>
      </c>
      <c r="U16" s="657" t="s">
        <v>949</v>
      </c>
      <c r="V16" s="657" t="s">
        <v>950</v>
      </c>
      <c r="W16" s="657" t="s">
        <v>948</v>
      </c>
      <c r="X16" s="657" t="s">
        <v>951</v>
      </c>
      <c r="Y16" s="657" t="s">
        <v>952</v>
      </c>
    </row>
    <row r="17" spans="1:25" x14ac:dyDescent="0.25">
      <c r="A17" s="29">
        <v>807</v>
      </c>
      <c r="B17" s="618">
        <v>0.2</v>
      </c>
      <c r="C17" s="652">
        <v>143.75</v>
      </c>
      <c r="D17" s="747">
        <f>(B17-Lowest_bill_SSW_protecting_wildlife)/(Highest_servicelevel_SSW_protecting_wildlife-Lowest_servicelevel_SSW_protecting_wildlife)</f>
        <v>2.1000000000000003E-3</v>
      </c>
      <c r="E17" s="618">
        <v>7.0000000000000007E-2</v>
      </c>
      <c r="F17" s="652">
        <v>60</v>
      </c>
      <c r="G17" s="748">
        <f t="shared" ref="G17:G80" si="0">(E17-Lowest_bill_SSW_leakage)/(Highest_servicelevel_SSW_leakage-Lowest_servicelevel_SSW_leakage)</f>
        <v>8.5000000000000006E-3</v>
      </c>
      <c r="H17" s="618">
        <v>-0.01</v>
      </c>
      <c r="I17" s="652">
        <v>6.5</v>
      </c>
      <c r="J17" s="216">
        <f t="shared" ref="J17:J80" si="1">(H17-Lowest_bill_SSW_interruptions)/(Highest_servicelevel_SSW_interruptions-Lowest_servicelevel_SSW_interruptions)</f>
        <v>0.53833333333333333</v>
      </c>
      <c r="P17" s="29">
        <v>809</v>
      </c>
      <c r="Q17" s="653">
        <v>0.44</v>
      </c>
      <c r="R17" s="664">
        <v>206.25</v>
      </c>
      <c r="S17" s="749">
        <f t="shared" ref="S17:S48" si="2">(Q17-Lowest_bill_CAM_protecting_wildlife)/(Highest_servicelevel_CAM_protecting_wildlife-Lowest_servicelevel_CAM_protecting_wildlife)</f>
        <v>3.2500000000000003E-3</v>
      </c>
      <c r="T17" s="653">
        <v>0.41</v>
      </c>
      <c r="U17" s="664">
        <v>9</v>
      </c>
      <c r="V17" s="216">
        <f t="shared" ref="V17:V48" si="3">(T17-Lowest_bill_CAM_leakage)/(Highest_servicelevel_CAM_leakage-Lowest_servicelevel_CAM_leakage)</f>
        <v>5.8571428571428566E-2</v>
      </c>
      <c r="W17" s="653">
        <v>0.68</v>
      </c>
      <c r="X17" s="664">
        <v>4.25</v>
      </c>
      <c r="Y17" s="216">
        <f t="shared" ref="Y17:Y48" si="4">(W17-Lowest_bill_CAM_interruptions)/(Highest_servicelevel_CAM_interruptions-Lowest_servicelevel_CAM_interruptions)</f>
        <v>0.56999999999999995</v>
      </c>
    </row>
    <row r="18" spans="1:25" x14ac:dyDescent="0.25">
      <c r="A18" s="29">
        <v>810</v>
      </c>
      <c r="B18" s="618">
        <v>0.4</v>
      </c>
      <c r="C18" s="652">
        <v>193.75</v>
      </c>
      <c r="D18" s="747">
        <f>(B18-Lowest_bill_SSW_protecting_wildlife)/(Highest_servicelevel_SSW_protecting_wildlife-Lowest_servicelevel_SSW_protecting_wildlife)</f>
        <v>3.0999999999999999E-3</v>
      </c>
      <c r="E18" s="618">
        <v>0.47</v>
      </c>
      <c r="F18" s="652">
        <v>53.75</v>
      </c>
      <c r="G18" s="748">
        <f t="shared" si="0"/>
        <v>1.8499999999999999E-2</v>
      </c>
      <c r="H18" s="618">
        <v>0.6</v>
      </c>
      <c r="I18" s="652">
        <v>4.75</v>
      </c>
      <c r="J18" s="216">
        <f t="shared" si="1"/>
        <v>0.58916666666666662</v>
      </c>
      <c r="P18" s="29">
        <v>951</v>
      </c>
      <c r="Q18" s="653">
        <v>0.2</v>
      </c>
      <c r="R18" s="664">
        <v>143.75</v>
      </c>
      <c r="S18" s="749">
        <f t="shared" si="2"/>
        <v>2.0500000000000002E-3</v>
      </c>
      <c r="T18" s="653">
        <v>0.05</v>
      </c>
      <c r="U18" s="664">
        <v>11</v>
      </c>
      <c r="V18" s="216">
        <f t="shared" si="3"/>
        <v>7.1428571428571435E-3</v>
      </c>
      <c r="W18" s="653">
        <v>0.02</v>
      </c>
      <c r="X18" s="664">
        <v>6</v>
      </c>
      <c r="Y18" s="216">
        <f t="shared" si="4"/>
        <v>0.51500000000000001</v>
      </c>
    </row>
    <row r="19" spans="1:25" x14ac:dyDescent="0.25">
      <c r="A19" s="29">
        <v>812</v>
      </c>
      <c r="B19" s="618">
        <v>0.52</v>
      </c>
      <c r="C19" s="652">
        <v>218.75</v>
      </c>
      <c r="D19" s="747">
        <f t="shared" ref="D19:D80" si="5">(B19-Lowest_bill_SSW_protecting_wildlife)/(Highest_servicelevel_SSW_protecting_wildlife-Lowest_servicelevel_SSW_protecting_wildlife)</f>
        <v>3.7000000000000002E-3</v>
      </c>
      <c r="E19" s="618">
        <v>0.6</v>
      </c>
      <c r="F19" s="652">
        <v>51.25</v>
      </c>
      <c r="G19" s="748">
        <f t="shared" si="0"/>
        <v>2.1749999999999999E-2</v>
      </c>
      <c r="H19" s="618">
        <v>0.71</v>
      </c>
      <c r="I19" s="652">
        <v>4</v>
      </c>
      <c r="J19" s="216">
        <f t="shared" si="1"/>
        <v>0.59833333333333327</v>
      </c>
      <c r="P19" s="29">
        <v>953</v>
      </c>
      <c r="Q19" s="653">
        <v>0.41</v>
      </c>
      <c r="R19" s="664">
        <v>200</v>
      </c>
      <c r="S19" s="749">
        <f t="shared" si="2"/>
        <v>3.0999999999999999E-3</v>
      </c>
      <c r="T19" s="653">
        <v>0.41</v>
      </c>
      <c r="U19" s="664">
        <v>9</v>
      </c>
      <c r="V19" s="216">
        <f t="shared" si="3"/>
        <v>5.8571428571428566E-2</v>
      </c>
      <c r="W19" s="653">
        <v>-6.16</v>
      </c>
      <c r="X19" s="664">
        <v>14</v>
      </c>
      <c r="Y19" s="216">
        <f t="shared" si="4"/>
        <v>0</v>
      </c>
    </row>
    <row r="20" spans="1:25" x14ac:dyDescent="0.25">
      <c r="A20" s="29">
        <v>822</v>
      </c>
      <c r="B20" s="618">
        <v>0.6</v>
      </c>
      <c r="C20" s="652">
        <v>237.5</v>
      </c>
      <c r="D20" s="747">
        <f t="shared" si="5"/>
        <v>4.0999999999999995E-3</v>
      </c>
      <c r="E20" s="618">
        <v>2.02</v>
      </c>
      <c r="F20" s="652">
        <v>47.5</v>
      </c>
      <c r="G20" s="748">
        <f t="shared" si="0"/>
        <v>5.7250000000000002E-2</v>
      </c>
      <c r="H20" s="618">
        <v>0.71</v>
      </c>
      <c r="I20" s="652">
        <v>4</v>
      </c>
      <c r="J20" s="216">
        <f t="shared" si="1"/>
        <v>0.59833333333333327</v>
      </c>
      <c r="P20" s="29">
        <v>956</v>
      </c>
      <c r="Q20" s="653">
        <v>0.41</v>
      </c>
      <c r="R20" s="664">
        <v>200</v>
      </c>
      <c r="S20" s="749">
        <f t="shared" si="2"/>
        <v>3.0999999999999999E-3</v>
      </c>
      <c r="T20" s="653">
        <v>1.55</v>
      </c>
      <c r="U20" s="664">
        <v>9</v>
      </c>
      <c r="V20" s="216">
        <f t="shared" si="3"/>
        <v>0.22142857142857145</v>
      </c>
      <c r="W20" s="653">
        <v>0.68</v>
      </c>
      <c r="X20" s="664">
        <v>4.25</v>
      </c>
      <c r="Y20" s="216">
        <f t="shared" si="4"/>
        <v>0.56999999999999995</v>
      </c>
    </row>
    <row r="21" spans="1:25" x14ac:dyDescent="0.25">
      <c r="A21" s="29">
        <v>825</v>
      </c>
      <c r="B21" s="618">
        <v>0.43</v>
      </c>
      <c r="C21" s="652">
        <v>200</v>
      </c>
      <c r="D21" s="747">
        <f t="shared" si="5"/>
        <v>3.2500000000000003E-3</v>
      </c>
      <c r="E21" s="618">
        <v>0.68</v>
      </c>
      <c r="F21" s="652">
        <v>50</v>
      </c>
      <c r="G21" s="748">
        <f t="shared" si="0"/>
        <v>2.375E-2</v>
      </c>
      <c r="H21" s="618">
        <v>6.47</v>
      </c>
      <c r="I21" s="652">
        <v>2</v>
      </c>
      <c r="J21" s="216">
        <f t="shared" si="1"/>
        <v>1.0783333333333334</v>
      </c>
      <c r="P21" s="29">
        <v>959</v>
      </c>
      <c r="Q21" s="653">
        <v>0.57999999999999996</v>
      </c>
      <c r="R21" s="664">
        <v>237.5</v>
      </c>
      <c r="S21" s="749">
        <f t="shared" si="2"/>
        <v>3.9499999999999995E-3</v>
      </c>
      <c r="T21" s="653">
        <v>0.77</v>
      </c>
      <c r="U21" s="664">
        <v>9</v>
      </c>
      <c r="V21" s="216">
        <f t="shared" si="3"/>
        <v>0.11</v>
      </c>
      <c r="W21" s="653">
        <v>0.68</v>
      </c>
      <c r="X21" s="664">
        <v>4.25</v>
      </c>
      <c r="Y21" s="216">
        <f t="shared" si="4"/>
        <v>0.56999999999999995</v>
      </c>
    </row>
    <row r="22" spans="1:25" x14ac:dyDescent="0.25">
      <c r="A22" s="29">
        <v>849</v>
      </c>
      <c r="B22" s="618">
        <v>0.43</v>
      </c>
      <c r="C22" s="652">
        <v>200</v>
      </c>
      <c r="D22" s="747">
        <f t="shared" si="5"/>
        <v>3.2500000000000003E-3</v>
      </c>
      <c r="E22" s="618">
        <v>0.68</v>
      </c>
      <c r="F22" s="652">
        <v>50</v>
      </c>
      <c r="G22" s="748">
        <f t="shared" si="0"/>
        <v>2.375E-2</v>
      </c>
      <c r="H22" s="618">
        <v>0.71</v>
      </c>
      <c r="I22" s="652">
        <v>4</v>
      </c>
      <c r="J22" s="216">
        <f t="shared" si="1"/>
        <v>0.59833333333333327</v>
      </c>
      <c r="P22" s="29">
        <v>967</v>
      </c>
      <c r="Q22" s="653">
        <v>0.6</v>
      </c>
      <c r="R22" s="664">
        <v>243.75</v>
      </c>
      <c r="S22" s="749">
        <f t="shared" si="2"/>
        <v>4.0499999999999998E-3</v>
      </c>
      <c r="T22" s="653">
        <v>2.4</v>
      </c>
      <c r="U22" s="664">
        <v>8.375</v>
      </c>
      <c r="V22" s="216">
        <f t="shared" si="3"/>
        <v>0.34285714285714286</v>
      </c>
      <c r="W22" s="653">
        <v>1.36</v>
      </c>
      <c r="X22" s="664">
        <v>4.25</v>
      </c>
      <c r="Y22" s="216">
        <f t="shared" si="4"/>
        <v>0.62666666666666671</v>
      </c>
    </row>
    <row r="23" spans="1:25" x14ac:dyDescent="0.25">
      <c r="A23" s="29">
        <v>850</v>
      </c>
      <c r="B23" s="618">
        <v>-0.22</v>
      </c>
      <c r="C23" s="652">
        <v>50</v>
      </c>
      <c r="D23" s="747">
        <f t="shared" si="5"/>
        <v>0</v>
      </c>
      <c r="E23" s="618">
        <v>0.43</v>
      </c>
      <c r="F23" s="652">
        <v>53.75</v>
      </c>
      <c r="G23" s="748">
        <f t="shared" si="0"/>
        <v>1.7499999999999998E-2</v>
      </c>
      <c r="H23" s="618">
        <v>0.71</v>
      </c>
      <c r="I23" s="652">
        <v>4</v>
      </c>
      <c r="J23" s="216">
        <f t="shared" si="1"/>
        <v>0.59833333333333327</v>
      </c>
      <c r="P23" s="29">
        <v>973</v>
      </c>
      <c r="Q23" s="653">
        <v>0.41</v>
      </c>
      <c r="R23" s="664">
        <v>200</v>
      </c>
      <c r="S23" s="749">
        <f t="shared" si="2"/>
        <v>3.0999999999999999E-3</v>
      </c>
      <c r="T23" s="653">
        <v>0.66</v>
      </c>
      <c r="U23" s="664">
        <v>9</v>
      </c>
      <c r="V23" s="216">
        <f t="shared" si="3"/>
        <v>9.4285714285714292E-2</v>
      </c>
      <c r="W23" s="653">
        <v>0.68</v>
      </c>
      <c r="X23" s="664">
        <v>4.25</v>
      </c>
      <c r="Y23" s="216">
        <f t="shared" si="4"/>
        <v>0.56999999999999995</v>
      </c>
    </row>
    <row r="24" spans="1:25" x14ac:dyDescent="0.25">
      <c r="A24" s="29">
        <v>867</v>
      </c>
      <c r="B24" s="618">
        <v>0.65</v>
      </c>
      <c r="C24" s="652">
        <v>250</v>
      </c>
      <c r="D24" s="747">
        <f t="shared" si="5"/>
        <v>4.3499999999999997E-3</v>
      </c>
      <c r="E24" s="618">
        <v>0.39</v>
      </c>
      <c r="F24" s="652">
        <v>55</v>
      </c>
      <c r="G24" s="748">
        <f t="shared" si="0"/>
        <v>1.6500000000000001E-2</v>
      </c>
      <c r="H24" s="618">
        <v>0.55000000000000004</v>
      </c>
      <c r="I24" s="652">
        <v>4.75</v>
      </c>
      <c r="J24" s="216">
        <f t="shared" si="1"/>
        <v>0.58499999999999996</v>
      </c>
      <c r="P24" s="29">
        <v>986</v>
      </c>
      <c r="Q24" s="653">
        <v>0.45</v>
      </c>
      <c r="R24" s="664">
        <v>206.25</v>
      </c>
      <c r="S24" s="749">
        <f t="shared" si="2"/>
        <v>3.3E-3</v>
      </c>
      <c r="T24" s="653">
        <v>1.42</v>
      </c>
      <c r="U24" s="664">
        <v>9</v>
      </c>
      <c r="V24" s="216">
        <f t="shared" si="3"/>
        <v>0.20285714285714285</v>
      </c>
      <c r="W24" s="653">
        <v>0.68</v>
      </c>
      <c r="X24" s="664">
        <v>4.25</v>
      </c>
      <c r="Y24" s="216">
        <f t="shared" si="4"/>
        <v>0.56999999999999995</v>
      </c>
    </row>
    <row r="25" spans="1:25" x14ac:dyDescent="0.25">
      <c r="A25" s="29">
        <v>870</v>
      </c>
      <c r="B25" s="618">
        <v>0.52</v>
      </c>
      <c r="C25" s="652">
        <v>218.75</v>
      </c>
      <c r="D25" s="747">
        <f t="shared" si="5"/>
        <v>3.7000000000000002E-3</v>
      </c>
      <c r="E25" s="618">
        <v>4.38</v>
      </c>
      <c r="F25" s="652">
        <v>40</v>
      </c>
      <c r="G25" s="748">
        <f t="shared" si="0"/>
        <v>0.11625000000000001</v>
      </c>
      <c r="H25" s="618">
        <v>0.36</v>
      </c>
      <c r="I25" s="652">
        <v>5</v>
      </c>
      <c r="J25" s="216">
        <f t="shared" si="1"/>
        <v>0.56916666666666671</v>
      </c>
      <c r="P25" s="29">
        <v>1137</v>
      </c>
      <c r="Q25" s="653">
        <v>0.56000000000000005</v>
      </c>
      <c r="R25" s="664">
        <v>231.25</v>
      </c>
      <c r="S25" s="749">
        <f t="shared" si="2"/>
        <v>3.8500000000000001E-3</v>
      </c>
      <c r="T25" s="653">
        <v>1.37</v>
      </c>
      <c r="U25" s="664">
        <v>9</v>
      </c>
      <c r="V25" s="216">
        <f t="shared" si="3"/>
        <v>0.19571428571428573</v>
      </c>
      <c r="W25" s="653">
        <v>0.68</v>
      </c>
      <c r="X25" s="664">
        <v>4.25</v>
      </c>
      <c r="Y25" s="216">
        <f t="shared" si="4"/>
        <v>0.56999999999999995</v>
      </c>
    </row>
    <row r="26" spans="1:25" x14ac:dyDescent="0.25">
      <c r="A26" s="29">
        <v>872</v>
      </c>
      <c r="B26" s="618">
        <v>0.42</v>
      </c>
      <c r="C26" s="652">
        <v>193.75</v>
      </c>
      <c r="D26" s="747">
        <f t="shared" si="5"/>
        <v>3.2000000000000002E-3</v>
      </c>
      <c r="E26" s="618">
        <v>1.35</v>
      </c>
      <c r="F26" s="652">
        <v>48.75</v>
      </c>
      <c r="G26" s="748">
        <f t="shared" si="0"/>
        <v>4.0500000000000001E-2</v>
      </c>
      <c r="H26" s="618">
        <v>0.64</v>
      </c>
      <c r="I26" s="652">
        <v>4.25</v>
      </c>
      <c r="J26" s="216">
        <f t="shared" si="1"/>
        <v>0.59249999999999992</v>
      </c>
      <c r="P26" s="29">
        <v>1140</v>
      </c>
      <c r="Q26" s="653">
        <v>0.62</v>
      </c>
      <c r="R26" s="664">
        <v>250</v>
      </c>
      <c r="S26" s="749">
        <f t="shared" si="2"/>
        <v>4.15E-3</v>
      </c>
      <c r="T26" s="653">
        <v>1.55</v>
      </c>
      <c r="U26" s="664">
        <v>9</v>
      </c>
      <c r="V26" s="216">
        <f t="shared" si="3"/>
        <v>0.22142857142857145</v>
      </c>
      <c r="W26" s="653">
        <v>0.37</v>
      </c>
      <c r="X26" s="664">
        <v>5.25</v>
      </c>
      <c r="Y26" s="216">
        <f t="shared" si="4"/>
        <v>0.54416666666666669</v>
      </c>
    </row>
    <row r="27" spans="1:25" x14ac:dyDescent="0.25">
      <c r="A27" s="29">
        <v>873</v>
      </c>
      <c r="B27" s="618">
        <v>0.43</v>
      </c>
      <c r="C27" s="652">
        <v>200</v>
      </c>
      <c r="D27" s="747">
        <f t="shared" si="5"/>
        <v>3.2500000000000003E-3</v>
      </c>
      <c r="E27" s="618">
        <v>0.68</v>
      </c>
      <c r="F27" s="652">
        <v>50</v>
      </c>
      <c r="G27" s="748">
        <f t="shared" si="0"/>
        <v>2.375E-2</v>
      </c>
      <c r="H27" s="618">
        <v>0.71</v>
      </c>
      <c r="I27" s="652">
        <v>4</v>
      </c>
      <c r="J27" s="216">
        <f t="shared" si="1"/>
        <v>0.59833333333333327</v>
      </c>
      <c r="P27" s="29">
        <v>1141</v>
      </c>
      <c r="Q27" s="653">
        <v>0.44</v>
      </c>
      <c r="R27" s="664">
        <v>206.25</v>
      </c>
      <c r="S27" s="749">
        <f t="shared" si="2"/>
        <v>3.2500000000000003E-3</v>
      </c>
      <c r="T27" s="653">
        <v>1.61</v>
      </c>
      <c r="U27" s="664">
        <v>9</v>
      </c>
      <c r="V27" s="216">
        <f t="shared" si="3"/>
        <v>0.23</v>
      </c>
      <c r="W27" s="653">
        <v>0.68</v>
      </c>
      <c r="X27" s="664">
        <v>4.25</v>
      </c>
      <c r="Y27" s="216">
        <f t="shared" si="4"/>
        <v>0.56999999999999995</v>
      </c>
    </row>
    <row r="28" spans="1:25" x14ac:dyDescent="0.25">
      <c r="A28" s="29">
        <v>887</v>
      </c>
      <c r="B28" s="618">
        <v>0.43</v>
      </c>
      <c r="C28" s="652">
        <v>200</v>
      </c>
      <c r="D28" s="747">
        <f t="shared" si="5"/>
        <v>3.2500000000000003E-3</v>
      </c>
      <c r="E28" s="618">
        <v>1.25</v>
      </c>
      <c r="F28" s="652">
        <v>48.75</v>
      </c>
      <c r="G28" s="748">
        <f t="shared" si="0"/>
        <v>3.7999999999999999E-2</v>
      </c>
      <c r="H28" s="618">
        <v>0.71</v>
      </c>
      <c r="I28" s="652">
        <v>4</v>
      </c>
      <c r="J28" s="216">
        <f t="shared" si="1"/>
        <v>0.59833333333333327</v>
      </c>
      <c r="P28" s="29">
        <v>1283</v>
      </c>
      <c r="Q28" s="653">
        <v>0.33</v>
      </c>
      <c r="R28" s="664">
        <v>175</v>
      </c>
      <c r="S28" s="749">
        <f t="shared" si="2"/>
        <v>2.7000000000000001E-3</v>
      </c>
      <c r="T28" s="653">
        <v>0.41</v>
      </c>
      <c r="U28" s="664">
        <v>9</v>
      </c>
      <c r="V28" s="216">
        <f t="shared" si="3"/>
        <v>5.8571428571428566E-2</v>
      </c>
      <c r="W28" s="653">
        <v>0.36</v>
      </c>
      <c r="X28" s="664">
        <v>5.25</v>
      </c>
      <c r="Y28" s="216">
        <f t="shared" si="4"/>
        <v>0.54333333333333333</v>
      </c>
    </row>
    <row r="29" spans="1:25" x14ac:dyDescent="0.25">
      <c r="A29" s="29">
        <v>964</v>
      </c>
      <c r="B29" s="618">
        <v>0.5</v>
      </c>
      <c r="C29" s="652">
        <v>212.5</v>
      </c>
      <c r="D29" s="747">
        <f t="shared" si="5"/>
        <v>3.5999999999999999E-3</v>
      </c>
      <c r="E29" s="618">
        <v>1.25</v>
      </c>
      <c r="F29" s="652">
        <v>48.75</v>
      </c>
      <c r="G29" s="748">
        <f t="shared" si="0"/>
        <v>3.7999999999999999E-2</v>
      </c>
      <c r="H29" s="618">
        <v>0.67</v>
      </c>
      <c r="I29" s="652">
        <v>4.25</v>
      </c>
      <c r="J29" s="216">
        <f t="shared" si="1"/>
        <v>0.59499999999999997</v>
      </c>
      <c r="P29" s="29">
        <v>1333</v>
      </c>
      <c r="Q29" s="653">
        <v>0.41</v>
      </c>
      <c r="R29" s="664">
        <v>200</v>
      </c>
      <c r="S29" s="749">
        <f t="shared" si="2"/>
        <v>3.0999999999999999E-3</v>
      </c>
      <c r="T29" s="653">
        <v>0.57999999999999996</v>
      </c>
      <c r="U29" s="664">
        <v>9</v>
      </c>
      <c r="V29" s="216">
        <f t="shared" si="3"/>
        <v>8.2857142857142851E-2</v>
      </c>
      <c r="W29" s="653">
        <v>0.68</v>
      </c>
      <c r="X29" s="664">
        <v>4.25</v>
      </c>
      <c r="Y29" s="216">
        <f t="shared" si="4"/>
        <v>0.56999999999999995</v>
      </c>
    </row>
    <row r="30" spans="1:25" x14ac:dyDescent="0.25">
      <c r="A30" s="29">
        <v>968</v>
      </c>
      <c r="B30" s="618">
        <v>0.43</v>
      </c>
      <c r="C30" s="652">
        <v>200</v>
      </c>
      <c r="D30" s="747">
        <f t="shared" si="5"/>
        <v>3.2500000000000003E-3</v>
      </c>
      <c r="E30" s="618">
        <v>0.68</v>
      </c>
      <c r="F30" s="652">
        <v>50</v>
      </c>
      <c r="G30" s="748">
        <f t="shared" si="0"/>
        <v>2.375E-2</v>
      </c>
      <c r="H30" s="618">
        <v>0.71</v>
      </c>
      <c r="I30" s="652">
        <v>4</v>
      </c>
      <c r="J30" s="216">
        <f t="shared" si="1"/>
        <v>0.59833333333333327</v>
      </c>
      <c r="P30" s="29">
        <v>1376</v>
      </c>
      <c r="Q30" s="653">
        <v>0.41</v>
      </c>
      <c r="R30" s="664">
        <v>200</v>
      </c>
      <c r="S30" s="749">
        <f t="shared" si="2"/>
        <v>3.0999999999999999E-3</v>
      </c>
      <c r="T30" s="653">
        <v>0.41</v>
      </c>
      <c r="U30" s="664">
        <v>9</v>
      </c>
      <c r="V30" s="216">
        <f t="shared" si="3"/>
        <v>5.8571428571428566E-2</v>
      </c>
      <c r="W30" s="653">
        <v>2.66</v>
      </c>
      <c r="X30" s="664">
        <v>4.25</v>
      </c>
      <c r="Y30" s="216">
        <f t="shared" si="4"/>
        <v>0.73499999999999999</v>
      </c>
    </row>
    <row r="31" spans="1:25" x14ac:dyDescent="0.25">
      <c r="A31" s="29">
        <v>970</v>
      </c>
      <c r="B31" s="618">
        <v>0.5</v>
      </c>
      <c r="C31" s="652">
        <v>212.5</v>
      </c>
      <c r="D31" s="747">
        <f t="shared" si="5"/>
        <v>3.5999999999999999E-3</v>
      </c>
      <c r="E31" s="618">
        <v>1.66</v>
      </c>
      <c r="F31" s="652">
        <v>47.5</v>
      </c>
      <c r="G31" s="748">
        <f t="shared" si="0"/>
        <v>4.8250000000000001E-2</v>
      </c>
      <c r="H31" s="618">
        <v>0.71</v>
      </c>
      <c r="I31" s="652">
        <v>4</v>
      </c>
      <c r="J31" s="216">
        <f t="shared" si="1"/>
        <v>0.59833333333333327</v>
      </c>
      <c r="P31" s="29">
        <v>1379</v>
      </c>
      <c r="Q31" s="653">
        <v>0.41</v>
      </c>
      <c r="R31" s="664">
        <v>200</v>
      </c>
      <c r="S31" s="749">
        <f t="shared" si="2"/>
        <v>3.0999999999999999E-3</v>
      </c>
      <c r="T31" s="653">
        <v>1.01</v>
      </c>
      <c r="U31" s="664">
        <v>9</v>
      </c>
      <c r="V31" s="216">
        <f t="shared" si="3"/>
        <v>0.14428571428571429</v>
      </c>
      <c r="W31" s="653">
        <v>0.39</v>
      </c>
      <c r="X31" s="664">
        <v>5.25</v>
      </c>
      <c r="Y31" s="216">
        <f t="shared" si="4"/>
        <v>0.54583333333333328</v>
      </c>
    </row>
    <row r="32" spans="1:25" x14ac:dyDescent="0.25">
      <c r="A32" s="29">
        <v>974</v>
      </c>
      <c r="B32" s="618">
        <v>0.43</v>
      </c>
      <c r="C32" s="652">
        <v>200</v>
      </c>
      <c r="D32" s="747">
        <f t="shared" si="5"/>
        <v>3.2500000000000003E-3</v>
      </c>
      <c r="E32" s="618">
        <v>0.68</v>
      </c>
      <c r="F32" s="652">
        <v>50</v>
      </c>
      <c r="G32" s="748">
        <f t="shared" si="0"/>
        <v>2.375E-2</v>
      </c>
      <c r="H32" s="618">
        <v>0.71</v>
      </c>
      <c r="I32" s="652">
        <v>4</v>
      </c>
      <c r="J32" s="216">
        <f t="shared" si="1"/>
        <v>0.59833333333333327</v>
      </c>
      <c r="P32" s="29">
        <v>1390</v>
      </c>
      <c r="Q32" s="653">
        <v>0.41</v>
      </c>
      <c r="R32" s="664">
        <v>200</v>
      </c>
      <c r="S32" s="749">
        <f t="shared" si="2"/>
        <v>3.0999999999999999E-3</v>
      </c>
      <c r="T32" s="653">
        <v>0.12</v>
      </c>
      <c r="U32" s="664">
        <v>10.5</v>
      </c>
      <c r="V32" s="216">
        <f t="shared" si="3"/>
        <v>1.7142857142857144E-2</v>
      </c>
      <c r="W32" s="653">
        <v>0.44</v>
      </c>
      <c r="X32" s="664">
        <v>5.25</v>
      </c>
      <c r="Y32" s="216">
        <f t="shared" si="4"/>
        <v>0.55000000000000004</v>
      </c>
    </row>
    <row r="33" spans="1:25" x14ac:dyDescent="0.25">
      <c r="A33" s="29">
        <v>976</v>
      </c>
      <c r="B33" s="618">
        <v>0.65</v>
      </c>
      <c r="C33" s="652">
        <v>250</v>
      </c>
      <c r="D33" s="747">
        <f t="shared" si="5"/>
        <v>4.3499999999999997E-3</v>
      </c>
      <c r="E33" s="618">
        <v>4.38</v>
      </c>
      <c r="F33" s="652">
        <v>40</v>
      </c>
      <c r="G33" s="748">
        <f t="shared" si="0"/>
        <v>0.11625000000000001</v>
      </c>
      <c r="H33" s="618">
        <v>6.47</v>
      </c>
      <c r="I33" s="652">
        <v>2</v>
      </c>
      <c r="J33" s="216">
        <f t="shared" si="1"/>
        <v>1.0783333333333334</v>
      </c>
      <c r="P33" s="29">
        <v>1407</v>
      </c>
      <c r="Q33" s="653">
        <v>0.5</v>
      </c>
      <c r="R33" s="664">
        <v>218.75</v>
      </c>
      <c r="S33" s="749">
        <f t="shared" si="2"/>
        <v>3.5499999999999998E-3</v>
      </c>
      <c r="T33" s="653">
        <v>0.89</v>
      </c>
      <c r="U33" s="664">
        <v>9</v>
      </c>
      <c r="V33" s="216">
        <f t="shared" si="3"/>
        <v>0.12714285714285714</v>
      </c>
      <c r="W33" s="653">
        <v>0.68</v>
      </c>
      <c r="X33" s="664">
        <v>4.25</v>
      </c>
      <c r="Y33" s="216">
        <f t="shared" si="4"/>
        <v>0.56999999999999995</v>
      </c>
    </row>
    <row r="34" spans="1:25" x14ac:dyDescent="0.25">
      <c r="A34" s="29">
        <v>977</v>
      </c>
      <c r="B34" s="618">
        <v>0.45</v>
      </c>
      <c r="C34" s="652">
        <v>200</v>
      </c>
      <c r="D34" s="747">
        <f t="shared" si="5"/>
        <v>3.3500000000000001E-3</v>
      </c>
      <c r="E34" s="618">
        <v>0.68</v>
      </c>
      <c r="F34" s="652">
        <v>50</v>
      </c>
      <c r="G34" s="748">
        <f t="shared" si="0"/>
        <v>2.375E-2</v>
      </c>
      <c r="H34" s="618">
        <v>0.01</v>
      </c>
      <c r="I34" s="652">
        <v>6</v>
      </c>
      <c r="J34" s="216">
        <f t="shared" si="1"/>
        <v>0.53999999999999992</v>
      </c>
      <c r="P34" s="29">
        <v>1458</v>
      </c>
      <c r="Q34" s="653">
        <v>0</v>
      </c>
      <c r="R34" s="664">
        <v>100</v>
      </c>
      <c r="S34" s="749">
        <f t="shared" si="2"/>
        <v>1.0499999999999999E-3</v>
      </c>
      <c r="T34" s="653">
        <v>0</v>
      </c>
      <c r="U34" s="664">
        <v>15</v>
      </c>
      <c r="V34" s="216">
        <f t="shared" si="3"/>
        <v>0</v>
      </c>
      <c r="W34" s="653">
        <v>0</v>
      </c>
      <c r="X34" s="664">
        <v>6</v>
      </c>
      <c r="Y34" s="216">
        <f t="shared" si="4"/>
        <v>0.51333333333333331</v>
      </c>
    </row>
    <row r="35" spans="1:25" x14ac:dyDescent="0.25">
      <c r="A35" s="29">
        <v>982</v>
      </c>
      <c r="B35" s="618">
        <v>0.43</v>
      </c>
      <c r="C35" s="652">
        <v>200</v>
      </c>
      <c r="D35" s="747">
        <f t="shared" si="5"/>
        <v>3.2500000000000003E-3</v>
      </c>
      <c r="E35" s="618">
        <v>1.44</v>
      </c>
      <c r="F35" s="652">
        <v>48.75</v>
      </c>
      <c r="G35" s="748">
        <f t="shared" si="0"/>
        <v>4.2749999999999996E-2</v>
      </c>
      <c r="H35" s="618">
        <v>0.71</v>
      </c>
      <c r="I35" s="652">
        <v>4</v>
      </c>
      <c r="J35" s="216">
        <f t="shared" si="1"/>
        <v>0.59833333333333327</v>
      </c>
      <c r="P35" s="29">
        <v>1505</v>
      </c>
      <c r="Q35" s="653">
        <v>0.41</v>
      </c>
      <c r="R35" s="664">
        <v>200</v>
      </c>
      <c r="S35" s="749">
        <f t="shared" si="2"/>
        <v>3.0999999999999999E-3</v>
      </c>
      <c r="T35" s="653">
        <v>0.41</v>
      </c>
      <c r="U35" s="664">
        <v>9</v>
      </c>
      <c r="V35" s="216">
        <f t="shared" si="3"/>
        <v>5.8571428571428566E-2</v>
      </c>
      <c r="W35" s="653">
        <v>0.68</v>
      </c>
      <c r="X35" s="664">
        <v>4.25</v>
      </c>
      <c r="Y35" s="216">
        <f t="shared" si="4"/>
        <v>0.56999999999999995</v>
      </c>
    </row>
    <row r="36" spans="1:25" x14ac:dyDescent="0.25">
      <c r="A36" s="29">
        <v>985</v>
      </c>
      <c r="B36" s="618">
        <v>0.16</v>
      </c>
      <c r="C36" s="652">
        <v>131.25</v>
      </c>
      <c r="D36" s="747">
        <f t="shared" si="5"/>
        <v>1.9E-3</v>
      </c>
      <c r="E36" s="618">
        <v>2.3199999999999998</v>
      </c>
      <c r="F36" s="652">
        <v>46.25</v>
      </c>
      <c r="G36" s="748">
        <f t="shared" si="0"/>
        <v>6.4750000000000002E-2</v>
      </c>
      <c r="H36" s="618">
        <v>0.35</v>
      </c>
      <c r="I36" s="652">
        <v>5.25</v>
      </c>
      <c r="J36" s="216">
        <f t="shared" si="1"/>
        <v>0.56833333333333325</v>
      </c>
      <c r="P36" s="29">
        <v>1548</v>
      </c>
      <c r="Q36" s="653">
        <v>0.54</v>
      </c>
      <c r="R36" s="664">
        <v>231.25</v>
      </c>
      <c r="S36" s="749">
        <f t="shared" si="2"/>
        <v>3.7499999999999999E-3</v>
      </c>
      <c r="T36" s="653">
        <v>2.15</v>
      </c>
      <c r="U36" s="664">
        <v>8.375</v>
      </c>
      <c r="V36" s="216">
        <f t="shared" si="3"/>
        <v>0.30714285714285711</v>
      </c>
      <c r="W36" s="653">
        <v>-0.01</v>
      </c>
      <c r="X36" s="664">
        <v>6.5</v>
      </c>
      <c r="Y36" s="216">
        <f t="shared" si="4"/>
        <v>0.51250000000000007</v>
      </c>
    </row>
    <row r="37" spans="1:25" x14ac:dyDescent="0.25">
      <c r="A37" s="29">
        <v>1187</v>
      </c>
      <c r="B37" s="618">
        <v>0.25</v>
      </c>
      <c r="C37" s="652">
        <v>156.25</v>
      </c>
      <c r="D37" s="747">
        <f t="shared" si="5"/>
        <v>2.3499999999999997E-3</v>
      </c>
      <c r="E37" s="618">
        <v>0.6</v>
      </c>
      <c r="F37" s="652">
        <v>51.25</v>
      </c>
      <c r="G37" s="748">
        <f t="shared" si="0"/>
        <v>2.1749999999999999E-2</v>
      </c>
      <c r="H37" s="618">
        <v>0.31</v>
      </c>
      <c r="I37" s="652">
        <v>5.25</v>
      </c>
      <c r="J37" s="216">
        <f t="shared" si="1"/>
        <v>0.56499999999999995</v>
      </c>
      <c r="P37" s="29">
        <v>1552</v>
      </c>
      <c r="Q37" s="653">
        <v>0.4</v>
      </c>
      <c r="R37" s="664">
        <v>193.75</v>
      </c>
      <c r="S37" s="749">
        <f t="shared" si="2"/>
        <v>3.0499999999999998E-3</v>
      </c>
      <c r="T37" s="653">
        <v>0.38</v>
      </c>
      <c r="U37" s="664">
        <v>9.25</v>
      </c>
      <c r="V37" s="216">
        <f t="shared" si="3"/>
        <v>5.4285714285714284E-2</v>
      </c>
      <c r="W37" s="653">
        <v>0.68</v>
      </c>
      <c r="X37" s="664">
        <v>4.25</v>
      </c>
      <c r="Y37" s="216">
        <f t="shared" si="4"/>
        <v>0.56999999999999995</v>
      </c>
    </row>
    <row r="38" spans="1:25" x14ac:dyDescent="0.25">
      <c r="A38" s="29">
        <v>1231</v>
      </c>
      <c r="B38" s="618">
        <v>0.4</v>
      </c>
      <c r="C38" s="652">
        <v>193.75</v>
      </c>
      <c r="D38" s="747">
        <f t="shared" si="5"/>
        <v>3.0999999999999999E-3</v>
      </c>
      <c r="E38" s="618">
        <v>1.35</v>
      </c>
      <c r="F38" s="652">
        <v>48.75</v>
      </c>
      <c r="G38" s="748">
        <f t="shared" si="0"/>
        <v>4.0500000000000001E-2</v>
      </c>
      <c r="H38" s="618">
        <v>0.5</v>
      </c>
      <c r="I38" s="652">
        <v>4.75</v>
      </c>
      <c r="J38" s="216">
        <f t="shared" si="1"/>
        <v>0.58083333333333331</v>
      </c>
      <c r="P38" s="29">
        <v>1555</v>
      </c>
      <c r="Q38" s="653">
        <v>0.43</v>
      </c>
      <c r="R38" s="664">
        <v>200</v>
      </c>
      <c r="S38" s="749">
        <f t="shared" si="2"/>
        <v>3.2000000000000002E-3</v>
      </c>
      <c r="T38" s="653">
        <v>0.83</v>
      </c>
      <c r="U38" s="664">
        <v>9</v>
      </c>
      <c r="V38" s="216">
        <f t="shared" si="3"/>
        <v>0.11857142857142856</v>
      </c>
      <c r="W38" s="653">
        <v>0.36</v>
      </c>
      <c r="X38" s="664">
        <v>5.25</v>
      </c>
      <c r="Y38" s="216">
        <f t="shared" si="4"/>
        <v>0.54333333333333333</v>
      </c>
    </row>
    <row r="39" spans="1:25" x14ac:dyDescent="0.25">
      <c r="A39" s="29">
        <v>1244</v>
      </c>
      <c r="B39" s="618">
        <v>0.36</v>
      </c>
      <c r="C39" s="652">
        <v>181.25</v>
      </c>
      <c r="D39" s="747">
        <f t="shared" si="5"/>
        <v>2.8999999999999998E-3</v>
      </c>
      <c r="E39" s="618">
        <v>0.81</v>
      </c>
      <c r="F39" s="652">
        <v>50</v>
      </c>
      <c r="G39" s="748">
        <f t="shared" si="0"/>
        <v>2.7000000000000003E-2</v>
      </c>
      <c r="H39" s="618">
        <v>2.12</v>
      </c>
      <c r="I39" s="652">
        <v>3.75</v>
      </c>
      <c r="J39" s="216">
        <f t="shared" si="1"/>
        <v>0.71583333333333332</v>
      </c>
      <c r="P39" s="29">
        <v>1582</v>
      </c>
      <c r="Q39" s="653">
        <v>0.62</v>
      </c>
      <c r="R39" s="664">
        <v>250</v>
      </c>
      <c r="S39" s="749">
        <f t="shared" si="2"/>
        <v>4.15E-3</v>
      </c>
      <c r="T39" s="653">
        <v>0.41</v>
      </c>
      <c r="U39" s="664">
        <v>9</v>
      </c>
      <c r="V39" s="216">
        <f t="shared" si="3"/>
        <v>5.8571428571428566E-2</v>
      </c>
      <c r="W39" s="653">
        <v>-6.16</v>
      </c>
      <c r="X39" s="664">
        <v>14</v>
      </c>
      <c r="Y39" s="216">
        <f t="shared" si="4"/>
        <v>0</v>
      </c>
    </row>
    <row r="40" spans="1:25" x14ac:dyDescent="0.25">
      <c r="A40" s="29">
        <v>1255</v>
      </c>
      <c r="B40" s="618">
        <v>0.43</v>
      </c>
      <c r="C40" s="652">
        <v>200</v>
      </c>
      <c r="D40" s="747">
        <f t="shared" si="5"/>
        <v>3.2500000000000003E-3</v>
      </c>
      <c r="E40" s="618">
        <v>4.38</v>
      </c>
      <c r="F40" s="652">
        <v>40</v>
      </c>
      <c r="G40" s="748">
        <f t="shared" si="0"/>
        <v>0.11625000000000001</v>
      </c>
      <c r="H40" s="618">
        <v>4.53</v>
      </c>
      <c r="I40" s="652">
        <v>3.25</v>
      </c>
      <c r="J40" s="216">
        <f t="shared" si="1"/>
        <v>0.91666666666666663</v>
      </c>
      <c r="P40" s="29">
        <v>1587</v>
      </c>
      <c r="Q40" s="653">
        <v>0.47</v>
      </c>
      <c r="R40" s="664">
        <v>212.5</v>
      </c>
      <c r="S40" s="749">
        <f t="shared" si="2"/>
        <v>3.3999999999999998E-3</v>
      </c>
      <c r="T40" s="653">
        <v>1.25</v>
      </c>
      <c r="U40" s="664">
        <v>9</v>
      </c>
      <c r="V40" s="216">
        <f t="shared" si="3"/>
        <v>0.17857142857142858</v>
      </c>
      <c r="W40" s="653">
        <v>-1.04</v>
      </c>
      <c r="X40" s="664">
        <v>7.5</v>
      </c>
      <c r="Y40" s="216">
        <f t="shared" si="4"/>
        <v>0.42666666666666669</v>
      </c>
    </row>
    <row r="41" spans="1:25" x14ac:dyDescent="0.25">
      <c r="A41" s="29">
        <v>1285</v>
      </c>
      <c r="B41" s="618">
        <v>0.47</v>
      </c>
      <c r="C41" s="652">
        <v>206.25</v>
      </c>
      <c r="D41" s="747">
        <f t="shared" si="5"/>
        <v>3.4499999999999999E-3</v>
      </c>
      <c r="E41" s="618">
        <v>1.06</v>
      </c>
      <c r="F41" s="652">
        <v>50</v>
      </c>
      <c r="G41" s="748">
        <f t="shared" si="0"/>
        <v>3.3250000000000002E-2</v>
      </c>
      <c r="H41" s="618">
        <v>0.63</v>
      </c>
      <c r="I41" s="652">
        <v>4.25</v>
      </c>
      <c r="J41" s="216">
        <f t="shared" si="1"/>
        <v>0.59166666666666667</v>
      </c>
      <c r="P41" s="29">
        <v>1615</v>
      </c>
      <c r="Q41" s="653">
        <v>0.25</v>
      </c>
      <c r="R41" s="664">
        <v>156.25</v>
      </c>
      <c r="S41" s="749">
        <f t="shared" si="2"/>
        <v>2.3E-3</v>
      </c>
      <c r="T41" s="653">
        <v>0.25</v>
      </c>
      <c r="U41" s="664">
        <v>10</v>
      </c>
      <c r="V41" s="216">
        <f t="shared" si="3"/>
        <v>3.5714285714285712E-2</v>
      </c>
      <c r="W41" s="653">
        <v>0.33</v>
      </c>
      <c r="X41" s="664">
        <v>5.25</v>
      </c>
      <c r="Y41" s="216">
        <f t="shared" si="4"/>
        <v>0.54083333333333339</v>
      </c>
    </row>
    <row r="42" spans="1:25" x14ac:dyDescent="0.25">
      <c r="A42" s="29">
        <v>1341</v>
      </c>
      <c r="B42" s="618">
        <v>0.4</v>
      </c>
      <c r="C42" s="652">
        <v>193.75</v>
      </c>
      <c r="D42" s="747">
        <f t="shared" si="5"/>
        <v>3.0999999999999999E-3</v>
      </c>
      <c r="E42" s="618">
        <v>0.96</v>
      </c>
      <c r="F42" s="652">
        <v>50</v>
      </c>
      <c r="G42" s="748">
        <f t="shared" si="0"/>
        <v>3.075E-2</v>
      </c>
      <c r="H42" s="618">
        <v>0.86</v>
      </c>
      <c r="I42" s="652">
        <v>4</v>
      </c>
      <c r="J42" s="216">
        <f t="shared" si="1"/>
        <v>0.61083333333333334</v>
      </c>
      <c r="P42" s="29">
        <v>1619</v>
      </c>
      <c r="Q42" s="653">
        <v>0.3</v>
      </c>
      <c r="R42" s="664">
        <v>168.75</v>
      </c>
      <c r="S42" s="749">
        <f t="shared" si="2"/>
        <v>2.5500000000000002E-3</v>
      </c>
      <c r="T42" s="653">
        <v>0.89</v>
      </c>
      <c r="U42" s="664">
        <v>9</v>
      </c>
      <c r="V42" s="216">
        <f t="shared" si="3"/>
        <v>0.12714285714285714</v>
      </c>
      <c r="W42" s="653">
        <v>0.42</v>
      </c>
      <c r="X42" s="664">
        <v>5.25</v>
      </c>
      <c r="Y42" s="216">
        <f t="shared" si="4"/>
        <v>0.54833333333333334</v>
      </c>
    </row>
    <row r="43" spans="1:25" x14ac:dyDescent="0.25">
      <c r="A43" s="29">
        <v>1346</v>
      </c>
      <c r="B43" s="618">
        <v>0.5</v>
      </c>
      <c r="C43" s="652">
        <v>212.5</v>
      </c>
      <c r="D43" s="747">
        <f t="shared" si="5"/>
        <v>3.5999999999999999E-3</v>
      </c>
      <c r="E43" s="618">
        <v>0.68</v>
      </c>
      <c r="F43" s="652">
        <v>50</v>
      </c>
      <c r="G43" s="748">
        <f t="shared" si="0"/>
        <v>2.375E-2</v>
      </c>
      <c r="H43" s="618">
        <v>0.71</v>
      </c>
      <c r="I43" s="652">
        <v>4</v>
      </c>
      <c r="J43" s="216">
        <f t="shared" si="1"/>
        <v>0.59833333333333327</v>
      </c>
      <c r="P43" s="29">
        <v>1627</v>
      </c>
      <c r="Q43" s="653">
        <v>-7.0000000000000007E-2</v>
      </c>
      <c r="R43" s="664">
        <v>81.25</v>
      </c>
      <c r="S43" s="749">
        <f t="shared" si="2"/>
        <v>6.9999999999999988E-4</v>
      </c>
      <c r="T43" s="653">
        <v>0</v>
      </c>
      <c r="U43" s="664">
        <v>15</v>
      </c>
      <c r="V43" s="216">
        <f t="shared" si="3"/>
        <v>0</v>
      </c>
      <c r="W43" s="653">
        <v>0.68</v>
      </c>
      <c r="X43" s="664">
        <v>4.25</v>
      </c>
      <c r="Y43" s="216">
        <f t="shared" si="4"/>
        <v>0.56999999999999995</v>
      </c>
    </row>
    <row r="44" spans="1:25" x14ac:dyDescent="0.25">
      <c r="A44" s="29">
        <v>1347</v>
      </c>
      <c r="B44" s="618">
        <v>0.16</v>
      </c>
      <c r="C44" s="652">
        <v>131.25</v>
      </c>
      <c r="D44" s="747">
        <f t="shared" si="5"/>
        <v>1.9E-3</v>
      </c>
      <c r="E44" s="618">
        <v>0.09</v>
      </c>
      <c r="F44" s="652">
        <v>58.75</v>
      </c>
      <c r="G44" s="748">
        <f t="shared" si="0"/>
        <v>8.9999999999999993E-3</v>
      </c>
      <c r="H44" s="618">
        <v>0.71</v>
      </c>
      <c r="I44" s="652">
        <v>4</v>
      </c>
      <c r="J44" s="216">
        <f t="shared" si="1"/>
        <v>0.59833333333333327</v>
      </c>
      <c r="P44" s="29">
        <v>1638</v>
      </c>
      <c r="Q44" s="653">
        <v>0.62</v>
      </c>
      <c r="R44" s="664">
        <v>250</v>
      </c>
      <c r="S44" s="749">
        <f t="shared" si="2"/>
        <v>4.15E-3</v>
      </c>
      <c r="T44" s="653">
        <v>0.12</v>
      </c>
      <c r="U44" s="664">
        <v>10.5</v>
      </c>
      <c r="V44" s="216">
        <f t="shared" si="3"/>
        <v>1.7142857142857144E-2</v>
      </c>
      <c r="W44" s="653">
        <v>-2.97</v>
      </c>
      <c r="X44" s="664">
        <v>10</v>
      </c>
      <c r="Y44" s="216">
        <f t="shared" si="4"/>
        <v>0.26583333333333331</v>
      </c>
    </row>
    <row r="45" spans="1:25" x14ac:dyDescent="0.25">
      <c r="A45" s="29">
        <v>1356</v>
      </c>
      <c r="B45" s="618">
        <v>0.5</v>
      </c>
      <c r="C45" s="652">
        <v>212.5</v>
      </c>
      <c r="D45" s="747">
        <f t="shared" si="5"/>
        <v>3.5999999999999999E-3</v>
      </c>
      <c r="E45" s="618">
        <v>4.38</v>
      </c>
      <c r="F45" s="652">
        <v>40</v>
      </c>
      <c r="G45" s="748">
        <f t="shared" si="0"/>
        <v>0.11625000000000001</v>
      </c>
      <c r="H45" s="618">
        <v>-5</v>
      </c>
      <c r="I45" s="652">
        <v>13</v>
      </c>
      <c r="J45" s="216">
        <f t="shared" si="1"/>
        <v>0.12249999999999998</v>
      </c>
      <c r="P45" s="29">
        <v>1662</v>
      </c>
      <c r="Q45" s="653">
        <v>0.39</v>
      </c>
      <c r="R45" s="664">
        <v>193.75</v>
      </c>
      <c r="S45" s="749">
        <f t="shared" si="2"/>
        <v>3.0000000000000001E-3</v>
      </c>
      <c r="T45" s="653">
        <v>2.69</v>
      </c>
      <c r="U45" s="664">
        <v>8.375</v>
      </c>
      <c r="V45" s="216">
        <f t="shared" si="3"/>
        <v>0.38428571428571429</v>
      </c>
      <c r="W45" s="653">
        <v>0.68</v>
      </c>
      <c r="X45" s="664">
        <v>4.25</v>
      </c>
      <c r="Y45" s="216">
        <f t="shared" si="4"/>
        <v>0.56999999999999995</v>
      </c>
    </row>
    <row r="46" spans="1:25" x14ac:dyDescent="0.25">
      <c r="A46" s="29">
        <v>1358</v>
      </c>
      <c r="B46" s="618">
        <v>0.23</v>
      </c>
      <c r="C46" s="652">
        <v>150</v>
      </c>
      <c r="D46" s="747">
        <f t="shared" si="5"/>
        <v>2.2500000000000003E-3</v>
      </c>
      <c r="E46" s="618">
        <v>0.68</v>
      </c>
      <c r="F46" s="652">
        <v>50</v>
      </c>
      <c r="G46" s="748">
        <f t="shared" si="0"/>
        <v>2.375E-2</v>
      </c>
      <c r="H46" s="618">
        <v>0.71</v>
      </c>
      <c r="I46" s="652">
        <v>4</v>
      </c>
      <c r="J46" s="216">
        <f t="shared" si="1"/>
        <v>0.59833333333333327</v>
      </c>
      <c r="P46" s="29">
        <v>1683</v>
      </c>
      <c r="Q46" s="653">
        <v>0.49</v>
      </c>
      <c r="R46" s="664">
        <v>218.75</v>
      </c>
      <c r="S46" s="749">
        <f t="shared" si="2"/>
        <v>3.4999999999999996E-3</v>
      </c>
      <c r="T46" s="653">
        <v>2.0299999999999998</v>
      </c>
      <c r="U46" s="664">
        <v>8.375</v>
      </c>
      <c r="V46" s="216">
        <f t="shared" si="3"/>
        <v>0.28999999999999998</v>
      </c>
      <c r="W46" s="653">
        <v>0.68</v>
      </c>
      <c r="X46" s="664">
        <v>4.25</v>
      </c>
      <c r="Y46" s="216">
        <f t="shared" si="4"/>
        <v>0.56999999999999995</v>
      </c>
    </row>
    <row r="47" spans="1:25" x14ac:dyDescent="0.25">
      <c r="A47" s="29">
        <v>1380</v>
      </c>
      <c r="B47" s="618">
        <v>0.43</v>
      </c>
      <c r="C47" s="652">
        <v>200</v>
      </c>
      <c r="D47" s="747">
        <f t="shared" si="5"/>
        <v>3.2500000000000003E-3</v>
      </c>
      <c r="E47" s="618">
        <v>4.38</v>
      </c>
      <c r="F47" s="652">
        <v>40</v>
      </c>
      <c r="G47" s="748">
        <f t="shared" si="0"/>
        <v>0.11625000000000001</v>
      </c>
      <c r="H47" s="618">
        <v>0.18</v>
      </c>
      <c r="I47" s="652">
        <v>5.5</v>
      </c>
      <c r="J47" s="216">
        <f t="shared" si="1"/>
        <v>0.55416666666666659</v>
      </c>
      <c r="P47" s="29">
        <v>1750</v>
      </c>
      <c r="Q47" s="653">
        <v>0.5</v>
      </c>
      <c r="R47" s="664">
        <v>218.75</v>
      </c>
      <c r="S47" s="749">
        <f t="shared" si="2"/>
        <v>3.5499999999999998E-3</v>
      </c>
      <c r="T47" s="653">
        <v>0.41</v>
      </c>
      <c r="U47" s="664">
        <v>9</v>
      </c>
      <c r="V47" s="216">
        <f t="shared" si="3"/>
        <v>5.8571428571428566E-2</v>
      </c>
      <c r="W47" s="653">
        <v>0.68</v>
      </c>
      <c r="X47" s="664">
        <v>4.25</v>
      </c>
      <c r="Y47" s="216">
        <f t="shared" si="4"/>
        <v>0.56999999999999995</v>
      </c>
    </row>
    <row r="48" spans="1:25" x14ac:dyDescent="0.25">
      <c r="A48" s="29">
        <v>1383</v>
      </c>
      <c r="B48" s="618">
        <v>0.43</v>
      </c>
      <c r="C48" s="652">
        <v>200</v>
      </c>
      <c r="D48" s="747">
        <f t="shared" si="5"/>
        <v>3.2500000000000003E-3</v>
      </c>
      <c r="E48" s="618">
        <v>1.44</v>
      </c>
      <c r="F48" s="652">
        <v>48.75</v>
      </c>
      <c r="G48" s="748">
        <f t="shared" si="0"/>
        <v>4.2749999999999996E-2</v>
      </c>
      <c r="H48" s="618">
        <v>0.71</v>
      </c>
      <c r="I48" s="652">
        <v>4</v>
      </c>
      <c r="J48" s="216">
        <f t="shared" si="1"/>
        <v>0.59833333333333327</v>
      </c>
      <c r="P48" s="29">
        <v>1776</v>
      </c>
      <c r="Q48" s="653">
        <v>0.46</v>
      </c>
      <c r="R48" s="664">
        <v>212.5</v>
      </c>
      <c r="S48" s="749">
        <f t="shared" si="2"/>
        <v>3.3500000000000001E-3</v>
      </c>
      <c r="T48" s="653">
        <v>0.82</v>
      </c>
      <c r="U48" s="664">
        <v>9</v>
      </c>
      <c r="V48" s="216">
        <f t="shared" si="3"/>
        <v>0.11714285714285713</v>
      </c>
      <c r="W48" s="653">
        <v>1.93</v>
      </c>
      <c r="X48" s="664">
        <v>4.25</v>
      </c>
      <c r="Y48" s="216">
        <f t="shared" si="4"/>
        <v>0.67416666666666669</v>
      </c>
    </row>
    <row r="49" spans="1:25" x14ac:dyDescent="0.25">
      <c r="A49" s="29">
        <v>1397</v>
      </c>
      <c r="B49" s="618">
        <v>0.43</v>
      </c>
      <c r="C49" s="652">
        <v>200</v>
      </c>
      <c r="D49" s="747">
        <f t="shared" si="5"/>
        <v>3.2500000000000003E-3</v>
      </c>
      <c r="E49" s="618">
        <v>0.68</v>
      </c>
      <c r="F49" s="652">
        <v>50</v>
      </c>
      <c r="G49" s="748">
        <f t="shared" si="0"/>
        <v>2.375E-2</v>
      </c>
      <c r="H49" s="618">
        <v>0.71</v>
      </c>
      <c r="I49" s="652">
        <v>4</v>
      </c>
      <c r="J49" s="216">
        <f t="shared" si="1"/>
        <v>0.59833333333333327</v>
      </c>
      <c r="P49" s="29">
        <v>1781</v>
      </c>
      <c r="Q49" s="653">
        <v>0.3</v>
      </c>
      <c r="R49" s="664">
        <v>168.75</v>
      </c>
      <c r="S49" s="749">
        <f t="shared" ref="S49:S80" si="6">(Q49-Lowest_bill_CAM_protecting_wildlife)/(Highest_servicelevel_CAM_protecting_wildlife-Lowest_servicelevel_CAM_protecting_wildlife)</f>
        <v>2.5500000000000002E-3</v>
      </c>
      <c r="T49" s="653">
        <v>1.18</v>
      </c>
      <c r="U49" s="664">
        <v>9</v>
      </c>
      <c r="V49" s="216">
        <f t="shared" ref="V49:V80" si="7">(T49-Lowest_bill_CAM_leakage)/(Highest_servicelevel_CAM_leakage-Lowest_servicelevel_CAM_leakage)</f>
        <v>0.16857142857142857</v>
      </c>
      <c r="W49" s="653">
        <v>3.48</v>
      </c>
      <c r="X49" s="664">
        <v>3.25</v>
      </c>
      <c r="Y49" s="216">
        <f t="shared" ref="Y49:Y80" si="8">(W49-Lowest_bill_CAM_interruptions)/(Highest_servicelevel_CAM_interruptions-Lowest_servicelevel_CAM_interruptions)</f>
        <v>0.80333333333333334</v>
      </c>
    </row>
    <row r="50" spans="1:25" x14ac:dyDescent="0.25">
      <c r="A50" s="29">
        <v>1403</v>
      </c>
      <c r="B50" s="618">
        <v>-0.22</v>
      </c>
      <c r="C50" s="652">
        <v>50</v>
      </c>
      <c r="D50" s="747">
        <f t="shared" si="5"/>
        <v>0</v>
      </c>
      <c r="E50" s="618">
        <v>0.68</v>
      </c>
      <c r="F50" s="652">
        <v>50</v>
      </c>
      <c r="G50" s="748">
        <f t="shared" si="0"/>
        <v>2.375E-2</v>
      </c>
      <c r="H50" s="618">
        <v>0.71</v>
      </c>
      <c r="I50" s="652">
        <v>4</v>
      </c>
      <c r="J50" s="216">
        <f t="shared" si="1"/>
        <v>0.59833333333333327</v>
      </c>
      <c r="P50" s="29">
        <v>1794</v>
      </c>
      <c r="Q50" s="653">
        <v>0.3</v>
      </c>
      <c r="R50" s="664">
        <v>168.75</v>
      </c>
      <c r="S50" s="749">
        <f t="shared" si="6"/>
        <v>2.5500000000000002E-3</v>
      </c>
      <c r="T50" s="653">
        <v>0.95</v>
      </c>
      <c r="U50" s="664">
        <v>9</v>
      </c>
      <c r="V50" s="216">
        <f t="shared" si="7"/>
        <v>0.1357142857142857</v>
      </c>
      <c r="W50" s="653">
        <v>0.59</v>
      </c>
      <c r="X50" s="664">
        <v>5.25</v>
      </c>
      <c r="Y50" s="216">
        <f t="shared" si="8"/>
        <v>0.5625</v>
      </c>
    </row>
    <row r="51" spans="1:25" x14ac:dyDescent="0.25">
      <c r="A51" s="29">
        <v>1405</v>
      </c>
      <c r="B51" s="618">
        <v>0.65</v>
      </c>
      <c r="C51" s="652">
        <v>250</v>
      </c>
      <c r="D51" s="747">
        <f t="shared" si="5"/>
        <v>4.3499999999999997E-3</v>
      </c>
      <c r="E51" s="618">
        <v>4.38</v>
      </c>
      <c r="F51" s="652">
        <v>40</v>
      </c>
      <c r="G51" s="748">
        <f t="shared" si="0"/>
        <v>0.11625000000000001</v>
      </c>
      <c r="H51" s="618">
        <v>0.35</v>
      </c>
      <c r="I51" s="652">
        <v>5.25</v>
      </c>
      <c r="J51" s="216">
        <f t="shared" si="1"/>
        <v>0.56833333333333325</v>
      </c>
      <c r="P51" s="29">
        <v>1819</v>
      </c>
      <c r="Q51" s="653">
        <v>0.41</v>
      </c>
      <c r="R51" s="664">
        <v>200</v>
      </c>
      <c r="S51" s="749">
        <f t="shared" si="6"/>
        <v>3.0999999999999999E-3</v>
      </c>
      <c r="T51" s="653">
        <v>1.61</v>
      </c>
      <c r="U51" s="664">
        <v>9</v>
      </c>
      <c r="V51" s="216">
        <f t="shared" si="7"/>
        <v>0.23</v>
      </c>
      <c r="W51" s="653">
        <v>0.68</v>
      </c>
      <c r="X51" s="664">
        <v>4.25</v>
      </c>
      <c r="Y51" s="216">
        <f t="shared" si="8"/>
        <v>0.56999999999999995</v>
      </c>
    </row>
    <row r="52" spans="1:25" x14ac:dyDescent="0.25">
      <c r="A52" s="29">
        <v>1418</v>
      </c>
      <c r="B52" s="618">
        <v>0.65</v>
      </c>
      <c r="C52" s="652">
        <v>250</v>
      </c>
      <c r="D52" s="747">
        <f t="shared" si="5"/>
        <v>4.3499999999999997E-3</v>
      </c>
      <c r="E52" s="618">
        <v>0.68</v>
      </c>
      <c r="F52" s="652">
        <v>50</v>
      </c>
      <c r="G52" s="748">
        <f t="shared" si="0"/>
        <v>2.375E-2</v>
      </c>
      <c r="H52" s="618">
        <v>0.41</v>
      </c>
      <c r="I52" s="652">
        <v>5</v>
      </c>
      <c r="J52" s="216">
        <f t="shared" si="1"/>
        <v>0.57333333333333336</v>
      </c>
      <c r="P52" s="29">
        <v>1829</v>
      </c>
      <c r="Q52" s="653">
        <v>0.62</v>
      </c>
      <c r="R52" s="664">
        <v>250</v>
      </c>
      <c r="S52" s="749">
        <f t="shared" si="6"/>
        <v>4.15E-3</v>
      </c>
      <c r="T52" s="653">
        <v>2.74</v>
      </c>
      <c r="U52" s="664">
        <v>8.375</v>
      </c>
      <c r="V52" s="216">
        <f t="shared" si="7"/>
        <v>0.39142857142857146</v>
      </c>
      <c r="W52" s="653">
        <v>6.16</v>
      </c>
      <c r="X52" s="664">
        <v>2</v>
      </c>
      <c r="Y52" s="216">
        <f t="shared" si="8"/>
        <v>1.0266666666666666</v>
      </c>
    </row>
    <row r="53" spans="1:25" x14ac:dyDescent="0.25">
      <c r="A53" s="29">
        <v>1421</v>
      </c>
      <c r="B53" s="618">
        <v>0.49</v>
      </c>
      <c r="C53" s="652">
        <v>212.5</v>
      </c>
      <c r="D53" s="747">
        <f t="shared" si="5"/>
        <v>3.5499999999999998E-3</v>
      </c>
      <c r="E53" s="618">
        <v>1.73</v>
      </c>
      <c r="F53" s="652">
        <v>47.5</v>
      </c>
      <c r="G53" s="748">
        <f t="shared" si="0"/>
        <v>0.05</v>
      </c>
      <c r="H53" s="618">
        <v>0.71</v>
      </c>
      <c r="I53" s="652">
        <v>4</v>
      </c>
      <c r="J53" s="216">
        <f t="shared" si="1"/>
        <v>0.59833333333333327</v>
      </c>
      <c r="P53" s="29">
        <v>1901</v>
      </c>
      <c r="Q53" s="653">
        <v>0.41</v>
      </c>
      <c r="R53" s="664">
        <v>200</v>
      </c>
      <c r="S53" s="749">
        <f t="shared" si="6"/>
        <v>3.0999999999999999E-3</v>
      </c>
      <c r="T53" s="653">
        <v>0.1</v>
      </c>
      <c r="U53" s="664">
        <v>10.75</v>
      </c>
      <c r="V53" s="216">
        <f t="shared" si="7"/>
        <v>1.4285714285714287E-2</v>
      </c>
      <c r="W53" s="653">
        <v>0.68</v>
      </c>
      <c r="X53" s="664">
        <v>4.25</v>
      </c>
      <c r="Y53" s="216">
        <f t="shared" si="8"/>
        <v>0.56999999999999995</v>
      </c>
    </row>
    <row r="54" spans="1:25" x14ac:dyDescent="0.25">
      <c r="A54" s="29">
        <v>1422</v>
      </c>
      <c r="B54" s="618">
        <v>0.43</v>
      </c>
      <c r="C54" s="652">
        <v>200</v>
      </c>
      <c r="D54" s="747">
        <f t="shared" si="5"/>
        <v>3.2500000000000003E-3</v>
      </c>
      <c r="E54" s="618">
        <v>0.46</v>
      </c>
      <c r="F54" s="652">
        <v>53.75</v>
      </c>
      <c r="G54" s="748">
        <f t="shared" si="0"/>
        <v>1.8249999999999999E-2</v>
      </c>
      <c r="H54" s="618">
        <v>0.71</v>
      </c>
      <c r="I54" s="652">
        <v>4</v>
      </c>
      <c r="J54" s="216">
        <f t="shared" si="1"/>
        <v>0.59833333333333327</v>
      </c>
      <c r="P54" s="29">
        <v>1908</v>
      </c>
      <c r="Q54" s="653">
        <v>0.41</v>
      </c>
      <c r="R54" s="664">
        <v>200</v>
      </c>
      <c r="S54" s="749">
        <f t="shared" si="6"/>
        <v>3.0999999999999999E-3</v>
      </c>
      <c r="T54" s="653">
        <v>0.41</v>
      </c>
      <c r="U54" s="664">
        <v>9</v>
      </c>
      <c r="V54" s="216">
        <f t="shared" si="7"/>
        <v>5.8571428571428566E-2</v>
      </c>
      <c r="W54" s="653">
        <v>0.68</v>
      </c>
      <c r="X54" s="664">
        <v>4.25</v>
      </c>
      <c r="Y54" s="216">
        <f t="shared" si="8"/>
        <v>0.56999999999999995</v>
      </c>
    </row>
    <row r="55" spans="1:25" x14ac:dyDescent="0.25">
      <c r="A55" s="29">
        <v>1428</v>
      </c>
      <c r="B55" s="618">
        <v>0.43</v>
      </c>
      <c r="C55" s="652">
        <v>200</v>
      </c>
      <c r="D55" s="747">
        <f t="shared" si="5"/>
        <v>3.2500000000000003E-3</v>
      </c>
      <c r="E55" s="618">
        <v>1.62</v>
      </c>
      <c r="F55" s="652">
        <v>47.5</v>
      </c>
      <c r="G55" s="748">
        <f t="shared" si="0"/>
        <v>4.725E-2</v>
      </c>
      <c r="H55" s="618">
        <v>0.71</v>
      </c>
      <c r="I55" s="652">
        <v>4</v>
      </c>
      <c r="J55" s="216">
        <f t="shared" si="1"/>
        <v>0.59833333333333327</v>
      </c>
      <c r="P55" s="29">
        <v>1923</v>
      </c>
      <c r="Q55" s="653">
        <v>0.52</v>
      </c>
      <c r="R55" s="664">
        <v>225</v>
      </c>
      <c r="S55" s="749">
        <f t="shared" si="6"/>
        <v>3.65E-3</v>
      </c>
      <c r="T55" s="653">
        <v>1.07</v>
      </c>
      <c r="U55" s="664">
        <v>9</v>
      </c>
      <c r="V55" s="216">
        <f t="shared" si="7"/>
        <v>0.15285714285714286</v>
      </c>
      <c r="W55" s="653">
        <v>0.68</v>
      </c>
      <c r="X55" s="664">
        <v>4.25</v>
      </c>
      <c r="Y55" s="216">
        <f t="shared" si="8"/>
        <v>0.56999999999999995</v>
      </c>
    </row>
    <row r="56" spans="1:25" x14ac:dyDescent="0.25">
      <c r="A56" s="29">
        <v>1434</v>
      </c>
      <c r="B56" s="618">
        <v>0.4</v>
      </c>
      <c r="C56" s="652">
        <v>193.75</v>
      </c>
      <c r="D56" s="747">
        <f t="shared" si="5"/>
        <v>3.0999999999999999E-3</v>
      </c>
      <c r="E56" s="618">
        <v>0.09</v>
      </c>
      <c r="F56" s="652">
        <v>58.75</v>
      </c>
      <c r="G56" s="748">
        <f t="shared" si="0"/>
        <v>8.9999999999999993E-3</v>
      </c>
      <c r="H56" s="618">
        <v>0.46</v>
      </c>
      <c r="I56" s="652">
        <v>4.75</v>
      </c>
      <c r="J56" s="216">
        <f t="shared" si="1"/>
        <v>0.57750000000000001</v>
      </c>
      <c r="P56" s="29">
        <v>1931</v>
      </c>
      <c r="Q56" s="653">
        <v>0.41</v>
      </c>
      <c r="R56" s="664">
        <v>200</v>
      </c>
      <c r="S56" s="749">
        <f t="shared" si="6"/>
        <v>3.0999999999999999E-3</v>
      </c>
      <c r="T56" s="653">
        <v>0.41</v>
      </c>
      <c r="U56" s="664">
        <v>9</v>
      </c>
      <c r="V56" s="216">
        <f t="shared" si="7"/>
        <v>5.8571428571428566E-2</v>
      </c>
      <c r="W56" s="653">
        <v>0.68</v>
      </c>
      <c r="X56" s="664">
        <v>4.25</v>
      </c>
      <c r="Y56" s="216">
        <f t="shared" si="8"/>
        <v>0.56999999999999995</v>
      </c>
    </row>
    <row r="57" spans="1:25" x14ac:dyDescent="0.25">
      <c r="A57" s="29">
        <v>1435</v>
      </c>
      <c r="B57" s="618">
        <v>0.49</v>
      </c>
      <c r="C57" s="652">
        <v>212.5</v>
      </c>
      <c r="D57" s="747">
        <f t="shared" si="5"/>
        <v>3.5499999999999998E-3</v>
      </c>
      <c r="E57" s="618">
        <v>1.64</v>
      </c>
      <c r="F57" s="652">
        <v>47.5</v>
      </c>
      <c r="G57" s="748">
        <f t="shared" si="0"/>
        <v>4.7750000000000001E-2</v>
      </c>
      <c r="H57" s="618">
        <v>0.56999999999999995</v>
      </c>
      <c r="I57" s="652">
        <v>4.75</v>
      </c>
      <c r="J57" s="216">
        <f t="shared" si="1"/>
        <v>0.58666666666666667</v>
      </c>
      <c r="P57" s="29">
        <v>1942</v>
      </c>
      <c r="Q57" s="653">
        <v>0.41</v>
      </c>
      <c r="R57" s="664">
        <v>200</v>
      </c>
      <c r="S57" s="749">
        <f t="shared" si="6"/>
        <v>3.0999999999999999E-3</v>
      </c>
      <c r="T57" s="653">
        <v>0.94</v>
      </c>
      <c r="U57" s="664">
        <v>9</v>
      </c>
      <c r="V57" s="216">
        <f t="shared" si="7"/>
        <v>0.13428571428571429</v>
      </c>
      <c r="W57" s="653">
        <v>0.68</v>
      </c>
      <c r="X57" s="664">
        <v>4.25</v>
      </c>
      <c r="Y57" s="216">
        <f t="shared" si="8"/>
        <v>0.56999999999999995</v>
      </c>
    </row>
    <row r="58" spans="1:25" x14ac:dyDescent="0.25">
      <c r="A58" s="29">
        <v>1439</v>
      </c>
      <c r="B58" s="618">
        <v>0.39</v>
      </c>
      <c r="C58" s="652">
        <v>187.5</v>
      </c>
      <c r="D58" s="747">
        <f t="shared" si="5"/>
        <v>3.0499999999999998E-3</v>
      </c>
      <c r="E58" s="618">
        <v>1.06</v>
      </c>
      <c r="F58" s="652">
        <v>50</v>
      </c>
      <c r="G58" s="748">
        <f t="shared" si="0"/>
        <v>3.3250000000000002E-2</v>
      </c>
      <c r="H58" s="618">
        <v>0.71</v>
      </c>
      <c r="I58" s="652">
        <v>4</v>
      </c>
      <c r="J58" s="216">
        <f t="shared" si="1"/>
        <v>0.59833333333333327</v>
      </c>
      <c r="P58" s="29">
        <v>1952</v>
      </c>
      <c r="Q58" s="653">
        <v>0.32</v>
      </c>
      <c r="R58" s="664">
        <v>175</v>
      </c>
      <c r="S58" s="749">
        <f t="shared" si="6"/>
        <v>2.65E-3</v>
      </c>
      <c r="T58" s="653">
        <v>1.06</v>
      </c>
      <c r="U58" s="664">
        <v>9</v>
      </c>
      <c r="V58" s="216">
        <f t="shared" si="7"/>
        <v>0.15142857142857144</v>
      </c>
      <c r="W58" s="653">
        <v>2.0699999999999998</v>
      </c>
      <c r="X58" s="664">
        <v>4.25</v>
      </c>
      <c r="Y58" s="216">
        <f t="shared" si="8"/>
        <v>0.68583333333333341</v>
      </c>
    </row>
    <row r="59" spans="1:25" x14ac:dyDescent="0.25">
      <c r="A59" s="29">
        <v>1440</v>
      </c>
      <c r="B59" s="618">
        <v>0.43</v>
      </c>
      <c r="C59" s="652">
        <v>200</v>
      </c>
      <c r="D59" s="747">
        <f t="shared" si="5"/>
        <v>3.2500000000000003E-3</v>
      </c>
      <c r="E59" s="618">
        <v>0.68</v>
      </c>
      <c r="F59" s="652">
        <v>50</v>
      </c>
      <c r="G59" s="748">
        <f t="shared" si="0"/>
        <v>2.375E-2</v>
      </c>
      <c r="H59" s="618">
        <v>0.71</v>
      </c>
      <c r="I59" s="652">
        <v>4</v>
      </c>
      <c r="J59" s="216">
        <f t="shared" si="1"/>
        <v>0.59833333333333327</v>
      </c>
      <c r="P59" s="29">
        <v>2003</v>
      </c>
      <c r="Q59" s="653">
        <v>0.41</v>
      </c>
      <c r="R59" s="664">
        <v>200</v>
      </c>
      <c r="S59" s="749">
        <f t="shared" si="6"/>
        <v>3.0999999999999999E-3</v>
      </c>
      <c r="T59" s="653">
        <v>0.41</v>
      </c>
      <c r="U59" s="664">
        <v>9</v>
      </c>
      <c r="V59" s="216">
        <f t="shared" si="7"/>
        <v>5.8571428571428566E-2</v>
      </c>
      <c r="W59" s="653">
        <v>0.68</v>
      </c>
      <c r="X59" s="664">
        <v>4.25</v>
      </c>
      <c r="Y59" s="216">
        <f t="shared" si="8"/>
        <v>0.56999999999999995</v>
      </c>
    </row>
    <row r="60" spans="1:25" x14ac:dyDescent="0.25">
      <c r="A60" s="29">
        <v>1443</v>
      </c>
      <c r="B60" s="618">
        <v>0.35</v>
      </c>
      <c r="C60" s="652">
        <v>181.25</v>
      </c>
      <c r="D60" s="747">
        <f t="shared" si="5"/>
        <v>2.8499999999999997E-3</v>
      </c>
      <c r="E60" s="618">
        <v>0.85</v>
      </c>
      <c r="F60" s="652">
        <v>50</v>
      </c>
      <c r="G60" s="748">
        <f t="shared" si="0"/>
        <v>2.8000000000000004E-2</v>
      </c>
      <c r="H60" s="618">
        <v>0.5</v>
      </c>
      <c r="I60" s="652">
        <v>4.75</v>
      </c>
      <c r="J60" s="216">
        <f t="shared" si="1"/>
        <v>0.58083333333333331</v>
      </c>
      <c r="P60" s="29">
        <v>2015</v>
      </c>
      <c r="Q60" s="653">
        <v>0.41</v>
      </c>
      <c r="R60" s="664">
        <v>200</v>
      </c>
      <c r="S60" s="749">
        <f t="shared" si="6"/>
        <v>3.0999999999999999E-3</v>
      </c>
      <c r="T60" s="653">
        <v>0.41</v>
      </c>
      <c r="U60" s="664">
        <v>9</v>
      </c>
      <c r="V60" s="216">
        <f t="shared" si="7"/>
        <v>5.8571428571428566E-2</v>
      </c>
      <c r="W60" s="653">
        <v>0.68</v>
      </c>
      <c r="X60" s="664">
        <v>4.25</v>
      </c>
      <c r="Y60" s="216">
        <f t="shared" si="8"/>
        <v>0.56999999999999995</v>
      </c>
    </row>
    <row r="61" spans="1:25" x14ac:dyDescent="0.25">
      <c r="A61" s="29">
        <v>1447</v>
      </c>
      <c r="B61" s="618">
        <v>0.43</v>
      </c>
      <c r="C61" s="652">
        <v>200</v>
      </c>
      <c r="D61" s="747">
        <f t="shared" si="5"/>
        <v>3.2500000000000003E-3</v>
      </c>
      <c r="E61" s="618">
        <v>4.38</v>
      </c>
      <c r="F61" s="652">
        <v>40</v>
      </c>
      <c r="G61" s="748">
        <f t="shared" si="0"/>
        <v>0.11625000000000001</v>
      </c>
      <c r="H61" s="618">
        <v>-6.47</v>
      </c>
      <c r="I61" s="652">
        <v>14</v>
      </c>
      <c r="J61" s="216">
        <f t="shared" si="1"/>
        <v>0</v>
      </c>
      <c r="P61" s="29">
        <v>2026</v>
      </c>
      <c r="Q61" s="653">
        <v>0.45</v>
      </c>
      <c r="R61" s="664">
        <v>206.25</v>
      </c>
      <c r="S61" s="749">
        <f t="shared" si="6"/>
        <v>3.3E-3</v>
      </c>
      <c r="T61" s="653">
        <v>0.47</v>
      </c>
      <c r="U61" s="664">
        <v>9</v>
      </c>
      <c r="V61" s="216">
        <f t="shared" si="7"/>
        <v>6.7142857142857143E-2</v>
      </c>
      <c r="W61" s="653">
        <v>0.65</v>
      </c>
      <c r="X61" s="664">
        <v>4.25</v>
      </c>
      <c r="Y61" s="216">
        <f t="shared" si="8"/>
        <v>0.5675</v>
      </c>
    </row>
    <row r="62" spans="1:25" x14ac:dyDescent="0.25">
      <c r="A62" s="29">
        <v>1450</v>
      </c>
      <c r="B62" s="618">
        <v>0.43</v>
      </c>
      <c r="C62" s="652">
        <v>200</v>
      </c>
      <c r="D62" s="747">
        <f t="shared" si="5"/>
        <v>3.2500000000000003E-3</v>
      </c>
      <c r="E62" s="618">
        <v>1.61</v>
      </c>
      <c r="F62" s="652">
        <v>47.5</v>
      </c>
      <c r="G62" s="748">
        <f t="shared" si="0"/>
        <v>4.7E-2</v>
      </c>
      <c r="H62" s="618">
        <v>0.71</v>
      </c>
      <c r="I62" s="652">
        <v>4</v>
      </c>
      <c r="J62" s="216">
        <f t="shared" si="1"/>
        <v>0.59833333333333327</v>
      </c>
      <c r="P62" s="29">
        <v>2063</v>
      </c>
      <c r="Q62" s="653">
        <v>0.62</v>
      </c>
      <c r="R62" s="664">
        <v>250</v>
      </c>
      <c r="S62" s="749">
        <f t="shared" si="6"/>
        <v>4.15E-3</v>
      </c>
      <c r="T62" s="653">
        <v>1.49</v>
      </c>
      <c r="U62" s="664">
        <v>9</v>
      </c>
      <c r="V62" s="216">
        <f t="shared" si="7"/>
        <v>0.21285714285714286</v>
      </c>
      <c r="W62" s="653">
        <v>-1.67</v>
      </c>
      <c r="X62" s="664">
        <v>8.5</v>
      </c>
      <c r="Y62" s="216">
        <f t="shared" si="8"/>
        <v>0.3741666666666667</v>
      </c>
    </row>
    <row r="63" spans="1:25" x14ac:dyDescent="0.25">
      <c r="A63" s="29">
        <v>1452</v>
      </c>
      <c r="B63" s="618">
        <v>0.46</v>
      </c>
      <c r="C63" s="652">
        <v>206.25</v>
      </c>
      <c r="D63" s="747">
        <f t="shared" si="5"/>
        <v>3.4000000000000002E-3</v>
      </c>
      <c r="E63" s="618">
        <v>0.52</v>
      </c>
      <c r="F63" s="652">
        <v>52.5</v>
      </c>
      <c r="G63" s="748">
        <f t="shared" si="0"/>
        <v>1.975E-2</v>
      </c>
      <c r="H63" s="618">
        <v>1.71</v>
      </c>
      <c r="I63" s="652">
        <v>3.75</v>
      </c>
      <c r="J63" s="216">
        <f t="shared" si="1"/>
        <v>0.68166666666666664</v>
      </c>
      <c r="P63" s="29">
        <v>2072</v>
      </c>
      <c r="Q63" s="653">
        <v>0.3</v>
      </c>
      <c r="R63" s="664">
        <v>168.75</v>
      </c>
      <c r="S63" s="749">
        <f t="shared" si="6"/>
        <v>2.5500000000000002E-3</v>
      </c>
      <c r="T63" s="653">
        <v>0.41</v>
      </c>
      <c r="U63" s="664">
        <v>9</v>
      </c>
      <c r="V63" s="216">
        <f t="shared" si="7"/>
        <v>5.8571428571428566E-2</v>
      </c>
      <c r="W63" s="653">
        <v>0.25</v>
      </c>
      <c r="X63" s="664">
        <v>6</v>
      </c>
      <c r="Y63" s="216">
        <f t="shared" si="8"/>
        <v>0.53416666666666668</v>
      </c>
    </row>
    <row r="64" spans="1:25" x14ac:dyDescent="0.25">
      <c r="A64" s="29">
        <v>1453</v>
      </c>
      <c r="B64" s="618">
        <v>0.56000000000000005</v>
      </c>
      <c r="C64" s="652">
        <v>225</v>
      </c>
      <c r="D64" s="747">
        <f t="shared" si="5"/>
        <v>3.9000000000000003E-3</v>
      </c>
      <c r="E64" s="618">
        <v>0.68</v>
      </c>
      <c r="F64" s="652">
        <v>50</v>
      </c>
      <c r="G64" s="748">
        <f t="shared" si="0"/>
        <v>2.375E-2</v>
      </c>
      <c r="H64" s="618">
        <v>0.71</v>
      </c>
      <c r="I64" s="652">
        <v>4</v>
      </c>
      <c r="J64" s="216">
        <f t="shared" si="1"/>
        <v>0.59833333333333327</v>
      </c>
      <c r="P64" s="29">
        <v>2099</v>
      </c>
      <c r="Q64" s="653">
        <v>0.62</v>
      </c>
      <c r="R64" s="664">
        <v>250</v>
      </c>
      <c r="S64" s="749">
        <f t="shared" si="6"/>
        <v>4.15E-3</v>
      </c>
      <c r="T64" s="653">
        <v>0.41</v>
      </c>
      <c r="U64" s="664">
        <v>9</v>
      </c>
      <c r="V64" s="216">
        <f t="shared" si="7"/>
        <v>5.8571428571428566E-2</v>
      </c>
      <c r="W64" s="653">
        <v>0.68</v>
      </c>
      <c r="X64" s="664">
        <v>4.25</v>
      </c>
      <c r="Y64" s="216">
        <f t="shared" si="8"/>
        <v>0.56999999999999995</v>
      </c>
    </row>
    <row r="65" spans="1:25" x14ac:dyDescent="0.25">
      <c r="A65" s="29">
        <v>1454</v>
      </c>
      <c r="B65" s="618">
        <v>0.48</v>
      </c>
      <c r="C65" s="652">
        <v>206.25</v>
      </c>
      <c r="D65" s="747">
        <f t="shared" si="5"/>
        <v>3.4999999999999996E-3</v>
      </c>
      <c r="E65" s="618">
        <v>0.61</v>
      </c>
      <c r="F65" s="652">
        <v>51.25</v>
      </c>
      <c r="G65" s="748">
        <f t="shared" si="0"/>
        <v>2.1999999999999999E-2</v>
      </c>
      <c r="H65" s="618">
        <v>0.71</v>
      </c>
      <c r="I65" s="652">
        <v>4</v>
      </c>
      <c r="J65" s="216">
        <f t="shared" si="1"/>
        <v>0.59833333333333327</v>
      </c>
      <c r="P65" s="29">
        <v>2378</v>
      </c>
      <c r="Q65" s="653">
        <v>0</v>
      </c>
      <c r="R65" s="664">
        <v>100</v>
      </c>
      <c r="S65" s="749">
        <f t="shared" si="6"/>
        <v>1.0499999999999999E-3</v>
      </c>
      <c r="T65" s="653">
        <v>0</v>
      </c>
      <c r="U65" s="664">
        <v>15</v>
      </c>
      <c r="V65" s="216">
        <f t="shared" si="7"/>
        <v>0</v>
      </c>
      <c r="W65" s="653">
        <v>0</v>
      </c>
      <c r="X65" s="664">
        <v>6</v>
      </c>
      <c r="Y65" s="216">
        <f t="shared" si="8"/>
        <v>0.51333333333333331</v>
      </c>
    </row>
    <row r="66" spans="1:25" x14ac:dyDescent="0.25">
      <c r="A66" s="29">
        <v>1459</v>
      </c>
      <c r="B66" s="618">
        <v>0.43</v>
      </c>
      <c r="C66" s="652">
        <v>200</v>
      </c>
      <c r="D66" s="747">
        <f t="shared" si="5"/>
        <v>3.2500000000000003E-3</v>
      </c>
      <c r="E66" s="618">
        <v>1.35</v>
      </c>
      <c r="F66" s="652">
        <v>48.75</v>
      </c>
      <c r="G66" s="748">
        <f t="shared" si="0"/>
        <v>4.0500000000000001E-2</v>
      </c>
      <c r="H66" s="618">
        <v>0.62</v>
      </c>
      <c r="I66" s="652">
        <v>4.25</v>
      </c>
      <c r="J66" s="216">
        <f t="shared" si="1"/>
        <v>0.59083333333333332</v>
      </c>
      <c r="P66" s="29">
        <v>2440</v>
      </c>
      <c r="Q66" s="653">
        <v>0.23</v>
      </c>
      <c r="R66" s="664">
        <v>150</v>
      </c>
      <c r="S66" s="749">
        <f t="shared" si="6"/>
        <v>2.2000000000000001E-3</v>
      </c>
      <c r="T66" s="653">
        <v>2.74</v>
      </c>
      <c r="U66" s="664">
        <v>8.375</v>
      </c>
      <c r="V66" s="216">
        <f t="shared" si="7"/>
        <v>0.39142857142857146</v>
      </c>
      <c r="W66" s="653">
        <v>-6.16</v>
      </c>
      <c r="X66" s="664">
        <v>14</v>
      </c>
      <c r="Y66" s="216">
        <f t="shared" si="8"/>
        <v>0</v>
      </c>
    </row>
    <row r="67" spans="1:25" x14ac:dyDescent="0.25">
      <c r="A67" s="29">
        <v>1460</v>
      </c>
      <c r="B67" s="618">
        <v>0.43</v>
      </c>
      <c r="C67" s="652">
        <v>200</v>
      </c>
      <c r="D67" s="747">
        <f t="shared" si="5"/>
        <v>3.2500000000000003E-3</v>
      </c>
      <c r="E67" s="618">
        <v>0.68</v>
      </c>
      <c r="F67" s="652">
        <v>50</v>
      </c>
      <c r="G67" s="748">
        <f t="shared" si="0"/>
        <v>2.375E-2</v>
      </c>
      <c r="H67" s="618">
        <v>0.71</v>
      </c>
      <c r="I67" s="652">
        <v>4</v>
      </c>
      <c r="J67" s="216">
        <f t="shared" si="1"/>
        <v>0.59833333333333327</v>
      </c>
      <c r="P67" s="29">
        <v>2574</v>
      </c>
      <c r="Q67" s="653">
        <v>0.46</v>
      </c>
      <c r="R67" s="664">
        <v>212.5</v>
      </c>
      <c r="S67" s="749">
        <f t="shared" si="6"/>
        <v>3.3500000000000001E-3</v>
      </c>
      <c r="T67" s="653">
        <v>0.41</v>
      </c>
      <c r="U67" s="664">
        <v>9</v>
      </c>
      <c r="V67" s="216">
        <f t="shared" si="7"/>
        <v>5.8571428571428566E-2</v>
      </c>
      <c r="W67" s="653">
        <v>1.39</v>
      </c>
      <c r="X67" s="664">
        <v>4.25</v>
      </c>
      <c r="Y67" s="216">
        <f t="shared" si="8"/>
        <v>0.62916666666666665</v>
      </c>
    </row>
    <row r="68" spans="1:25" x14ac:dyDescent="0.25">
      <c r="A68" s="29">
        <v>1464</v>
      </c>
      <c r="B68" s="618">
        <v>0.47</v>
      </c>
      <c r="C68" s="652">
        <v>206.25</v>
      </c>
      <c r="D68" s="747">
        <f t="shared" si="5"/>
        <v>3.4499999999999999E-3</v>
      </c>
      <c r="E68" s="618">
        <v>0.26</v>
      </c>
      <c r="F68" s="652">
        <v>56.25</v>
      </c>
      <c r="G68" s="748">
        <f t="shared" si="0"/>
        <v>1.3250000000000001E-2</v>
      </c>
      <c r="H68" s="618">
        <v>0.42</v>
      </c>
      <c r="I68" s="652">
        <v>5</v>
      </c>
      <c r="J68" s="216">
        <f t="shared" si="1"/>
        <v>0.5741666666666666</v>
      </c>
      <c r="P68" s="29">
        <v>2664</v>
      </c>
      <c r="Q68" s="653">
        <v>0.41</v>
      </c>
      <c r="R68" s="664">
        <v>200</v>
      </c>
      <c r="S68" s="749">
        <f t="shared" si="6"/>
        <v>3.0999999999999999E-3</v>
      </c>
      <c r="T68" s="653">
        <v>0.41</v>
      </c>
      <c r="U68" s="664">
        <v>9</v>
      </c>
      <c r="V68" s="216">
        <f t="shared" si="7"/>
        <v>5.8571428571428566E-2</v>
      </c>
      <c r="W68" s="653">
        <v>0.68</v>
      </c>
      <c r="X68" s="664">
        <v>4.25</v>
      </c>
      <c r="Y68" s="216">
        <f t="shared" si="8"/>
        <v>0.56999999999999995</v>
      </c>
    </row>
    <row r="69" spans="1:25" x14ac:dyDescent="0.25">
      <c r="A69" s="29">
        <v>1465</v>
      </c>
      <c r="B69" s="618">
        <v>0.43</v>
      </c>
      <c r="C69" s="652">
        <v>200</v>
      </c>
      <c r="D69" s="747">
        <f t="shared" si="5"/>
        <v>3.2500000000000003E-3</v>
      </c>
      <c r="E69" s="618">
        <v>2.04</v>
      </c>
      <c r="F69" s="652">
        <v>47.5</v>
      </c>
      <c r="G69" s="748">
        <f t="shared" si="0"/>
        <v>5.7750000000000003E-2</v>
      </c>
      <c r="H69" s="618">
        <v>1.75</v>
      </c>
      <c r="I69" s="652">
        <v>3.75</v>
      </c>
      <c r="J69" s="216">
        <f t="shared" si="1"/>
        <v>0.68499999999999994</v>
      </c>
      <c r="P69" s="29">
        <v>2690</v>
      </c>
      <c r="Q69" s="653">
        <v>0.35</v>
      </c>
      <c r="R69" s="664">
        <v>181.25</v>
      </c>
      <c r="S69" s="749">
        <f t="shared" si="6"/>
        <v>2.7999999999999995E-3</v>
      </c>
      <c r="T69" s="653">
        <v>0.41</v>
      </c>
      <c r="U69" s="664">
        <v>9</v>
      </c>
      <c r="V69" s="216">
        <f t="shared" si="7"/>
        <v>5.8571428571428566E-2</v>
      </c>
      <c r="W69" s="653">
        <v>0.68</v>
      </c>
      <c r="X69" s="664">
        <v>4.25</v>
      </c>
      <c r="Y69" s="216">
        <f t="shared" si="8"/>
        <v>0.56999999999999995</v>
      </c>
    </row>
    <row r="70" spans="1:25" x14ac:dyDescent="0.25">
      <c r="A70" s="29">
        <v>1466</v>
      </c>
      <c r="B70" s="618">
        <v>0.43</v>
      </c>
      <c r="C70" s="652">
        <v>200</v>
      </c>
      <c r="D70" s="747">
        <f t="shared" si="5"/>
        <v>3.2500000000000003E-3</v>
      </c>
      <c r="E70" s="618">
        <v>1.06</v>
      </c>
      <c r="F70" s="652">
        <v>50</v>
      </c>
      <c r="G70" s="748">
        <f t="shared" si="0"/>
        <v>3.3250000000000002E-2</v>
      </c>
      <c r="H70" s="618">
        <v>0.6</v>
      </c>
      <c r="I70" s="652">
        <v>4.75</v>
      </c>
      <c r="J70" s="216">
        <f t="shared" si="1"/>
        <v>0.58916666666666662</v>
      </c>
      <c r="P70" s="29">
        <v>2726</v>
      </c>
      <c r="Q70" s="653">
        <v>0.5</v>
      </c>
      <c r="R70" s="664">
        <v>218.75</v>
      </c>
      <c r="S70" s="749">
        <f t="shared" si="6"/>
        <v>3.5499999999999998E-3</v>
      </c>
      <c r="T70" s="653">
        <v>0.71</v>
      </c>
      <c r="U70" s="664">
        <v>9</v>
      </c>
      <c r="V70" s="216">
        <f t="shared" si="7"/>
        <v>0.10142857142857142</v>
      </c>
      <c r="W70" s="653">
        <v>0.49</v>
      </c>
      <c r="X70" s="664">
        <v>5.25</v>
      </c>
      <c r="Y70" s="216">
        <f t="shared" si="8"/>
        <v>0.5541666666666667</v>
      </c>
    </row>
    <row r="71" spans="1:25" x14ac:dyDescent="0.25">
      <c r="A71" s="29">
        <v>1469</v>
      </c>
      <c r="B71" s="618">
        <v>0.43</v>
      </c>
      <c r="C71" s="652">
        <v>200</v>
      </c>
      <c r="D71" s="747">
        <f t="shared" si="5"/>
        <v>3.2500000000000003E-3</v>
      </c>
      <c r="E71" s="618">
        <v>1.83</v>
      </c>
      <c r="F71" s="652">
        <v>47.5</v>
      </c>
      <c r="G71" s="748">
        <f t="shared" si="0"/>
        <v>5.2500000000000005E-2</v>
      </c>
      <c r="H71" s="618">
        <v>0.71</v>
      </c>
      <c r="I71" s="652">
        <v>4</v>
      </c>
      <c r="J71" s="216">
        <f t="shared" si="1"/>
        <v>0.59833333333333327</v>
      </c>
      <c r="P71" s="29">
        <v>2728</v>
      </c>
      <c r="Q71" s="653">
        <v>0.35</v>
      </c>
      <c r="R71" s="664">
        <v>181.25</v>
      </c>
      <c r="S71" s="749">
        <f t="shared" si="6"/>
        <v>2.7999999999999995E-3</v>
      </c>
      <c r="T71" s="653">
        <v>0.95</v>
      </c>
      <c r="U71" s="664">
        <v>9</v>
      </c>
      <c r="V71" s="216">
        <f t="shared" si="7"/>
        <v>0.1357142857142857</v>
      </c>
      <c r="W71" s="653">
        <v>0.54</v>
      </c>
      <c r="X71" s="664">
        <v>5.25</v>
      </c>
      <c r="Y71" s="216">
        <f t="shared" si="8"/>
        <v>0.55833333333333335</v>
      </c>
    </row>
    <row r="72" spans="1:25" x14ac:dyDescent="0.25">
      <c r="A72" s="29">
        <v>1473</v>
      </c>
      <c r="B72" s="618">
        <v>0.6</v>
      </c>
      <c r="C72" s="652">
        <v>237.5</v>
      </c>
      <c r="D72" s="747">
        <f t="shared" si="5"/>
        <v>4.0999999999999995E-3</v>
      </c>
      <c r="E72" s="618">
        <v>0.68</v>
      </c>
      <c r="F72" s="652">
        <v>50</v>
      </c>
      <c r="G72" s="748">
        <f t="shared" si="0"/>
        <v>2.375E-2</v>
      </c>
      <c r="H72" s="618">
        <v>0.71</v>
      </c>
      <c r="I72" s="652">
        <v>4</v>
      </c>
      <c r="J72" s="216">
        <f t="shared" si="1"/>
        <v>0.59833333333333327</v>
      </c>
      <c r="P72" s="29">
        <v>2738</v>
      </c>
      <c r="Q72" s="653">
        <v>0.62</v>
      </c>
      <c r="R72" s="664">
        <v>250</v>
      </c>
      <c r="S72" s="749">
        <f t="shared" si="6"/>
        <v>4.15E-3</v>
      </c>
      <c r="T72" s="653">
        <v>2.0499999999999998</v>
      </c>
      <c r="U72" s="664">
        <v>8.375</v>
      </c>
      <c r="V72" s="216">
        <f t="shared" si="7"/>
        <v>0.29285714285714282</v>
      </c>
      <c r="W72" s="653">
        <v>0.68</v>
      </c>
      <c r="X72" s="664">
        <v>4.25</v>
      </c>
      <c r="Y72" s="216">
        <f t="shared" si="8"/>
        <v>0.56999999999999995</v>
      </c>
    </row>
    <row r="73" spans="1:25" x14ac:dyDescent="0.25">
      <c r="A73" s="29">
        <v>1474</v>
      </c>
      <c r="B73" s="618">
        <v>0.5</v>
      </c>
      <c r="C73" s="652">
        <v>212.5</v>
      </c>
      <c r="D73" s="747">
        <f t="shared" si="5"/>
        <v>3.5999999999999999E-3</v>
      </c>
      <c r="E73" s="618">
        <v>1.73</v>
      </c>
      <c r="F73" s="652">
        <v>47.5</v>
      </c>
      <c r="G73" s="748">
        <f t="shared" si="0"/>
        <v>0.05</v>
      </c>
      <c r="H73" s="618">
        <v>0.62</v>
      </c>
      <c r="I73" s="652">
        <v>4.25</v>
      </c>
      <c r="J73" s="216">
        <f t="shared" si="1"/>
        <v>0.59083333333333332</v>
      </c>
      <c r="P73" s="29">
        <v>2760</v>
      </c>
      <c r="Q73" s="653">
        <v>0.5</v>
      </c>
      <c r="R73" s="664">
        <v>218.75</v>
      </c>
      <c r="S73" s="749">
        <f t="shared" si="6"/>
        <v>3.5499999999999998E-3</v>
      </c>
      <c r="T73" s="653">
        <v>0.95</v>
      </c>
      <c r="U73" s="664">
        <v>9</v>
      </c>
      <c r="V73" s="216">
        <f t="shared" si="7"/>
        <v>0.1357142857142857</v>
      </c>
      <c r="W73" s="653">
        <v>0.68</v>
      </c>
      <c r="X73" s="664">
        <v>4.25</v>
      </c>
      <c r="Y73" s="216">
        <f t="shared" si="8"/>
        <v>0.56999999999999995</v>
      </c>
    </row>
    <row r="74" spans="1:25" x14ac:dyDescent="0.25">
      <c r="A74" s="29">
        <v>1476</v>
      </c>
      <c r="B74" s="618">
        <v>0.43</v>
      </c>
      <c r="C74" s="652">
        <v>200</v>
      </c>
      <c r="D74" s="747">
        <f t="shared" si="5"/>
        <v>3.2500000000000003E-3</v>
      </c>
      <c r="E74" s="618">
        <v>0.68</v>
      </c>
      <c r="F74" s="652">
        <v>50</v>
      </c>
      <c r="G74" s="748">
        <f t="shared" si="0"/>
        <v>2.375E-2</v>
      </c>
      <c r="H74" s="618">
        <v>0.71</v>
      </c>
      <c r="I74" s="652">
        <v>4</v>
      </c>
      <c r="J74" s="216">
        <f t="shared" si="1"/>
        <v>0.59833333333333327</v>
      </c>
      <c r="P74" s="29">
        <v>2792</v>
      </c>
      <c r="Q74" s="653">
        <v>0.62</v>
      </c>
      <c r="R74" s="664">
        <v>250</v>
      </c>
      <c r="S74" s="749">
        <f t="shared" si="6"/>
        <v>4.15E-3</v>
      </c>
      <c r="T74" s="653">
        <v>1.37</v>
      </c>
      <c r="U74" s="664">
        <v>9</v>
      </c>
      <c r="V74" s="216">
        <f t="shared" si="7"/>
        <v>0.19571428571428573</v>
      </c>
      <c r="W74" s="653">
        <v>0.68</v>
      </c>
      <c r="X74" s="664">
        <v>4.25</v>
      </c>
      <c r="Y74" s="216">
        <f t="shared" si="8"/>
        <v>0.56999999999999995</v>
      </c>
    </row>
    <row r="75" spans="1:25" x14ac:dyDescent="0.25">
      <c r="A75" s="29">
        <v>1479</v>
      </c>
      <c r="B75" s="618">
        <v>0.49</v>
      </c>
      <c r="C75" s="652">
        <v>212.5</v>
      </c>
      <c r="D75" s="747">
        <f t="shared" si="5"/>
        <v>3.5499999999999998E-3</v>
      </c>
      <c r="E75" s="618">
        <v>1.44</v>
      </c>
      <c r="F75" s="652">
        <v>48.75</v>
      </c>
      <c r="G75" s="748">
        <f t="shared" si="0"/>
        <v>4.2749999999999996E-2</v>
      </c>
      <c r="H75" s="618">
        <v>0.71</v>
      </c>
      <c r="I75" s="652">
        <v>4</v>
      </c>
      <c r="J75" s="216">
        <f t="shared" si="1"/>
        <v>0.59833333333333327</v>
      </c>
      <c r="P75" s="29">
        <v>2797</v>
      </c>
      <c r="Q75" s="653">
        <v>0.41</v>
      </c>
      <c r="R75" s="664">
        <v>200</v>
      </c>
      <c r="S75" s="749">
        <f t="shared" si="6"/>
        <v>3.0999999999999999E-3</v>
      </c>
      <c r="T75" s="653">
        <v>0.41</v>
      </c>
      <c r="U75" s="664">
        <v>9</v>
      </c>
      <c r="V75" s="216">
        <f t="shared" si="7"/>
        <v>5.8571428571428566E-2</v>
      </c>
      <c r="W75" s="653">
        <v>0.68</v>
      </c>
      <c r="X75" s="664">
        <v>4.25</v>
      </c>
      <c r="Y75" s="216">
        <f t="shared" si="8"/>
        <v>0.56999999999999995</v>
      </c>
    </row>
    <row r="76" spans="1:25" x14ac:dyDescent="0.25">
      <c r="A76" s="29">
        <v>1480</v>
      </c>
      <c r="B76" s="618">
        <v>0.5</v>
      </c>
      <c r="C76" s="652">
        <v>212.5</v>
      </c>
      <c r="D76" s="747">
        <f t="shared" si="5"/>
        <v>3.5999999999999999E-3</v>
      </c>
      <c r="E76" s="618">
        <v>0.94</v>
      </c>
      <c r="F76" s="652">
        <v>50</v>
      </c>
      <c r="G76" s="748">
        <f t="shared" si="0"/>
        <v>3.0249999999999999E-2</v>
      </c>
      <c r="H76" s="618">
        <v>0.71</v>
      </c>
      <c r="I76" s="652">
        <v>4</v>
      </c>
      <c r="J76" s="216">
        <f t="shared" si="1"/>
        <v>0.59833333333333327</v>
      </c>
      <c r="P76" s="29">
        <v>2829</v>
      </c>
      <c r="Q76" s="653">
        <v>0.59</v>
      </c>
      <c r="R76" s="664">
        <v>243.75</v>
      </c>
      <c r="S76" s="749">
        <f t="shared" si="6"/>
        <v>4.0000000000000001E-3</v>
      </c>
      <c r="T76" s="653">
        <v>1.49</v>
      </c>
      <c r="U76" s="664">
        <v>9</v>
      </c>
      <c r="V76" s="216">
        <f t="shared" si="7"/>
        <v>0.21285714285714286</v>
      </c>
      <c r="W76" s="653">
        <v>-0.25</v>
      </c>
      <c r="X76" s="664">
        <v>6.5</v>
      </c>
      <c r="Y76" s="216">
        <f t="shared" si="8"/>
        <v>0.49249999999999999</v>
      </c>
    </row>
    <row r="77" spans="1:25" x14ac:dyDescent="0.25">
      <c r="A77" s="29">
        <v>1482</v>
      </c>
      <c r="B77" s="618">
        <v>0.5</v>
      </c>
      <c r="C77" s="652">
        <v>212.5</v>
      </c>
      <c r="D77" s="747">
        <f t="shared" si="5"/>
        <v>3.5999999999999999E-3</v>
      </c>
      <c r="E77" s="618">
        <v>1.1499999999999999</v>
      </c>
      <c r="F77" s="652">
        <v>48.75</v>
      </c>
      <c r="G77" s="748">
        <f t="shared" si="0"/>
        <v>3.5499999999999997E-2</v>
      </c>
      <c r="H77" s="618">
        <v>7.0000000000000007E-2</v>
      </c>
      <c r="I77" s="652">
        <v>6</v>
      </c>
      <c r="J77" s="216">
        <f t="shared" si="1"/>
        <v>0.54500000000000004</v>
      </c>
      <c r="P77" s="29">
        <v>2830</v>
      </c>
      <c r="Q77" s="653">
        <v>0.35</v>
      </c>
      <c r="R77" s="664">
        <v>181.25</v>
      </c>
      <c r="S77" s="749">
        <f t="shared" si="6"/>
        <v>2.7999999999999995E-3</v>
      </c>
      <c r="T77" s="653">
        <v>0.41</v>
      </c>
      <c r="U77" s="664">
        <v>9</v>
      </c>
      <c r="V77" s="216">
        <f t="shared" si="7"/>
        <v>5.8571428571428566E-2</v>
      </c>
      <c r="W77" s="653">
        <v>-0.01</v>
      </c>
      <c r="X77" s="664">
        <v>6.5</v>
      </c>
      <c r="Y77" s="216">
        <f t="shared" si="8"/>
        <v>0.51250000000000007</v>
      </c>
    </row>
    <row r="78" spans="1:25" x14ac:dyDescent="0.25">
      <c r="A78" s="29">
        <v>1484</v>
      </c>
      <c r="B78" s="618">
        <v>0.5</v>
      </c>
      <c r="C78" s="652">
        <v>212.5</v>
      </c>
      <c r="D78" s="747">
        <f t="shared" si="5"/>
        <v>3.5999999999999999E-3</v>
      </c>
      <c r="E78" s="618">
        <v>0.66</v>
      </c>
      <c r="F78" s="652">
        <v>51.25</v>
      </c>
      <c r="G78" s="748">
        <f t="shared" si="0"/>
        <v>2.325E-2</v>
      </c>
      <c r="H78" s="618">
        <v>0.71</v>
      </c>
      <c r="I78" s="652">
        <v>4</v>
      </c>
      <c r="J78" s="216">
        <f t="shared" si="1"/>
        <v>0.59833333333333327</v>
      </c>
      <c r="P78" s="29">
        <v>2831</v>
      </c>
      <c r="Q78" s="653">
        <v>-0.21</v>
      </c>
      <c r="R78" s="664">
        <v>50</v>
      </c>
      <c r="S78" s="749">
        <f t="shared" si="6"/>
        <v>0</v>
      </c>
      <c r="T78" s="653">
        <v>2.74</v>
      </c>
      <c r="U78" s="664">
        <v>8.375</v>
      </c>
      <c r="V78" s="216">
        <f t="shared" si="7"/>
        <v>0.39142857142857146</v>
      </c>
      <c r="W78" s="653">
        <v>0.68</v>
      </c>
      <c r="X78" s="664">
        <v>4.25</v>
      </c>
      <c r="Y78" s="216">
        <f t="shared" si="8"/>
        <v>0.56999999999999995</v>
      </c>
    </row>
    <row r="79" spans="1:25" x14ac:dyDescent="0.25">
      <c r="A79" s="29">
        <v>1485</v>
      </c>
      <c r="B79" s="618">
        <v>0.5</v>
      </c>
      <c r="C79" s="652">
        <v>212.5</v>
      </c>
      <c r="D79" s="747">
        <f t="shared" si="5"/>
        <v>3.5999999999999999E-3</v>
      </c>
      <c r="E79" s="618">
        <v>0.77</v>
      </c>
      <c r="F79" s="652">
        <v>50</v>
      </c>
      <c r="G79" s="748">
        <f t="shared" si="0"/>
        <v>2.6000000000000002E-2</v>
      </c>
      <c r="H79" s="618">
        <v>0.71</v>
      </c>
      <c r="I79" s="652">
        <v>4</v>
      </c>
      <c r="J79" s="216">
        <f t="shared" si="1"/>
        <v>0.59833333333333327</v>
      </c>
      <c r="P79" s="29">
        <v>2836</v>
      </c>
      <c r="Q79" s="653">
        <v>0.62</v>
      </c>
      <c r="R79" s="664">
        <v>250</v>
      </c>
      <c r="S79" s="749">
        <f t="shared" si="6"/>
        <v>4.15E-3</v>
      </c>
      <c r="T79" s="653">
        <v>2.74</v>
      </c>
      <c r="U79" s="664">
        <v>8.375</v>
      </c>
      <c r="V79" s="216">
        <f t="shared" si="7"/>
        <v>0.39142857142857146</v>
      </c>
      <c r="W79" s="653">
        <v>0.68</v>
      </c>
      <c r="X79" s="664">
        <v>4.25</v>
      </c>
      <c r="Y79" s="216">
        <f t="shared" si="8"/>
        <v>0.56999999999999995</v>
      </c>
    </row>
    <row r="80" spans="1:25" x14ac:dyDescent="0.25">
      <c r="A80" s="29">
        <v>1506</v>
      </c>
      <c r="B80" s="618">
        <v>0.48</v>
      </c>
      <c r="C80" s="652">
        <v>206.25</v>
      </c>
      <c r="D80" s="747">
        <f t="shared" si="5"/>
        <v>3.4999999999999996E-3</v>
      </c>
      <c r="E80" s="618">
        <v>0.51</v>
      </c>
      <c r="F80" s="652">
        <v>52.5</v>
      </c>
      <c r="G80" s="748">
        <f t="shared" si="0"/>
        <v>1.95E-2</v>
      </c>
      <c r="H80" s="618">
        <v>0.51</v>
      </c>
      <c r="I80" s="652">
        <v>4.75</v>
      </c>
      <c r="J80" s="216">
        <f t="shared" si="1"/>
        <v>0.58166666666666667</v>
      </c>
      <c r="P80" s="29">
        <v>2893</v>
      </c>
      <c r="Q80" s="653">
        <v>0.41</v>
      </c>
      <c r="R80" s="664">
        <v>200</v>
      </c>
      <c r="S80" s="749">
        <f t="shared" si="6"/>
        <v>3.0999999999999999E-3</v>
      </c>
      <c r="T80" s="653">
        <v>0.41</v>
      </c>
      <c r="U80" s="664">
        <v>9</v>
      </c>
      <c r="V80" s="216">
        <f t="shared" si="7"/>
        <v>5.8571428571428566E-2</v>
      </c>
      <c r="W80" s="653">
        <v>0.68</v>
      </c>
      <c r="X80" s="664">
        <v>4.25</v>
      </c>
      <c r="Y80" s="216">
        <f t="shared" si="8"/>
        <v>0.56999999999999995</v>
      </c>
    </row>
    <row r="81" spans="1:25" x14ac:dyDescent="0.25">
      <c r="A81" s="29">
        <v>1508</v>
      </c>
      <c r="B81" s="618">
        <v>0.65</v>
      </c>
      <c r="C81" s="652">
        <v>250</v>
      </c>
      <c r="D81" s="747">
        <f t="shared" ref="D81:D144" si="9">(B81-Lowest_bill_SSW_protecting_wildlife)/(Highest_servicelevel_SSW_protecting_wildlife-Lowest_servicelevel_SSW_protecting_wildlife)</f>
        <v>4.3499999999999997E-3</v>
      </c>
      <c r="E81" s="618">
        <v>1.64</v>
      </c>
      <c r="F81" s="652">
        <v>47.5</v>
      </c>
      <c r="G81" s="748">
        <f t="shared" ref="G81:G144" si="10">(E81-Lowest_bill_SSW_leakage)/(Highest_servicelevel_SSW_leakage-Lowest_servicelevel_SSW_leakage)</f>
        <v>4.7750000000000001E-2</v>
      </c>
      <c r="H81" s="618">
        <v>0.28000000000000003</v>
      </c>
      <c r="I81" s="652">
        <v>5.25</v>
      </c>
      <c r="J81" s="216">
        <f t="shared" ref="J81:J144" si="11">(H81-Lowest_bill_SSW_interruptions)/(Highest_servicelevel_SSW_interruptions-Lowest_servicelevel_SSW_interruptions)</f>
        <v>0.5625</v>
      </c>
      <c r="P81" s="29">
        <v>2905</v>
      </c>
      <c r="Q81" s="653">
        <v>0.45</v>
      </c>
      <c r="R81" s="664">
        <v>206.25</v>
      </c>
      <c r="S81" s="749">
        <f t="shared" ref="S81:S112" si="12">(Q81-Lowest_bill_CAM_protecting_wildlife)/(Highest_servicelevel_CAM_protecting_wildlife-Lowest_servicelevel_CAM_protecting_wildlife)</f>
        <v>3.3E-3</v>
      </c>
      <c r="T81" s="653">
        <v>0.41</v>
      </c>
      <c r="U81" s="664">
        <v>9</v>
      </c>
      <c r="V81" s="216">
        <f t="shared" ref="V81:V112" si="13">(T81-Lowest_bill_CAM_leakage)/(Highest_servicelevel_CAM_leakage-Lowest_servicelevel_CAM_leakage)</f>
        <v>5.8571428571428566E-2</v>
      </c>
      <c r="W81" s="653">
        <v>0.68</v>
      </c>
      <c r="X81" s="664">
        <v>4.25</v>
      </c>
      <c r="Y81" s="216">
        <f t="shared" ref="Y81:Y112" si="14">(W81-Lowest_bill_CAM_interruptions)/(Highest_servicelevel_CAM_interruptions-Lowest_servicelevel_CAM_interruptions)</f>
        <v>0.56999999999999995</v>
      </c>
    </row>
    <row r="82" spans="1:25" x14ac:dyDescent="0.25">
      <c r="A82" s="29">
        <v>1511</v>
      </c>
      <c r="B82" s="618">
        <v>0.45</v>
      </c>
      <c r="C82" s="652">
        <v>200</v>
      </c>
      <c r="D82" s="747">
        <f t="shared" si="9"/>
        <v>3.3500000000000001E-3</v>
      </c>
      <c r="E82" s="618">
        <v>0.68</v>
      </c>
      <c r="F82" s="652">
        <v>50</v>
      </c>
      <c r="G82" s="748">
        <f t="shared" si="10"/>
        <v>2.375E-2</v>
      </c>
      <c r="H82" s="618">
        <v>0.61</v>
      </c>
      <c r="I82" s="652">
        <v>4.75</v>
      </c>
      <c r="J82" s="216">
        <f t="shared" si="11"/>
        <v>0.59</v>
      </c>
      <c r="P82" s="29">
        <v>2910</v>
      </c>
      <c r="Q82" s="653">
        <v>0.49</v>
      </c>
      <c r="R82" s="664">
        <v>218.75</v>
      </c>
      <c r="S82" s="749">
        <f t="shared" si="12"/>
        <v>3.4999999999999996E-3</v>
      </c>
      <c r="T82" s="653">
        <v>1.66</v>
      </c>
      <c r="U82" s="664">
        <v>9</v>
      </c>
      <c r="V82" s="216">
        <f t="shared" si="13"/>
        <v>0.23714285714285713</v>
      </c>
      <c r="W82" s="653">
        <v>1.95</v>
      </c>
      <c r="X82" s="664">
        <v>4.25</v>
      </c>
      <c r="Y82" s="216">
        <f t="shared" si="14"/>
        <v>0.67583333333333329</v>
      </c>
    </row>
    <row r="83" spans="1:25" x14ac:dyDescent="0.25">
      <c r="A83" s="29">
        <v>1513</v>
      </c>
      <c r="B83" s="618">
        <v>0.43</v>
      </c>
      <c r="C83" s="652">
        <v>200</v>
      </c>
      <c r="D83" s="747">
        <f t="shared" si="9"/>
        <v>3.2500000000000003E-3</v>
      </c>
      <c r="E83" s="618">
        <v>7.0000000000000007E-2</v>
      </c>
      <c r="F83" s="652">
        <v>60</v>
      </c>
      <c r="G83" s="748">
        <f t="shared" si="10"/>
        <v>8.5000000000000006E-3</v>
      </c>
      <c r="H83" s="618">
        <v>-1.52</v>
      </c>
      <c r="I83" s="652">
        <v>8</v>
      </c>
      <c r="J83" s="216">
        <f t="shared" si="11"/>
        <v>0.41249999999999992</v>
      </c>
      <c r="P83" s="29">
        <v>2913</v>
      </c>
      <c r="Q83" s="653">
        <v>0.52</v>
      </c>
      <c r="R83" s="664">
        <v>225</v>
      </c>
      <c r="S83" s="749">
        <f t="shared" si="12"/>
        <v>3.65E-3</v>
      </c>
      <c r="T83" s="653">
        <v>0.41</v>
      </c>
      <c r="U83" s="664">
        <v>9</v>
      </c>
      <c r="V83" s="216">
        <f t="shared" si="13"/>
        <v>5.8571428571428566E-2</v>
      </c>
      <c r="W83" s="653">
        <v>0.68</v>
      </c>
      <c r="X83" s="664">
        <v>4.25</v>
      </c>
      <c r="Y83" s="216">
        <f t="shared" si="14"/>
        <v>0.56999999999999995</v>
      </c>
    </row>
    <row r="84" spans="1:25" x14ac:dyDescent="0.25">
      <c r="A84" s="29">
        <v>1517</v>
      </c>
      <c r="B84" s="618">
        <v>0.43</v>
      </c>
      <c r="C84" s="652">
        <v>200</v>
      </c>
      <c r="D84" s="747">
        <f t="shared" si="9"/>
        <v>3.2500000000000003E-3</v>
      </c>
      <c r="E84" s="618">
        <v>0.68</v>
      </c>
      <c r="F84" s="652">
        <v>50</v>
      </c>
      <c r="G84" s="748">
        <f t="shared" si="10"/>
        <v>2.375E-2</v>
      </c>
      <c r="H84" s="618">
        <v>0.71</v>
      </c>
      <c r="I84" s="652">
        <v>4</v>
      </c>
      <c r="J84" s="216">
        <f t="shared" si="11"/>
        <v>0.59833333333333327</v>
      </c>
      <c r="P84" s="29">
        <v>2930</v>
      </c>
      <c r="Q84" s="653">
        <v>0.62</v>
      </c>
      <c r="R84" s="664">
        <v>250</v>
      </c>
      <c r="S84" s="749">
        <f t="shared" si="12"/>
        <v>4.15E-3</v>
      </c>
      <c r="T84" s="653">
        <v>2.15</v>
      </c>
      <c r="U84" s="664">
        <v>8.375</v>
      </c>
      <c r="V84" s="216">
        <f t="shared" si="13"/>
        <v>0.30714285714285711</v>
      </c>
      <c r="W84" s="653">
        <v>0.68</v>
      </c>
      <c r="X84" s="664">
        <v>4.25</v>
      </c>
      <c r="Y84" s="216">
        <f t="shared" si="14"/>
        <v>0.56999999999999995</v>
      </c>
    </row>
    <row r="85" spans="1:25" x14ac:dyDescent="0.25">
      <c r="A85" s="29">
        <v>1518</v>
      </c>
      <c r="B85" s="618">
        <v>0.43</v>
      </c>
      <c r="C85" s="652">
        <v>200</v>
      </c>
      <c r="D85" s="747">
        <f t="shared" si="9"/>
        <v>3.2500000000000003E-3</v>
      </c>
      <c r="E85" s="618">
        <v>0.68</v>
      </c>
      <c r="F85" s="652">
        <v>50</v>
      </c>
      <c r="G85" s="748">
        <f t="shared" si="10"/>
        <v>2.375E-2</v>
      </c>
      <c r="H85" s="618">
        <v>0.71</v>
      </c>
      <c r="I85" s="652">
        <v>4</v>
      </c>
      <c r="J85" s="216">
        <f t="shared" si="11"/>
        <v>0.59833333333333327</v>
      </c>
      <c r="P85" s="29">
        <v>2932</v>
      </c>
      <c r="Q85" s="653">
        <v>0.62</v>
      </c>
      <c r="R85" s="664">
        <v>250</v>
      </c>
      <c r="S85" s="749">
        <f t="shared" si="12"/>
        <v>4.15E-3</v>
      </c>
      <c r="T85" s="653">
        <v>0.89</v>
      </c>
      <c r="U85" s="664">
        <v>9</v>
      </c>
      <c r="V85" s="216">
        <f t="shared" si="13"/>
        <v>0.12714285714285714</v>
      </c>
      <c r="W85" s="653">
        <v>1.67</v>
      </c>
      <c r="X85" s="664">
        <v>4.25</v>
      </c>
      <c r="Y85" s="216">
        <f t="shared" si="14"/>
        <v>0.65249999999999997</v>
      </c>
    </row>
    <row r="86" spans="1:25" x14ac:dyDescent="0.25">
      <c r="A86" s="29">
        <v>1519</v>
      </c>
      <c r="B86" s="618">
        <v>0.33</v>
      </c>
      <c r="C86" s="652">
        <v>175</v>
      </c>
      <c r="D86" s="747">
        <f t="shared" si="9"/>
        <v>2.7500000000000003E-3</v>
      </c>
      <c r="E86" s="618">
        <v>0.68</v>
      </c>
      <c r="F86" s="652">
        <v>50</v>
      </c>
      <c r="G86" s="748">
        <f t="shared" si="10"/>
        <v>2.375E-2</v>
      </c>
      <c r="H86" s="618">
        <v>0.71</v>
      </c>
      <c r="I86" s="652">
        <v>4</v>
      </c>
      <c r="J86" s="216">
        <f t="shared" si="11"/>
        <v>0.59833333333333327</v>
      </c>
      <c r="P86" s="29">
        <v>2950</v>
      </c>
      <c r="Q86" s="653">
        <v>0.41</v>
      </c>
      <c r="R86" s="664">
        <v>200</v>
      </c>
      <c r="S86" s="749">
        <f t="shared" si="12"/>
        <v>3.0999999999999999E-3</v>
      </c>
      <c r="T86" s="653">
        <v>2.69</v>
      </c>
      <c r="U86" s="664">
        <v>8.375</v>
      </c>
      <c r="V86" s="216">
        <f t="shared" si="13"/>
        <v>0.38428571428571429</v>
      </c>
      <c r="W86" s="653">
        <v>0.68</v>
      </c>
      <c r="X86" s="664">
        <v>4.25</v>
      </c>
      <c r="Y86" s="216">
        <f t="shared" si="14"/>
        <v>0.56999999999999995</v>
      </c>
    </row>
    <row r="87" spans="1:25" x14ac:dyDescent="0.25">
      <c r="A87" s="29">
        <v>1525</v>
      </c>
      <c r="B87" s="618">
        <v>0.45</v>
      </c>
      <c r="C87" s="652">
        <v>200</v>
      </c>
      <c r="D87" s="747">
        <f t="shared" si="9"/>
        <v>3.3500000000000001E-3</v>
      </c>
      <c r="E87" s="618">
        <v>0.17</v>
      </c>
      <c r="F87" s="652">
        <v>57.5</v>
      </c>
      <c r="G87" s="748">
        <f t="shared" si="10"/>
        <v>1.1000000000000001E-2</v>
      </c>
      <c r="H87" s="618">
        <v>0.15</v>
      </c>
      <c r="I87" s="652">
        <v>5.75</v>
      </c>
      <c r="J87" s="216">
        <f t="shared" si="11"/>
        <v>0.55166666666666664</v>
      </c>
      <c r="P87" s="29">
        <v>2952</v>
      </c>
      <c r="Q87" s="653">
        <v>0.53</v>
      </c>
      <c r="R87" s="664">
        <v>225</v>
      </c>
      <c r="S87" s="749">
        <f t="shared" si="12"/>
        <v>3.7000000000000002E-3</v>
      </c>
      <c r="T87" s="653">
        <v>1.55</v>
      </c>
      <c r="U87" s="664">
        <v>9</v>
      </c>
      <c r="V87" s="216">
        <f t="shared" si="13"/>
        <v>0.22142857142857145</v>
      </c>
      <c r="W87" s="653">
        <v>0.14000000000000001</v>
      </c>
      <c r="X87" s="664">
        <v>6</v>
      </c>
      <c r="Y87" s="216">
        <f t="shared" si="14"/>
        <v>0.52500000000000002</v>
      </c>
    </row>
    <row r="88" spans="1:25" x14ac:dyDescent="0.25">
      <c r="A88" s="29">
        <v>1531</v>
      </c>
      <c r="B88" s="618">
        <v>0.43</v>
      </c>
      <c r="C88" s="652">
        <v>200</v>
      </c>
      <c r="D88" s="747">
        <f t="shared" si="9"/>
        <v>3.2500000000000003E-3</v>
      </c>
      <c r="E88" s="618">
        <v>0.68</v>
      </c>
      <c r="F88" s="652">
        <v>50</v>
      </c>
      <c r="G88" s="748">
        <f t="shared" si="10"/>
        <v>2.375E-2</v>
      </c>
      <c r="H88" s="618">
        <v>0.71</v>
      </c>
      <c r="I88" s="652">
        <v>4</v>
      </c>
      <c r="J88" s="216">
        <f t="shared" si="11"/>
        <v>0.59833333333333327</v>
      </c>
      <c r="P88" s="29">
        <v>3000</v>
      </c>
      <c r="Q88" s="653">
        <v>0.49</v>
      </c>
      <c r="R88" s="664">
        <v>218.75</v>
      </c>
      <c r="S88" s="749">
        <f t="shared" si="12"/>
        <v>3.4999999999999996E-3</v>
      </c>
      <c r="T88" s="653">
        <v>1.1299999999999999</v>
      </c>
      <c r="U88" s="664">
        <v>9</v>
      </c>
      <c r="V88" s="216">
        <f t="shared" si="13"/>
        <v>0.16142857142857142</v>
      </c>
      <c r="W88" s="653">
        <v>0.68</v>
      </c>
      <c r="X88" s="664">
        <v>4.25</v>
      </c>
      <c r="Y88" s="216">
        <f t="shared" si="14"/>
        <v>0.56999999999999995</v>
      </c>
    </row>
    <row r="89" spans="1:25" x14ac:dyDescent="0.25">
      <c r="A89" s="29">
        <v>1557</v>
      </c>
      <c r="B89" s="618">
        <v>0.04</v>
      </c>
      <c r="C89" s="652">
        <v>106.25</v>
      </c>
      <c r="D89" s="747">
        <f t="shared" si="9"/>
        <v>1.2999999999999999E-3</v>
      </c>
      <c r="E89" s="618">
        <v>0.08</v>
      </c>
      <c r="F89" s="652">
        <v>60</v>
      </c>
      <c r="G89" s="748">
        <f t="shared" si="10"/>
        <v>8.7500000000000008E-3</v>
      </c>
      <c r="H89" s="618">
        <v>-3.14</v>
      </c>
      <c r="I89" s="652">
        <v>10</v>
      </c>
      <c r="J89" s="216">
        <f t="shared" si="11"/>
        <v>0.27749999999999997</v>
      </c>
      <c r="P89" s="29">
        <v>3005</v>
      </c>
      <c r="Q89" s="653">
        <v>0.23</v>
      </c>
      <c r="R89" s="664">
        <v>150</v>
      </c>
      <c r="S89" s="749">
        <f t="shared" si="12"/>
        <v>2.2000000000000001E-3</v>
      </c>
      <c r="T89" s="653">
        <v>1.92</v>
      </c>
      <c r="U89" s="664">
        <v>8.375</v>
      </c>
      <c r="V89" s="216">
        <f t="shared" si="13"/>
        <v>0.2742857142857143</v>
      </c>
      <c r="W89" s="653">
        <v>3.11</v>
      </c>
      <c r="X89" s="664">
        <v>3.25</v>
      </c>
      <c r="Y89" s="216">
        <f t="shared" si="14"/>
        <v>0.77249999999999996</v>
      </c>
    </row>
    <row r="90" spans="1:25" x14ac:dyDescent="0.25">
      <c r="A90" s="29">
        <v>1565</v>
      </c>
      <c r="B90" s="618">
        <v>0.43</v>
      </c>
      <c r="C90" s="652">
        <v>200</v>
      </c>
      <c r="D90" s="747">
        <f t="shared" si="9"/>
        <v>3.2500000000000003E-3</v>
      </c>
      <c r="E90" s="618">
        <v>4.38</v>
      </c>
      <c r="F90" s="652">
        <v>40</v>
      </c>
      <c r="G90" s="748">
        <f t="shared" si="10"/>
        <v>0.11625000000000001</v>
      </c>
      <c r="H90" s="618">
        <v>6.47</v>
      </c>
      <c r="I90" s="652">
        <v>2</v>
      </c>
      <c r="J90" s="216">
        <f t="shared" si="11"/>
        <v>1.0783333333333334</v>
      </c>
      <c r="P90" s="29">
        <v>3015</v>
      </c>
      <c r="Q90" s="653">
        <v>0.41</v>
      </c>
      <c r="R90" s="664">
        <v>200</v>
      </c>
      <c r="S90" s="749">
        <f t="shared" si="12"/>
        <v>3.0999999999999999E-3</v>
      </c>
      <c r="T90" s="653">
        <v>2.74</v>
      </c>
      <c r="U90" s="664">
        <v>8.375</v>
      </c>
      <c r="V90" s="216">
        <f t="shared" si="13"/>
        <v>0.39142857142857146</v>
      </c>
      <c r="W90" s="653">
        <v>-2.08</v>
      </c>
      <c r="X90" s="664">
        <v>9</v>
      </c>
      <c r="Y90" s="216">
        <f t="shared" si="14"/>
        <v>0.34</v>
      </c>
    </row>
    <row r="91" spans="1:25" x14ac:dyDescent="0.25">
      <c r="A91" s="29">
        <v>1568</v>
      </c>
      <c r="B91" s="618">
        <v>0.57999999999999996</v>
      </c>
      <c r="C91" s="652">
        <v>231.25</v>
      </c>
      <c r="D91" s="747">
        <f t="shared" si="9"/>
        <v>4.0000000000000001E-3</v>
      </c>
      <c r="E91" s="618">
        <v>0.68</v>
      </c>
      <c r="F91" s="652">
        <v>50</v>
      </c>
      <c r="G91" s="748">
        <f t="shared" si="10"/>
        <v>2.375E-2</v>
      </c>
      <c r="H91" s="618">
        <v>0.71</v>
      </c>
      <c r="I91" s="652">
        <v>4</v>
      </c>
      <c r="J91" s="216">
        <f t="shared" si="11"/>
        <v>0.59833333333333327</v>
      </c>
      <c r="P91" s="29">
        <v>3024</v>
      </c>
      <c r="Q91" s="653">
        <v>0.5</v>
      </c>
      <c r="R91" s="664">
        <v>218.75</v>
      </c>
      <c r="S91" s="749">
        <f t="shared" si="12"/>
        <v>3.5499999999999998E-3</v>
      </c>
      <c r="T91" s="653">
        <v>1.37</v>
      </c>
      <c r="U91" s="664">
        <v>9</v>
      </c>
      <c r="V91" s="216">
        <f t="shared" si="13"/>
        <v>0.19571428571428573</v>
      </c>
      <c r="W91" s="653">
        <v>-3.98</v>
      </c>
      <c r="X91" s="664">
        <v>11.5</v>
      </c>
      <c r="Y91" s="216">
        <f t="shared" si="14"/>
        <v>0.18166666666666667</v>
      </c>
    </row>
    <row r="92" spans="1:25" x14ac:dyDescent="0.25">
      <c r="A92" s="29">
        <v>1569</v>
      </c>
      <c r="B92" s="618">
        <v>0.43</v>
      </c>
      <c r="C92" s="652">
        <v>200</v>
      </c>
      <c r="D92" s="747">
        <f t="shared" si="9"/>
        <v>3.2500000000000003E-3</v>
      </c>
      <c r="E92" s="618">
        <v>1.67</v>
      </c>
      <c r="F92" s="652">
        <v>47.5</v>
      </c>
      <c r="G92" s="748">
        <f t="shared" si="10"/>
        <v>4.8500000000000001E-2</v>
      </c>
      <c r="H92" s="618">
        <v>0.71</v>
      </c>
      <c r="I92" s="652">
        <v>4</v>
      </c>
      <c r="J92" s="216">
        <f t="shared" si="11"/>
        <v>0.59833333333333327</v>
      </c>
      <c r="P92" s="29">
        <v>3025</v>
      </c>
      <c r="Q92" s="653">
        <v>0.41</v>
      </c>
      <c r="R92" s="664">
        <v>200</v>
      </c>
      <c r="S92" s="749">
        <f t="shared" si="12"/>
        <v>3.0999999999999999E-3</v>
      </c>
      <c r="T92" s="653">
        <v>0.41</v>
      </c>
      <c r="U92" s="664">
        <v>9</v>
      </c>
      <c r="V92" s="216">
        <f t="shared" si="13"/>
        <v>5.8571428571428566E-2</v>
      </c>
      <c r="W92" s="653">
        <v>-2.7</v>
      </c>
      <c r="X92" s="664">
        <v>9.5</v>
      </c>
      <c r="Y92" s="216">
        <f t="shared" si="14"/>
        <v>0.28833333333333333</v>
      </c>
    </row>
    <row r="93" spans="1:25" x14ac:dyDescent="0.25">
      <c r="A93" s="29">
        <v>1572</v>
      </c>
      <c r="B93" s="618">
        <v>0.5</v>
      </c>
      <c r="C93" s="652">
        <v>212.5</v>
      </c>
      <c r="D93" s="747">
        <f t="shared" si="9"/>
        <v>3.5999999999999999E-3</v>
      </c>
      <c r="E93" s="618">
        <v>0.68</v>
      </c>
      <c r="F93" s="652">
        <v>50</v>
      </c>
      <c r="G93" s="748">
        <f t="shared" si="10"/>
        <v>2.375E-2</v>
      </c>
      <c r="H93" s="618">
        <v>0.71</v>
      </c>
      <c r="I93" s="652">
        <v>4</v>
      </c>
      <c r="J93" s="216">
        <f t="shared" si="11"/>
        <v>0.59833333333333327</v>
      </c>
      <c r="P93" s="29">
        <v>3026</v>
      </c>
      <c r="Q93" s="653">
        <v>0.62</v>
      </c>
      <c r="R93" s="664">
        <v>250</v>
      </c>
      <c r="S93" s="749">
        <f t="shared" si="12"/>
        <v>4.15E-3</v>
      </c>
      <c r="T93" s="653">
        <v>0.41</v>
      </c>
      <c r="U93" s="664">
        <v>9</v>
      </c>
      <c r="V93" s="216">
        <f t="shared" si="13"/>
        <v>5.8571428571428566E-2</v>
      </c>
      <c r="W93" s="653">
        <v>0.09</v>
      </c>
      <c r="X93" s="664">
        <v>6</v>
      </c>
      <c r="Y93" s="216">
        <f t="shared" si="14"/>
        <v>0.52083333333333337</v>
      </c>
    </row>
    <row r="94" spans="1:25" x14ac:dyDescent="0.25">
      <c r="A94" s="29">
        <v>1597</v>
      </c>
      <c r="B94" s="618">
        <v>0.3</v>
      </c>
      <c r="C94" s="652">
        <v>168.75</v>
      </c>
      <c r="D94" s="747">
        <f t="shared" si="9"/>
        <v>2.5999999999999999E-3</v>
      </c>
      <c r="E94" s="618">
        <v>0.68</v>
      </c>
      <c r="F94" s="652">
        <v>50</v>
      </c>
      <c r="G94" s="748">
        <f t="shared" si="10"/>
        <v>2.375E-2</v>
      </c>
      <c r="H94" s="618">
        <v>0.6</v>
      </c>
      <c r="I94" s="652">
        <v>4.75</v>
      </c>
      <c r="J94" s="216">
        <f t="shared" si="11"/>
        <v>0.58916666666666662</v>
      </c>
      <c r="P94" s="29">
        <v>3029</v>
      </c>
      <c r="Q94" s="653">
        <v>0.5</v>
      </c>
      <c r="R94" s="664">
        <v>218.75</v>
      </c>
      <c r="S94" s="749">
        <f t="shared" si="12"/>
        <v>3.5499999999999998E-3</v>
      </c>
      <c r="T94" s="653">
        <v>0.69</v>
      </c>
      <c r="U94" s="664">
        <v>9</v>
      </c>
      <c r="V94" s="216">
        <f t="shared" si="13"/>
        <v>9.857142857142856E-2</v>
      </c>
      <c r="W94" s="653">
        <v>1.95</v>
      </c>
      <c r="X94" s="664">
        <v>4.25</v>
      </c>
      <c r="Y94" s="216">
        <f t="shared" si="14"/>
        <v>0.67583333333333329</v>
      </c>
    </row>
    <row r="95" spans="1:25" x14ac:dyDescent="0.25">
      <c r="A95" s="29">
        <v>1609</v>
      </c>
      <c r="B95" s="618">
        <v>0.43</v>
      </c>
      <c r="C95" s="652">
        <v>200</v>
      </c>
      <c r="D95" s="747">
        <f t="shared" si="9"/>
        <v>3.2500000000000003E-3</v>
      </c>
      <c r="E95" s="618">
        <v>1.25</v>
      </c>
      <c r="F95" s="652">
        <v>48.75</v>
      </c>
      <c r="G95" s="748">
        <f t="shared" si="10"/>
        <v>3.7999999999999999E-2</v>
      </c>
      <c r="H95" s="618">
        <v>0.35</v>
      </c>
      <c r="I95" s="652">
        <v>5.25</v>
      </c>
      <c r="J95" s="216">
        <f t="shared" si="11"/>
        <v>0.56833333333333325</v>
      </c>
      <c r="P95" s="29">
        <v>3044</v>
      </c>
      <c r="Q95" s="653">
        <v>0.45</v>
      </c>
      <c r="R95" s="664">
        <v>206.25</v>
      </c>
      <c r="S95" s="749">
        <f t="shared" si="12"/>
        <v>3.3E-3</v>
      </c>
      <c r="T95" s="653">
        <v>1.97</v>
      </c>
      <c r="U95" s="664">
        <v>8.375</v>
      </c>
      <c r="V95" s="216">
        <f t="shared" si="13"/>
        <v>0.28142857142857142</v>
      </c>
      <c r="W95" s="653">
        <v>0.59</v>
      </c>
      <c r="X95" s="664">
        <v>5.25</v>
      </c>
      <c r="Y95" s="216">
        <f t="shared" si="14"/>
        <v>0.5625</v>
      </c>
    </row>
    <row r="96" spans="1:25" x14ac:dyDescent="0.25">
      <c r="A96" s="29">
        <v>1611</v>
      </c>
      <c r="B96" s="618">
        <v>0.18</v>
      </c>
      <c r="C96" s="652">
        <v>137.5</v>
      </c>
      <c r="D96" s="747">
        <f t="shared" si="9"/>
        <v>2E-3</v>
      </c>
      <c r="E96" s="618">
        <v>4.09</v>
      </c>
      <c r="F96" s="652">
        <v>41.25</v>
      </c>
      <c r="G96" s="748">
        <f t="shared" si="10"/>
        <v>0.10899999999999999</v>
      </c>
      <c r="H96" s="618">
        <v>3.8</v>
      </c>
      <c r="I96" s="652">
        <v>3.25</v>
      </c>
      <c r="J96" s="216">
        <f t="shared" si="11"/>
        <v>0.85583333333333333</v>
      </c>
      <c r="P96" s="29">
        <v>3064</v>
      </c>
      <c r="Q96" s="653">
        <v>0.62</v>
      </c>
      <c r="R96" s="664">
        <v>250</v>
      </c>
      <c r="S96" s="749">
        <f t="shared" si="12"/>
        <v>4.15E-3</v>
      </c>
      <c r="T96" s="653">
        <v>2.74</v>
      </c>
      <c r="U96" s="664">
        <v>8.375</v>
      </c>
      <c r="V96" s="216">
        <f t="shared" si="13"/>
        <v>0.39142857142857146</v>
      </c>
      <c r="W96" s="653">
        <v>1.53</v>
      </c>
      <c r="X96" s="664">
        <v>4.25</v>
      </c>
      <c r="Y96" s="216">
        <f t="shared" si="14"/>
        <v>0.64083333333333337</v>
      </c>
    </row>
    <row r="97" spans="1:25" x14ac:dyDescent="0.25">
      <c r="A97" s="29">
        <v>1613</v>
      </c>
      <c r="B97" s="618">
        <v>0.43</v>
      </c>
      <c r="C97" s="652">
        <v>200</v>
      </c>
      <c r="D97" s="747">
        <f t="shared" si="9"/>
        <v>3.2500000000000003E-3</v>
      </c>
      <c r="E97" s="618">
        <v>0.68</v>
      </c>
      <c r="F97" s="652">
        <v>50</v>
      </c>
      <c r="G97" s="748">
        <f t="shared" si="10"/>
        <v>2.375E-2</v>
      </c>
      <c r="H97" s="618">
        <v>0.71</v>
      </c>
      <c r="I97" s="652">
        <v>4</v>
      </c>
      <c r="J97" s="216">
        <f t="shared" si="11"/>
        <v>0.59833333333333327</v>
      </c>
      <c r="P97" s="29">
        <v>3065</v>
      </c>
      <c r="Q97" s="653">
        <v>0.41</v>
      </c>
      <c r="R97" s="664">
        <v>200</v>
      </c>
      <c r="S97" s="749">
        <f t="shared" si="12"/>
        <v>3.0999999999999999E-3</v>
      </c>
      <c r="T97" s="653">
        <v>2.74</v>
      </c>
      <c r="U97" s="664">
        <v>8.375</v>
      </c>
      <c r="V97" s="216">
        <f t="shared" si="13"/>
        <v>0.39142857142857146</v>
      </c>
      <c r="W97" s="653">
        <v>0.68</v>
      </c>
      <c r="X97" s="664">
        <v>4.25</v>
      </c>
      <c r="Y97" s="216">
        <f t="shared" si="14"/>
        <v>0.56999999999999995</v>
      </c>
    </row>
    <row r="98" spans="1:25" x14ac:dyDescent="0.25">
      <c r="A98" s="29">
        <v>1626</v>
      </c>
      <c r="B98" s="618">
        <v>0.1</v>
      </c>
      <c r="C98" s="652">
        <v>118.75</v>
      </c>
      <c r="D98" s="747">
        <f t="shared" si="9"/>
        <v>1.6000000000000001E-3</v>
      </c>
      <c r="E98" s="618">
        <v>0.68</v>
      </c>
      <c r="F98" s="652">
        <v>50</v>
      </c>
      <c r="G98" s="748">
        <f t="shared" si="10"/>
        <v>2.375E-2</v>
      </c>
      <c r="H98" s="618">
        <v>-4.8899999999999997</v>
      </c>
      <c r="I98" s="652">
        <v>12.5</v>
      </c>
      <c r="J98" s="216">
        <f t="shared" si="11"/>
        <v>0.13166666666666668</v>
      </c>
      <c r="P98" s="29">
        <v>3074</v>
      </c>
      <c r="Q98" s="653">
        <v>0.41</v>
      </c>
      <c r="R98" s="664">
        <v>200</v>
      </c>
      <c r="S98" s="749">
        <f t="shared" si="12"/>
        <v>3.0999999999999999E-3</v>
      </c>
      <c r="T98" s="653">
        <v>0.41</v>
      </c>
      <c r="U98" s="664">
        <v>9</v>
      </c>
      <c r="V98" s="216">
        <f t="shared" si="13"/>
        <v>5.8571428571428566E-2</v>
      </c>
      <c r="W98" s="653">
        <v>0.68</v>
      </c>
      <c r="X98" s="664">
        <v>4.25</v>
      </c>
      <c r="Y98" s="216">
        <f t="shared" si="14"/>
        <v>0.56999999999999995</v>
      </c>
    </row>
    <row r="99" spans="1:25" x14ac:dyDescent="0.25">
      <c r="A99" s="29">
        <v>1630</v>
      </c>
      <c r="B99" s="618">
        <v>0.43</v>
      </c>
      <c r="C99" s="652">
        <v>200</v>
      </c>
      <c r="D99" s="747">
        <f t="shared" si="9"/>
        <v>3.2500000000000003E-3</v>
      </c>
      <c r="E99" s="618">
        <v>1.29</v>
      </c>
      <c r="F99" s="652">
        <v>48.75</v>
      </c>
      <c r="G99" s="748">
        <f t="shared" si="10"/>
        <v>3.9E-2</v>
      </c>
      <c r="H99" s="618">
        <v>0.71</v>
      </c>
      <c r="I99" s="652">
        <v>4</v>
      </c>
      <c r="J99" s="216">
        <f t="shared" si="11"/>
        <v>0.59833333333333327</v>
      </c>
      <c r="P99" s="29">
        <v>3077</v>
      </c>
      <c r="Q99" s="653">
        <v>0.54</v>
      </c>
      <c r="R99" s="664">
        <v>231.25</v>
      </c>
      <c r="S99" s="749">
        <f t="shared" si="12"/>
        <v>3.7499999999999999E-3</v>
      </c>
      <c r="T99" s="653">
        <v>1.95</v>
      </c>
      <c r="U99" s="664">
        <v>8.375</v>
      </c>
      <c r="V99" s="216">
        <f t="shared" si="13"/>
        <v>0.27857142857142858</v>
      </c>
      <c r="W99" s="653">
        <v>0.68</v>
      </c>
      <c r="X99" s="664">
        <v>4.25</v>
      </c>
      <c r="Y99" s="216">
        <f t="shared" si="14"/>
        <v>0.56999999999999995</v>
      </c>
    </row>
    <row r="100" spans="1:25" x14ac:dyDescent="0.25">
      <c r="A100" s="29">
        <v>1632</v>
      </c>
      <c r="B100" s="618">
        <v>0.5</v>
      </c>
      <c r="C100" s="652">
        <v>212.5</v>
      </c>
      <c r="D100" s="747">
        <f t="shared" si="9"/>
        <v>3.5999999999999999E-3</v>
      </c>
      <c r="E100" s="618">
        <v>0.68</v>
      </c>
      <c r="F100" s="652">
        <v>50</v>
      </c>
      <c r="G100" s="748">
        <f t="shared" si="10"/>
        <v>2.375E-2</v>
      </c>
      <c r="H100" s="618">
        <v>0.6</v>
      </c>
      <c r="I100" s="652">
        <v>4.75</v>
      </c>
      <c r="J100" s="216">
        <f t="shared" si="11"/>
        <v>0.58916666666666662</v>
      </c>
      <c r="P100" s="29">
        <v>3083</v>
      </c>
      <c r="Q100" s="653">
        <v>0.41</v>
      </c>
      <c r="R100" s="664">
        <v>200</v>
      </c>
      <c r="S100" s="749">
        <f t="shared" si="12"/>
        <v>3.0999999999999999E-3</v>
      </c>
      <c r="T100" s="653">
        <v>0.41</v>
      </c>
      <c r="U100" s="664">
        <v>9</v>
      </c>
      <c r="V100" s="216">
        <f t="shared" si="13"/>
        <v>5.8571428571428566E-2</v>
      </c>
      <c r="W100" s="653">
        <v>0.68</v>
      </c>
      <c r="X100" s="664">
        <v>4.25</v>
      </c>
      <c r="Y100" s="216">
        <f t="shared" si="14"/>
        <v>0.56999999999999995</v>
      </c>
    </row>
    <row r="101" spans="1:25" x14ac:dyDescent="0.25">
      <c r="A101" s="29">
        <v>1635</v>
      </c>
      <c r="B101" s="618">
        <v>0.23</v>
      </c>
      <c r="C101" s="652">
        <v>150</v>
      </c>
      <c r="D101" s="747">
        <f t="shared" si="9"/>
        <v>2.2500000000000003E-3</v>
      </c>
      <c r="E101" s="618">
        <v>0.08</v>
      </c>
      <c r="F101" s="652">
        <v>60</v>
      </c>
      <c r="G101" s="748">
        <f t="shared" si="10"/>
        <v>8.7500000000000008E-3</v>
      </c>
      <c r="H101" s="618">
        <v>4.12</v>
      </c>
      <c r="I101" s="652">
        <v>3.25</v>
      </c>
      <c r="J101" s="216">
        <f t="shared" si="11"/>
        <v>0.88249999999999995</v>
      </c>
      <c r="P101" s="29">
        <v>3096</v>
      </c>
      <c r="Q101" s="653">
        <v>0.62</v>
      </c>
      <c r="R101" s="664">
        <v>250</v>
      </c>
      <c r="S101" s="749">
        <f t="shared" si="12"/>
        <v>4.15E-3</v>
      </c>
      <c r="T101" s="653">
        <v>0.41</v>
      </c>
      <c r="U101" s="664">
        <v>9</v>
      </c>
      <c r="V101" s="216">
        <f t="shared" si="13"/>
        <v>5.8571428571428566E-2</v>
      </c>
      <c r="W101" s="653">
        <v>0.68</v>
      </c>
      <c r="X101" s="664">
        <v>4.25</v>
      </c>
      <c r="Y101" s="216">
        <f t="shared" si="14"/>
        <v>0.56999999999999995</v>
      </c>
    </row>
    <row r="102" spans="1:25" x14ac:dyDescent="0.25">
      <c r="A102" s="29">
        <v>1639</v>
      </c>
      <c r="B102" s="618">
        <v>0.49</v>
      </c>
      <c r="C102" s="652">
        <v>212.5</v>
      </c>
      <c r="D102" s="747">
        <f t="shared" si="9"/>
        <v>3.5499999999999998E-3</v>
      </c>
      <c r="E102" s="618">
        <v>1.25</v>
      </c>
      <c r="F102" s="652">
        <v>48.75</v>
      </c>
      <c r="G102" s="748">
        <f t="shared" si="10"/>
        <v>3.7999999999999999E-2</v>
      </c>
      <c r="H102" s="618">
        <v>1.75</v>
      </c>
      <c r="I102" s="652">
        <v>3.75</v>
      </c>
      <c r="J102" s="216">
        <f t="shared" si="11"/>
        <v>0.68499999999999994</v>
      </c>
      <c r="P102" s="29">
        <v>3106</v>
      </c>
      <c r="Q102" s="653">
        <v>0.53</v>
      </c>
      <c r="R102" s="664">
        <v>225</v>
      </c>
      <c r="S102" s="749">
        <f t="shared" si="12"/>
        <v>3.7000000000000002E-3</v>
      </c>
      <c r="T102" s="653">
        <v>0.77</v>
      </c>
      <c r="U102" s="664">
        <v>9</v>
      </c>
      <c r="V102" s="216">
        <f t="shared" si="13"/>
        <v>0.11</v>
      </c>
      <c r="W102" s="653">
        <v>-6.16</v>
      </c>
      <c r="X102" s="664">
        <v>14</v>
      </c>
      <c r="Y102" s="216">
        <f t="shared" si="14"/>
        <v>0</v>
      </c>
    </row>
    <row r="103" spans="1:25" x14ac:dyDescent="0.25">
      <c r="A103" s="29">
        <v>1642</v>
      </c>
      <c r="B103" s="618">
        <v>0.42</v>
      </c>
      <c r="C103" s="652">
        <v>193.75</v>
      </c>
      <c r="D103" s="747">
        <f t="shared" si="9"/>
        <v>3.2000000000000002E-3</v>
      </c>
      <c r="E103" s="618">
        <v>2.95</v>
      </c>
      <c r="F103" s="652">
        <v>45</v>
      </c>
      <c r="G103" s="748">
        <f t="shared" si="10"/>
        <v>8.0500000000000002E-2</v>
      </c>
      <c r="H103" s="618">
        <v>0.62</v>
      </c>
      <c r="I103" s="652">
        <v>4.25</v>
      </c>
      <c r="J103" s="216">
        <f t="shared" si="11"/>
        <v>0.59083333333333332</v>
      </c>
      <c r="P103" s="29">
        <v>3111</v>
      </c>
      <c r="Q103" s="653">
        <v>0.45</v>
      </c>
      <c r="R103" s="664">
        <v>206.25</v>
      </c>
      <c r="S103" s="749">
        <f t="shared" si="12"/>
        <v>3.3E-3</v>
      </c>
      <c r="T103" s="653">
        <v>0.65</v>
      </c>
      <c r="U103" s="664">
        <v>9</v>
      </c>
      <c r="V103" s="216">
        <f t="shared" si="13"/>
        <v>9.285714285714286E-2</v>
      </c>
      <c r="W103" s="653">
        <v>0.6</v>
      </c>
      <c r="X103" s="664">
        <v>4.25</v>
      </c>
      <c r="Y103" s="216">
        <f t="shared" si="14"/>
        <v>0.56333333333333335</v>
      </c>
    </row>
    <row r="104" spans="1:25" x14ac:dyDescent="0.25">
      <c r="A104" s="29">
        <v>1645</v>
      </c>
      <c r="B104" s="618">
        <v>0.2</v>
      </c>
      <c r="C104" s="652">
        <v>143.75</v>
      </c>
      <c r="D104" s="747">
        <f t="shared" si="9"/>
        <v>2.1000000000000003E-3</v>
      </c>
      <c r="E104" s="618">
        <v>0.54</v>
      </c>
      <c r="F104" s="652">
        <v>52.5</v>
      </c>
      <c r="G104" s="748">
        <f t="shared" si="10"/>
        <v>2.0250000000000001E-2</v>
      </c>
      <c r="H104" s="618">
        <v>0.63</v>
      </c>
      <c r="I104" s="652">
        <v>4.25</v>
      </c>
      <c r="J104" s="216">
        <f t="shared" si="11"/>
        <v>0.59166666666666667</v>
      </c>
      <c r="P104" s="29">
        <v>3124</v>
      </c>
      <c r="Q104" s="653">
        <v>0.53</v>
      </c>
      <c r="R104" s="664">
        <v>225</v>
      </c>
      <c r="S104" s="749">
        <f t="shared" si="12"/>
        <v>3.7000000000000002E-3</v>
      </c>
      <c r="T104" s="653">
        <v>0.35</v>
      </c>
      <c r="U104" s="664">
        <v>9.5</v>
      </c>
      <c r="V104" s="216">
        <f t="shared" si="13"/>
        <v>4.9999999999999996E-2</v>
      </c>
      <c r="W104" s="653">
        <v>3.08</v>
      </c>
      <c r="X104" s="664">
        <v>3.25</v>
      </c>
      <c r="Y104" s="216">
        <f t="shared" si="14"/>
        <v>0.77</v>
      </c>
    </row>
    <row r="105" spans="1:25" x14ac:dyDescent="0.25">
      <c r="A105" s="29">
        <v>1646</v>
      </c>
      <c r="B105" s="618">
        <v>0.51</v>
      </c>
      <c r="C105" s="652">
        <v>218.75</v>
      </c>
      <c r="D105" s="747">
        <f t="shared" si="9"/>
        <v>3.65E-3</v>
      </c>
      <c r="E105" s="618">
        <v>1.64</v>
      </c>
      <c r="F105" s="652">
        <v>47.5</v>
      </c>
      <c r="G105" s="748">
        <f t="shared" si="10"/>
        <v>4.7750000000000001E-2</v>
      </c>
      <c r="H105" s="618">
        <v>0.71</v>
      </c>
      <c r="I105" s="652">
        <v>4</v>
      </c>
      <c r="J105" s="216">
        <f t="shared" si="11"/>
        <v>0.59833333333333327</v>
      </c>
      <c r="P105" s="29">
        <v>3162</v>
      </c>
      <c r="Q105" s="653">
        <v>0.62</v>
      </c>
      <c r="R105" s="664">
        <v>250</v>
      </c>
      <c r="S105" s="749">
        <f t="shared" si="12"/>
        <v>4.15E-3</v>
      </c>
      <c r="T105" s="653">
        <v>2.74</v>
      </c>
      <c r="U105" s="664">
        <v>8.375</v>
      </c>
      <c r="V105" s="216">
        <f t="shared" si="13"/>
        <v>0.39142857142857146</v>
      </c>
      <c r="W105" s="653">
        <v>0.04</v>
      </c>
      <c r="X105" s="664">
        <v>6</v>
      </c>
      <c r="Y105" s="216">
        <f t="shared" si="14"/>
        <v>0.51666666666666672</v>
      </c>
    </row>
    <row r="106" spans="1:25" x14ac:dyDescent="0.25">
      <c r="A106" s="29">
        <v>1657</v>
      </c>
      <c r="B106" s="618">
        <v>0.43</v>
      </c>
      <c r="C106" s="652">
        <v>200</v>
      </c>
      <c r="D106" s="747">
        <f t="shared" si="9"/>
        <v>3.2500000000000003E-3</v>
      </c>
      <c r="E106" s="618">
        <v>0.68</v>
      </c>
      <c r="F106" s="652">
        <v>50</v>
      </c>
      <c r="G106" s="748">
        <f t="shared" si="10"/>
        <v>2.375E-2</v>
      </c>
      <c r="H106" s="618">
        <v>0.71</v>
      </c>
      <c r="I106" s="652">
        <v>4</v>
      </c>
      <c r="J106" s="216">
        <f t="shared" si="11"/>
        <v>0.59833333333333327</v>
      </c>
      <c r="P106" s="29">
        <v>3169</v>
      </c>
      <c r="Q106" s="653">
        <v>0.62</v>
      </c>
      <c r="R106" s="664">
        <v>250</v>
      </c>
      <c r="S106" s="749">
        <f t="shared" si="12"/>
        <v>4.15E-3</v>
      </c>
      <c r="T106" s="653">
        <v>2.5099999999999998</v>
      </c>
      <c r="U106" s="664">
        <v>8.375</v>
      </c>
      <c r="V106" s="216">
        <f t="shared" si="13"/>
        <v>0.35857142857142854</v>
      </c>
      <c r="W106" s="653">
        <v>0.68</v>
      </c>
      <c r="X106" s="664">
        <v>4.25</v>
      </c>
      <c r="Y106" s="216">
        <f t="shared" si="14"/>
        <v>0.56999999999999995</v>
      </c>
    </row>
    <row r="107" spans="1:25" x14ac:dyDescent="0.25">
      <c r="A107" s="29">
        <v>1661</v>
      </c>
      <c r="B107" s="618">
        <v>0.49</v>
      </c>
      <c r="C107" s="652">
        <v>212.5</v>
      </c>
      <c r="D107" s="747">
        <f t="shared" si="9"/>
        <v>3.5499999999999998E-3</v>
      </c>
      <c r="E107" s="618">
        <v>0.68</v>
      </c>
      <c r="F107" s="652">
        <v>50</v>
      </c>
      <c r="G107" s="748">
        <f t="shared" si="10"/>
        <v>2.375E-2</v>
      </c>
      <c r="H107" s="618">
        <v>0.71</v>
      </c>
      <c r="I107" s="652">
        <v>4</v>
      </c>
      <c r="J107" s="216">
        <f t="shared" si="11"/>
        <v>0.59833333333333327</v>
      </c>
      <c r="P107" s="29">
        <v>3187</v>
      </c>
      <c r="Q107" s="653">
        <v>0</v>
      </c>
      <c r="R107" s="664">
        <v>100</v>
      </c>
      <c r="S107" s="749">
        <f t="shared" si="12"/>
        <v>1.0499999999999999E-3</v>
      </c>
      <c r="T107" s="653">
        <v>0</v>
      </c>
      <c r="U107" s="664">
        <v>15</v>
      </c>
      <c r="V107" s="216">
        <f t="shared" si="13"/>
        <v>0</v>
      </c>
      <c r="W107" s="653">
        <v>0</v>
      </c>
      <c r="X107" s="664">
        <v>6</v>
      </c>
      <c r="Y107" s="216">
        <f t="shared" si="14"/>
        <v>0.51333333333333331</v>
      </c>
    </row>
    <row r="108" spans="1:25" x14ac:dyDescent="0.25">
      <c r="A108" s="29">
        <v>1666</v>
      </c>
      <c r="B108" s="618">
        <v>0.61</v>
      </c>
      <c r="C108" s="652">
        <v>237.5</v>
      </c>
      <c r="D108" s="747">
        <f t="shared" si="9"/>
        <v>4.15E-3</v>
      </c>
      <c r="E108" s="618">
        <v>0.09</v>
      </c>
      <c r="F108" s="652">
        <v>58.75</v>
      </c>
      <c r="G108" s="748">
        <f t="shared" si="10"/>
        <v>8.9999999999999993E-3</v>
      </c>
      <c r="H108" s="618">
        <v>0.31</v>
      </c>
      <c r="I108" s="652">
        <v>5.25</v>
      </c>
      <c r="J108" s="216">
        <f t="shared" si="11"/>
        <v>0.56499999999999995</v>
      </c>
      <c r="P108" s="29">
        <v>3210</v>
      </c>
      <c r="Q108" s="653">
        <v>0.41</v>
      </c>
      <c r="R108" s="664">
        <v>200</v>
      </c>
      <c r="S108" s="749">
        <f t="shared" si="12"/>
        <v>3.0999999999999999E-3</v>
      </c>
      <c r="T108" s="653">
        <v>1.01</v>
      </c>
      <c r="U108" s="664">
        <v>9</v>
      </c>
      <c r="V108" s="216">
        <f t="shared" si="13"/>
        <v>0.14428571428571429</v>
      </c>
      <c r="W108" s="653">
        <v>0.68</v>
      </c>
      <c r="X108" s="664">
        <v>4.25</v>
      </c>
      <c r="Y108" s="216">
        <f t="shared" si="14"/>
        <v>0.56999999999999995</v>
      </c>
    </row>
    <row r="109" spans="1:25" x14ac:dyDescent="0.25">
      <c r="A109" s="29">
        <v>1667</v>
      </c>
      <c r="B109" s="618">
        <v>0.42</v>
      </c>
      <c r="C109" s="652">
        <v>193.75</v>
      </c>
      <c r="D109" s="747">
        <f t="shared" si="9"/>
        <v>3.2000000000000002E-3</v>
      </c>
      <c r="E109" s="618">
        <v>0.68</v>
      </c>
      <c r="F109" s="652">
        <v>50</v>
      </c>
      <c r="G109" s="748">
        <f t="shared" si="10"/>
        <v>2.375E-2</v>
      </c>
      <c r="H109" s="618">
        <v>0.51</v>
      </c>
      <c r="I109" s="652">
        <v>4.75</v>
      </c>
      <c r="J109" s="216">
        <f t="shared" si="11"/>
        <v>0.58166666666666667</v>
      </c>
      <c r="P109" s="29">
        <v>3217</v>
      </c>
      <c r="Q109" s="653">
        <v>0.41</v>
      </c>
      <c r="R109" s="664">
        <v>200</v>
      </c>
      <c r="S109" s="749">
        <f t="shared" si="12"/>
        <v>3.0999999999999999E-3</v>
      </c>
      <c r="T109" s="653">
        <v>2.33</v>
      </c>
      <c r="U109" s="664">
        <v>8.375</v>
      </c>
      <c r="V109" s="216">
        <f t="shared" si="13"/>
        <v>0.33285714285714285</v>
      </c>
      <c r="W109" s="653">
        <v>0.68</v>
      </c>
      <c r="X109" s="664">
        <v>4.25</v>
      </c>
      <c r="Y109" s="216">
        <f t="shared" si="14"/>
        <v>0.56999999999999995</v>
      </c>
    </row>
    <row r="110" spans="1:25" x14ac:dyDescent="0.25">
      <c r="A110" s="29">
        <v>1674</v>
      </c>
      <c r="B110" s="618">
        <v>0.43</v>
      </c>
      <c r="C110" s="652">
        <v>200</v>
      </c>
      <c r="D110" s="747">
        <f t="shared" si="9"/>
        <v>3.2500000000000003E-3</v>
      </c>
      <c r="E110" s="618">
        <v>0.68</v>
      </c>
      <c r="F110" s="652">
        <v>50</v>
      </c>
      <c r="G110" s="748">
        <f t="shared" si="10"/>
        <v>2.375E-2</v>
      </c>
      <c r="H110" s="618">
        <v>0.65</v>
      </c>
      <c r="I110" s="652">
        <v>4.25</v>
      </c>
      <c r="J110" s="216">
        <f t="shared" si="11"/>
        <v>0.59333333333333338</v>
      </c>
      <c r="P110" s="29">
        <v>3218</v>
      </c>
      <c r="Q110" s="653">
        <v>-0.12</v>
      </c>
      <c r="R110" s="664">
        <v>68.75</v>
      </c>
      <c r="S110" s="749">
        <f t="shared" si="12"/>
        <v>4.4999999999999999E-4</v>
      </c>
      <c r="T110" s="653">
        <v>0.65</v>
      </c>
      <c r="U110" s="664">
        <v>9</v>
      </c>
      <c r="V110" s="216">
        <f t="shared" si="13"/>
        <v>9.285714285714286E-2</v>
      </c>
      <c r="W110" s="653">
        <v>1.81</v>
      </c>
      <c r="X110" s="664">
        <v>4.25</v>
      </c>
      <c r="Y110" s="216">
        <f t="shared" si="14"/>
        <v>0.66416666666666668</v>
      </c>
    </row>
    <row r="111" spans="1:25" x14ac:dyDescent="0.25">
      <c r="A111" s="29">
        <v>1695</v>
      </c>
      <c r="B111" s="618">
        <v>0.43</v>
      </c>
      <c r="C111" s="652">
        <v>200</v>
      </c>
      <c r="D111" s="747">
        <f t="shared" si="9"/>
        <v>3.2500000000000003E-3</v>
      </c>
      <c r="E111" s="618">
        <v>2.02</v>
      </c>
      <c r="F111" s="652">
        <v>47.5</v>
      </c>
      <c r="G111" s="748">
        <f t="shared" si="10"/>
        <v>5.7250000000000002E-2</v>
      </c>
      <c r="H111" s="618">
        <v>0.71</v>
      </c>
      <c r="I111" s="652">
        <v>4</v>
      </c>
      <c r="J111" s="216">
        <f t="shared" si="11"/>
        <v>0.59833333333333327</v>
      </c>
      <c r="P111" s="29">
        <v>3224</v>
      </c>
      <c r="Q111" s="653">
        <v>0.52</v>
      </c>
      <c r="R111" s="664">
        <v>225</v>
      </c>
      <c r="S111" s="749">
        <f t="shared" si="12"/>
        <v>3.65E-3</v>
      </c>
      <c r="T111" s="653">
        <v>0.36</v>
      </c>
      <c r="U111" s="664">
        <v>9.25</v>
      </c>
      <c r="V111" s="216">
        <f t="shared" si="13"/>
        <v>5.1428571428571428E-2</v>
      </c>
      <c r="W111" s="653">
        <v>0.61</v>
      </c>
      <c r="X111" s="664">
        <v>4.25</v>
      </c>
      <c r="Y111" s="216">
        <f t="shared" si="14"/>
        <v>0.56416666666666671</v>
      </c>
    </row>
    <row r="112" spans="1:25" x14ac:dyDescent="0.25">
      <c r="A112" s="29">
        <v>1696</v>
      </c>
      <c r="B112" s="618">
        <v>0.11</v>
      </c>
      <c r="C112" s="652">
        <v>125</v>
      </c>
      <c r="D112" s="747">
        <f t="shared" si="9"/>
        <v>1.65E-3</v>
      </c>
      <c r="E112" s="618">
        <v>0.08</v>
      </c>
      <c r="F112" s="652">
        <v>60</v>
      </c>
      <c r="G112" s="748">
        <f t="shared" si="10"/>
        <v>8.7500000000000008E-3</v>
      </c>
      <c r="H112" s="618">
        <v>-1.19</v>
      </c>
      <c r="I112" s="652">
        <v>7.5</v>
      </c>
      <c r="J112" s="216">
        <f t="shared" si="11"/>
        <v>0.43999999999999995</v>
      </c>
      <c r="P112" s="29">
        <v>3238</v>
      </c>
      <c r="Q112" s="653">
        <v>-0.21</v>
      </c>
      <c r="R112" s="664">
        <v>50</v>
      </c>
      <c r="S112" s="749">
        <f t="shared" si="12"/>
        <v>0</v>
      </c>
      <c r="T112" s="653">
        <v>0</v>
      </c>
      <c r="U112" s="664">
        <v>15</v>
      </c>
      <c r="V112" s="216">
        <f t="shared" si="13"/>
        <v>0</v>
      </c>
      <c r="W112" s="653">
        <v>6.16</v>
      </c>
      <c r="X112" s="664">
        <v>2</v>
      </c>
      <c r="Y112" s="216">
        <f t="shared" si="14"/>
        <v>1.0266666666666666</v>
      </c>
    </row>
    <row r="113" spans="1:25" x14ac:dyDescent="0.25">
      <c r="A113" s="29">
        <v>1697</v>
      </c>
      <c r="B113" s="618">
        <v>0.46</v>
      </c>
      <c r="C113" s="652">
        <v>206.25</v>
      </c>
      <c r="D113" s="747">
        <f t="shared" si="9"/>
        <v>3.4000000000000002E-3</v>
      </c>
      <c r="E113" s="618">
        <v>0.68</v>
      </c>
      <c r="F113" s="652">
        <v>50</v>
      </c>
      <c r="G113" s="748">
        <f t="shared" si="10"/>
        <v>2.375E-2</v>
      </c>
      <c r="H113" s="618">
        <v>0.71</v>
      </c>
      <c r="I113" s="652">
        <v>4</v>
      </c>
      <c r="J113" s="216">
        <f t="shared" si="11"/>
        <v>0.59833333333333327</v>
      </c>
      <c r="P113" s="29">
        <v>3245</v>
      </c>
      <c r="Q113" s="653">
        <v>0.62</v>
      </c>
      <c r="R113" s="664">
        <v>250</v>
      </c>
      <c r="S113" s="749">
        <f t="shared" ref="S113:S144" si="15">(Q113-Lowest_bill_CAM_protecting_wildlife)/(Highest_servicelevel_CAM_protecting_wildlife-Lowest_servicelevel_CAM_protecting_wildlife)</f>
        <v>4.15E-3</v>
      </c>
      <c r="T113" s="653">
        <v>1.67</v>
      </c>
      <c r="U113" s="664">
        <v>9</v>
      </c>
      <c r="V113" s="216">
        <f t="shared" ref="V113:V144" si="16">(T113-Lowest_bill_CAM_leakage)/(Highest_servicelevel_CAM_leakage-Lowest_servicelevel_CAM_leakage)</f>
        <v>0.23857142857142857</v>
      </c>
      <c r="W113" s="653">
        <v>2.37</v>
      </c>
      <c r="X113" s="664">
        <v>4.25</v>
      </c>
      <c r="Y113" s="216">
        <f t="shared" ref="Y113:Y144" si="17">(W113-Lowest_bill_CAM_interruptions)/(Highest_servicelevel_CAM_interruptions-Lowest_servicelevel_CAM_interruptions)</f>
        <v>0.71083333333333343</v>
      </c>
    </row>
    <row r="114" spans="1:25" x14ac:dyDescent="0.25">
      <c r="A114" s="29">
        <v>1705</v>
      </c>
      <c r="B114" s="618">
        <v>0.43</v>
      </c>
      <c r="C114" s="652">
        <v>200</v>
      </c>
      <c r="D114" s="747">
        <f t="shared" si="9"/>
        <v>3.2500000000000003E-3</v>
      </c>
      <c r="E114" s="618">
        <v>0.68</v>
      </c>
      <c r="F114" s="652">
        <v>50</v>
      </c>
      <c r="G114" s="748">
        <f t="shared" si="10"/>
        <v>2.375E-2</v>
      </c>
      <c r="H114" s="618">
        <v>0.71</v>
      </c>
      <c r="I114" s="652">
        <v>4</v>
      </c>
      <c r="J114" s="216">
        <f t="shared" si="11"/>
        <v>0.59833333333333327</v>
      </c>
      <c r="P114" s="29">
        <v>3324</v>
      </c>
      <c r="Q114" s="653">
        <v>0.41</v>
      </c>
      <c r="R114" s="664">
        <v>200</v>
      </c>
      <c r="S114" s="749">
        <f t="shared" si="15"/>
        <v>3.0999999999999999E-3</v>
      </c>
      <c r="T114" s="653">
        <v>0.16</v>
      </c>
      <c r="U114" s="664">
        <v>10.25</v>
      </c>
      <c r="V114" s="216">
        <f t="shared" si="16"/>
        <v>2.2857142857142857E-2</v>
      </c>
      <c r="W114" s="653">
        <v>0.38</v>
      </c>
      <c r="X114" s="664">
        <v>5.25</v>
      </c>
      <c r="Y114" s="216">
        <f t="shared" si="17"/>
        <v>0.54500000000000004</v>
      </c>
    </row>
    <row r="115" spans="1:25" x14ac:dyDescent="0.25">
      <c r="A115" s="29">
        <v>1713</v>
      </c>
      <c r="B115" s="618">
        <v>0.33</v>
      </c>
      <c r="C115" s="652">
        <v>175</v>
      </c>
      <c r="D115" s="747">
        <f t="shared" si="9"/>
        <v>2.7500000000000003E-3</v>
      </c>
      <c r="E115" s="618">
        <v>0.39</v>
      </c>
      <c r="F115" s="652">
        <v>55</v>
      </c>
      <c r="G115" s="748">
        <f t="shared" si="10"/>
        <v>1.6500000000000001E-2</v>
      </c>
      <c r="H115" s="618">
        <v>0.64</v>
      </c>
      <c r="I115" s="652">
        <v>4.25</v>
      </c>
      <c r="J115" s="216">
        <f t="shared" si="11"/>
        <v>0.59249999999999992</v>
      </c>
      <c r="P115" s="29">
        <v>3439</v>
      </c>
      <c r="Q115" s="653">
        <v>0</v>
      </c>
      <c r="R115" s="664">
        <v>100</v>
      </c>
      <c r="S115" s="749">
        <f t="shared" si="15"/>
        <v>1.0499999999999999E-3</v>
      </c>
      <c r="T115" s="653">
        <v>0.41</v>
      </c>
      <c r="U115" s="664">
        <v>9</v>
      </c>
      <c r="V115" s="216">
        <f t="shared" si="16"/>
        <v>5.8571428571428566E-2</v>
      </c>
      <c r="W115" s="653">
        <v>0.68</v>
      </c>
      <c r="X115" s="664">
        <v>4.25</v>
      </c>
      <c r="Y115" s="216">
        <f t="shared" si="17"/>
        <v>0.56999999999999995</v>
      </c>
    </row>
    <row r="116" spans="1:25" x14ac:dyDescent="0.25">
      <c r="A116" s="29">
        <v>1719</v>
      </c>
      <c r="B116" s="618">
        <v>-0.22</v>
      </c>
      <c r="C116" s="652">
        <v>50</v>
      </c>
      <c r="D116" s="747">
        <f t="shared" si="9"/>
        <v>0</v>
      </c>
      <c r="E116" s="618">
        <v>4.38</v>
      </c>
      <c r="F116" s="652">
        <v>40</v>
      </c>
      <c r="G116" s="748">
        <f t="shared" si="10"/>
        <v>0.11625000000000001</v>
      </c>
      <c r="H116" s="618">
        <v>6.47</v>
      </c>
      <c r="I116" s="652">
        <v>2</v>
      </c>
      <c r="J116" s="216">
        <f t="shared" si="11"/>
        <v>1.0783333333333334</v>
      </c>
      <c r="P116" s="29">
        <v>3440</v>
      </c>
      <c r="Q116" s="653">
        <v>0.41</v>
      </c>
      <c r="R116" s="664">
        <v>200</v>
      </c>
      <c r="S116" s="749">
        <f t="shared" si="15"/>
        <v>3.0999999999999999E-3</v>
      </c>
      <c r="T116" s="653">
        <v>0.28000000000000003</v>
      </c>
      <c r="U116" s="664">
        <v>9.75</v>
      </c>
      <c r="V116" s="216">
        <f t="shared" si="16"/>
        <v>0.04</v>
      </c>
      <c r="W116" s="653">
        <v>0.68</v>
      </c>
      <c r="X116" s="664">
        <v>4.25</v>
      </c>
      <c r="Y116" s="216">
        <f t="shared" si="17"/>
        <v>0.56999999999999995</v>
      </c>
    </row>
    <row r="117" spans="1:25" x14ac:dyDescent="0.25">
      <c r="A117" s="29">
        <v>1727</v>
      </c>
      <c r="B117" s="618">
        <v>0.25</v>
      </c>
      <c r="C117" s="652">
        <v>156.25</v>
      </c>
      <c r="D117" s="747">
        <f t="shared" si="9"/>
        <v>2.3499999999999997E-3</v>
      </c>
      <c r="E117" s="618">
        <v>0.56000000000000005</v>
      </c>
      <c r="F117" s="652">
        <v>52.5</v>
      </c>
      <c r="G117" s="748">
        <f t="shared" si="10"/>
        <v>2.0750000000000001E-2</v>
      </c>
      <c r="H117" s="618">
        <v>0.71</v>
      </c>
      <c r="I117" s="652">
        <v>4</v>
      </c>
      <c r="J117" s="216">
        <f t="shared" si="11"/>
        <v>0.59833333333333327</v>
      </c>
      <c r="P117" s="29">
        <v>3452</v>
      </c>
      <c r="Q117" s="653">
        <v>0.5</v>
      </c>
      <c r="R117" s="664">
        <v>218.75</v>
      </c>
      <c r="S117" s="749">
        <f t="shared" si="15"/>
        <v>3.5499999999999998E-3</v>
      </c>
      <c r="T117" s="653">
        <v>0.1</v>
      </c>
      <c r="U117" s="664">
        <v>10.75</v>
      </c>
      <c r="V117" s="216">
        <f t="shared" si="16"/>
        <v>1.4285714285714287E-2</v>
      </c>
      <c r="W117" s="653">
        <v>7.0000000000000007E-2</v>
      </c>
      <c r="X117" s="664">
        <v>6</v>
      </c>
      <c r="Y117" s="216">
        <f t="shared" si="17"/>
        <v>0.51916666666666667</v>
      </c>
    </row>
    <row r="118" spans="1:25" x14ac:dyDescent="0.25">
      <c r="A118" s="29">
        <v>1728</v>
      </c>
      <c r="B118" s="618">
        <v>0.65</v>
      </c>
      <c r="C118" s="652">
        <v>250</v>
      </c>
      <c r="D118" s="747">
        <f t="shared" si="9"/>
        <v>4.3499999999999997E-3</v>
      </c>
      <c r="E118" s="618">
        <v>4.38</v>
      </c>
      <c r="F118" s="652">
        <v>40</v>
      </c>
      <c r="G118" s="748">
        <f t="shared" si="10"/>
        <v>0.11625000000000001</v>
      </c>
      <c r="H118" s="618">
        <v>0.71</v>
      </c>
      <c r="I118" s="652">
        <v>4</v>
      </c>
      <c r="J118" s="216">
        <f t="shared" si="11"/>
        <v>0.59833333333333327</v>
      </c>
      <c r="P118" s="29">
        <v>3475</v>
      </c>
      <c r="Q118" s="653">
        <v>0.41</v>
      </c>
      <c r="R118" s="664">
        <v>200</v>
      </c>
      <c r="S118" s="749">
        <f t="shared" si="15"/>
        <v>3.0999999999999999E-3</v>
      </c>
      <c r="T118" s="653">
        <v>1.24</v>
      </c>
      <c r="U118" s="664">
        <v>9</v>
      </c>
      <c r="V118" s="216">
        <f t="shared" si="16"/>
        <v>0.17714285714285713</v>
      </c>
      <c r="W118" s="653">
        <v>2.8</v>
      </c>
      <c r="X118" s="664">
        <v>3.25</v>
      </c>
      <c r="Y118" s="216">
        <f t="shared" si="17"/>
        <v>0.7466666666666667</v>
      </c>
    </row>
    <row r="119" spans="1:25" x14ac:dyDescent="0.25">
      <c r="A119" s="29">
        <v>1729</v>
      </c>
      <c r="B119" s="618">
        <v>0.5</v>
      </c>
      <c r="C119" s="652">
        <v>212.5</v>
      </c>
      <c r="D119" s="747">
        <f t="shared" si="9"/>
        <v>3.5999999999999999E-3</v>
      </c>
      <c r="E119" s="618">
        <v>1.54</v>
      </c>
      <c r="F119" s="652">
        <v>48.75</v>
      </c>
      <c r="G119" s="748">
        <f t="shared" si="10"/>
        <v>4.5249999999999999E-2</v>
      </c>
      <c r="H119" s="618">
        <v>1.3</v>
      </c>
      <c r="I119" s="652">
        <v>4</v>
      </c>
      <c r="J119" s="216">
        <f t="shared" si="11"/>
        <v>0.64749999999999996</v>
      </c>
      <c r="P119" s="29">
        <v>3514</v>
      </c>
      <c r="Q119" s="653">
        <v>0.51</v>
      </c>
      <c r="R119" s="664">
        <v>218.75</v>
      </c>
      <c r="S119" s="749">
        <f t="shared" si="15"/>
        <v>3.5999999999999999E-3</v>
      </c>
      <c r="T119" s="653">
        <v>0.28000000000000003</v>
      </c>
      <c r="U119" s="664">
        <v>9.75</v>
      </c>
      <c r="V119" s="216">
        <f t="shared" si="16"/>
        <v>0.04</v>
      </c>
      <c r="W119" s="653">
        <v>-0.72</v>
      </c>
      <c r="X119" s="664">
        <v>7</v>
      </c>
      <c r="Y119" s="216">
        <f t="shared" si="17"/>
        <v>0.45333333333333337</v>
      </c>
    </row>
    <row r="120" spans="1:25" x14ac:dyDescent="0.25">
      <c r="A120" s="29">
        <v>1738</v>
      </c>
      <c r="B120" s="618">
        <v>0.47</v>
      </c>
      <c r="C120" s="652">
        <v>206.25</v>
      </c>
      <c r="D120" s="747">
        <f t="shared" si="9"/>
        <v>3.4499999999999999E-3</v>
      </c>
      <c r="E120" s="618">
        <v>0.68</v>
      </c>
      <c r="F120" s="652">
        <v>50</v>
      </c>
      <c r="G120" s="748">
        <f t="shared" si="10"/>
        <v>2.375E-2</v>
      </c>
      <c r="H120" s="618">
        <v>0.71</v>
      </c>
      <c r="I120" s="652">
        <v>4</v>
      </c>
      <c r="J120" s="216">
        <f t="shared" si="11"/>
        <v>0.59833333333333327</v>
      </c>
      <c r="P120" s="29">
        <v>3522</v>
      </c>
      <c r="Q120" s="653">
        <v>0.41</v>
      </c>
      <c r="R120" s="664">
        <v>200</v>
      </c>
      <c r="S120" s="749">
        <f t="shared" si="15"/>
        <v>3.0999999999999999E-3</v>
      </c>
      <c r="T120" s="653">
        <v>0.41</v>
      </c>
      <c r="U120" s="664">
        <v>9</v>
      </c>
      <c r="V120" s="216">
        <f t="shared" si="16"/>
        <v>5.8571428571428566E-2</v>
      </c>
      <c r="W120" s="653">
        <v>0.68</v>
      </c>
      <c r="X120" s="664">
        <v>4.25</v>
      </c>
      <c r="Y120" s="216">
        <f t="shared" si="17"/>
        <v>0.56999999999999995</v>
      </c>
    </row>
    <row r="121" spans="1:25" x14ac:dyDescent="0.25">
      <c r="A121" s="29">
        <v>1740</v>
      </c>
      <c r="B121" s="618">
        <v>0.43</v>
      </c>
      <c r="C121" s="652">
        <v>200</v>
      </c>
      <c r="D121" s="747">
        <f t="shared" si="9"/>
        <v>3.2500000000000003E-3</v>
      </c>
      <c r="E121" s="618">
        <v>0.68</v>
      </c>
      <c r="F121" s="652">
        <v>50</v>
      </c>
      <c r="G121" s="748">
        <f t="shared" si="10"/>
        <v>2.375E-2</v>
      </c>
      <c r="H121" s="618">
        <v>0.71</v>
      </c>
      <c r="I121" s="652">
        <v>4</v>
      </c>
      <c r="J121" s="216">
        <f t="shared" si="11"/>
        <v>0.59833333333333327</v>
      </c>
      <c r="P121" s="29">
        <v>3539</v>
      </c>
      <c r="Q121" s="653">
        <v>0.41</v>
      </c>
      <c r="R121" s="664">
        <v>200</v>
      </c>
      <c r="S121" s="749">
        <f t="shared" si="15"/>
        <v>3.0999999999999999E-3</v>
      </c>
      <c r="T121" s="653">
        <v>0.41</v>
      </c>
      <c r="U121" s="664">
        <v>9</v>
      </c>
      <c r="V121" s="216">
        <f t="shared" si="16"/>
        <v>5.8571428571428566E-2</v>
      </c>
      <c r="W121" s="653">
        <v>0.68</v>
      </c>
      <c r="X121" s="664">
        <v>4.25</v>
      </c>
      <c r="Y121" s="216">
        <f t="shared" si="17"/>
        <v>0.56999999999999995</v>
      </c>
    </row>
    <row r="122" spans="1:25" x14ac:dyDescent="0.25">
      <c r="A122" s="29">
        <v>1744</v>
      </c>
      <c r="B122" s="618">
        <v>0.43</v>
      </c>
      <c r="C122" s="652">
        <v>200</v>
      </c>
      <c r="D122" s="747">
        <f t="shared" si="9"/>
        <v>3.2500000000000003E-3</v>
      </c>
      <c r="E122" s="618">
        <v>2.2999999999999998</v>
      </c>
      <c r="F122" s="652">
        <v>46.25</v>
      </c>
      <c r="G122" s="748">
        <f t="shared" si="10"/>
        <v>6.4250000000000002E-2</v>
      </c>
      <c r="H122" s="618">
        <v>0.71</v>
      </c>
      <c r="I122" s="652">
        <v>4</v>
      </c>
      <c r="J122" s="216">
        <f t="shared" si="11"/>
        <v>0.59833333333333327</v>
      </c>
      <c r="P122" s="29">
        <v>3546</v>
      </c>
      <c r="Q122" s="653">
        <v>0.41</v>
      </c>
      <c r="R122" s="664">
        <v>200</v>
      </c>
      <c r="S122" s="749">
        <f t="shared" si="15"/>
        <v>3.0999999999999999E-3</v>
      </c>
      <c r="T122" s="653">
        <v>0.41</v>
      </c>
      <c r="U122" s="664">
        <v>9</v>
      </c>
      <c r="V122" s="216">
        <f t="shared" si="16"/>
        <v>5.8571428571428566E-2</v>
      </c>
      <c r="W122" s="653">
        <v>0.68</v>
      </c>
      <c r="X122" s="664">
        <v>4.25</v>
      </c>
      <c r="Y122" s="216">
        <f t="shared" si="17"/>
        <v>0.56999999999999995</v>
      </c>
    </row>
    <row r="123" spans="1:25" x14ac:dyDescent="0.25">
      <c r="A123" s="29">
        <v>1749</v>
      </c>
      <c r="B123" s="618">
        <v>0.43</v>
      </c>
      <c r="C123" s="652">
        <v>200</v>
      </c>
      <c r="D123" s="747">
        <f t="shared" si="9"/>
        <v>3.2500000000000003E-3</v>
      </c>
      <c r="E123" s="618">
        <v>0.68</v>
      </c>
      <c r="F123" s="652">
        <v>50</v>
      </c>
      <c r="G123" s="748">
        <f t="shared" si="10"/>
        <v>2.375E-2</v>
      </c>
      <c r="H123" s="618">
        <v>0.46</v>
      </c>
      <c r="I123" s="652">
        <v>4.75</v>
      </c>
      <c r="J123" s="216">
        <f t="shared" si="11"/>
        <v>0.57750000000000001</v>
      </c>
      <c r="P123" s="29">
        <v>3559</v>
      </c>
      <c r="Q123" s="653">
        <v>0.41</v>
      </c>
      <c r="R123" s="664">
        <v>200</v>
      </c>
      <c r="S123" s="749">
        <f t="shared" si="15"/>
        <v>3.0999999999999999E-3</v>
      </c>
      <c r="T123" s="653">
        <v>1.55</v>
      </c>
      <c r="U123" s="664">
        <v>9</v>
      </c>
      <c r="V123" s="216">
        <f t="shared" si="16"/>
        <v>0.22142857142857145</v>
      </c>
      <c r="W123" s="653">
        <v>0.68</v>
      </c>
      <c r="X123" s="664">
        <v>4.25</v>
      </c>
      <c r="Y123" s="216">
        <f t="shared" si="17"/>
        <v>0.56999999999999995</v>
      </c>
    </row>
    <row r="124" spans="1:25" x14ac:dyDescent="0.25">
      <c r="A124" s="29">
        <v>1762</v>
      </c>
      <c r="B124" s="618">
        <v>0.55000000000000004</v>
      </c>
      <c r="C124" s="652">
        <v>225</v>
      </c>
      <c r="D124" s="747">
        <f t="shared" si="9"/>
        <v>3.8500000000000001E-3</v>
      </c>
      <c r="E124" s="618">
        <v>3.82</v>
      </c>
      <c r="F124" s="652">
        <v>42.5</v>
      </c>
      <c r="G124" s="748">
        <f t="shared" si="10"/>
        <v>0.10224999999999999</v>
      </c>
      <c r="H124" s="618">
        <v>1.6</v>
      </c>
      <c r="I124" s="652">
        <v>3.75</v>
      </c>
      <c r="J124" s="216">
        <f t="shared" si="11"/>
        <v>0.67249999999999999</v>
      </c>
      <c r="P124" s="29">
        <v>3564</v>
      </c>
      <c r="Q124" s="653">
        <v>0.5</v>
      </c>
      <c r="R124" s="664">
        <v>218.75</v>
      </c>
      <c r="S124" s="749">
        <f t="shared" si="15"/>
        <v>3.5499999999999998E-3</v>
      </c>
      <c r="T124" s="653">
        <v>1.1299999999999999</v>
      </c>
      <c r="U124" s="664">
        <v>9</v>
      </c>
      <c r="V124" s="216">
        <f t="shared" si="16"/>
        <v>0.16142857142857142</v>
      </c>
      <c r="W124" s="653">
        <v>0.68</v>
      </c>
      <c r="X124" s="664">
        <v>4.25</v>
      </c>
      <c r="Y124" s="216">
        <f t="shared" si="17"/>
        <v>0.56999999999999995</v>
      </c>
    </row>
    <row r="125" spans="1:25" x14ac:dyDescent="0.25">
      <c r="A125" s="29">
        <v>1770</v>
      </c>
      <c r="B125" s="618">
        <v>-0.22</v>
      </c>
      <c r="C125" s="652">
        <v>50</v>
      </c>
      <c r="D125" s="747">
        <f t="shared" si="9"/>
        <v>0</v>
      </c>
      <c r="E125" s="618">
        <v>7.0000000000000007E-2</v>
      </c>
      <c r="F125" s="652">
        <v>60</v>
      </c>
      <c r="G125" s="748">
        <f t="shared" si="10"/>
        <v>8.5000000000000006E-3</v>
      </c>
      <c r="H125" s="618">
        <v>-6.47</v>
      </c>
      <c r="I125" s="652">
        <v>14</v>
      </c>
      <c r="J125" s="216">
        <f t="shared" si="11"/>
        <v>0</v>
      </c>
      <c r="P125" s="29">
        <v>3576</v>
      </c>
      <c r="Q125" s="653">
        <v>0.41</v>
      </c>
      <c r="R125" s="664">
        <v>200</v>
      </c>
      <c r="S125" s="749">
        <f t="shared" si="15"/>
        <v>3.0999999999999999E-3</v>
      </c>
      <c r="T125" s="653">
        <v>0.41</v>
      </c>
      <c r="U125" s="664">
        <v>9</v>
      </c>
      <c r="V125" s="216">
        <f t="shared" si="16"/>
        <v>5.8571428571428566E-2</v>
      </c>
      <c r="W125" s="653">
        <v>0.68</v>
      </c>
      <c r="X125" s="664">
        <v>4.25</v>
      </c>
      <c r="Y125" s="216">
        <f t="shared" si="17"/>
        <v>0.56999999999999995</v>
      </c>
    </row>
    <row r="126" spans="1:25" x14ac:dyDescent="0.25">
      <c r="A126" s="29">
        <v>1772</v>
      </c>
      <c r="B126" s="618">
        <v>0.45</v>
      </c>
      <c r="C126" s="652">
        <v>200</v>
      </c>
      <c r="D126" s="747">
        <f t="shared" si="9"/>
        <v>3.3500000000000001E-3</v>
      </c>
      <c r="E126" s="618">
        <v>1.1499999999999999</v>
      </c>
      <c r="F126" s="652">
        <v>48.75</v>
      </c>
      <c r="G126" s="748">
        <f t="shared" si="10"/>
        <v>3.5499999999999997E-2</v>
      </c>
      <c r="H126" s="618">
        <v>0.71</v>
      </c>
      <c r="I126" s="652">
        <v>4</v>
      </c>
      <c r="J126" s="216">
        <f t="shared" si="11"/>
        <v>0.59833333333333327</v>
      </c>
      <c r="P126" s="29">
        <v>3582</v>
      </c>
      <c r="Q126" s="653">
        <v>0.4</v>
      </c>
      <c r="R126" s="664">
        <v>193.75</v>
      </c>
      <c r="S126" s="749">
        <f t="shared" si="15"/>
        <v>3.0499999999999998E-3</v>
      </c>
      <c r="T126" s="653">
        <v>0.17</v>
      </c>
      <c r="U126" s="664">
        <v>10.25</v>
      </c>
      <c r="V126" s="216">
        <f t="shared" si="16"/>
        <v>2.4285714285714289E-2</v>
      </c>
      <c r="W126" s="653">
        <v>0.17</v>
      </c>
      <c r="X126" s="664">
        <v>6</v>
      </c>
      <c r="Y126" s="216">
        <f t="shared" si="17"/>
        <v>0.52749999999999997</v>
      </c>
    </row>
    <row r="127" spans="1:25" x14ac:dyDescent="0.25">
      <c r="A127" s="29">
        <v>1774</v>
      </c>
      <c r="B127" s="618">
        <v>0.43</v>
      </c>
      <c r="C127" s="652">
        <v>200</v>
      </c>
      <c r="D127" s="747">
        <f t="shared" si="9"/>
        <v>3.2500000000000003E-3</v>
      </c>
      <c r="E127" s="618">
        <v>0.68</v>
      </c>
      <c r="F127" s="652">
        <v>50</v>
      </c>
      <c r="G127" s="748">
        <f t="shared" si="10"/>
        <v>2.375E-2</v>
      </c>
      <c r="H127" s="618">
        <v>0.71</v>
      </c>
      <c r="I127" s="652">
        <v>4</v>
      </c>
      <c r="J127" s="216">
        <f t="shared" si="11"/>
        <v>0.59833333333333327</v>
      </c>
      <c r="P127" s="29">
        <v>3587</v>
      </c>
      <c r="Q127" s="653">
        <v>0.45</v>
      </c>
      <c r="R127" s="664">
        <v>206.25</v>
      </c>
      <c r="S127" s="749">
        <f t="shared" si="15"/>
        <v>3.3E-3</v>
      </c>
      <c r="T127" s="653">
        <v>0.04</v>
      </c>
      <c r="U127" s="664">
        <v>11</v>
      </c>
      <c r="V127" s="216">
        <f t="shared" si="16"/>
        <v>5.7142857142857143E-3</v>
      </c>
      <c r="W127" s="653">
        <v>0.44</v>
      </c>
      <c r="X127" s="664">
        <v>5.25</v>
      </c>
      <c r="Y127" s="216">
        <f t="shared" si="17"/>
        <v>0.55000000000000004</v>
      </c>
    </row>
    <row r="128" spans="1:25" x14ac:dyDescent="0.25">
      <c r="A128" s="29">
        <v>1777</v>
      </c>
      <c r="B128" s="618">
        <v>0.34</v>
      </c>
      <c r="C128" s="652">
        <v>175</v>
      </c>
      <c r="D128" s="747">
        <f t="shared" si="9"/>
        <v>2.8000000000000004E-3</v>
      </c>
      <c r="E128" s="618">
        <v>0.08</v>
      </c>
      <c r="F128" s="652">
        <v>60</v>
      </c>
      <c r="G128" s="748">
        <f t="shared" si="10"/>
        <v>8.7500000000000008E-3</v>
      </c>
      <c r="H128" s="618">
        <v>0.11</v>
      </c>
      <c r="I128" s="652">
        <v>5.75</v>
      </c>
      <c r="J128" s="216">
        <f t="shared" si="11"/>
        <v>0.54833333333333334</v>
      </c>
      <c r="P128" s="29">
        <v>3713</v>
      </c>
      <c r="Q128" s="653">
        <v>0.03</v>
      </c>
      <c r="R128" s="664">
        <v>106.25</v>
      </c>
      <c r="S128" s="749">
        <f t="shared" si="15"/>
        <v>1.1999999999999999E-3</v>
      </c>
      <c r="T128" s="653">
        <v>2.08</v>
      </c>
      <c r="U128" s="664">
        <v>8.375</v>
      </c>
      <c r="V128" s="216">
        <f t="shared" si="16"/>
        <v>0.29714285714285715</v>
      </c>
      <c r="W128" s="653">
        <v>0.42</v>
      </c>
      <c r="X128" s="664">
        <v>5.25</v>
      </c>
      <c r="Y128" s="216">
        <f t="shared" si="17"/>
        <v>0.54833333333333334</v>
      </c>
    </row>
    <row r="129" spans="1:25" x14ac:dyDescent="0.25">
      <c r="A129" s="29">
        <v>1779</v>
      </c>
      <c r="B129" s="618">
        <v>0.31</v>
      </c>
      <c r="C129" s="652">
        <v>168.75</v>
      </c>
      <c r="D129" s="747">
        <f t="shared" si="9"/>
        <v>2.65E-3</v>
      </c>
      <c r="E129" s="618">
        <v>0.68</v>
      </c>
      <c r="F129" s="652">
        <v>50</v>
      </c>
      <c r="G129" s="748">
        <f t="shared" si="10"/>
        <v>2.375E-2</v>
      </c>
      <c r="H129" s="618">
        <v>0.62</v>
      </c>
      <c r="I129" s="652">
        <v>4.25</v>
      </c>
      <c r="J129" s="216">
        <f t="shared" si="11"/>
        <v>0.59083333333333332</v>
      </c>
      <c r="P129" s="29">
        <v>3739</v>
      </c>
      <c r="Q129" s="653">
        <v>0.35</v>
      </c>
      <c r="R129" s="664">
        <v>181.25</v>
      </c>
      <c r="S129" s="749">
        <f t="shared" si="15"/>
        <v>2.7999999999999995E-3</v>
      </c>
      <c r="T129" s="653">
        <v>0.08</v>
      </c>
      <c r="U129" s="664">
        <v>10.75</v>
      </c>
      <c r="V129" s="216">
        <f t="shared" si="16"/>
        <v>1.1428571428571429E-2</v>
      </c>
      <c r="W129" s="653">
        <v>-5.48</v>
      </c>
      <c r="X129" s="664">
        <v>13.5</v>
      </c>
      <c r="Y129" s="216">
        <f t="shared" si="17"/>
        <v>5.6666666666666643E-2</v>
      </c>
    </row>
    <row r="130" spans="1:25" x14ac:dyDescent="0.25">
      <c r="A130" s="29">
        <v>1782</v>
      </c>
      <c r="B130" s="618">
        <v>0.43</v>
      </c>
      <c r="C130" s="652">
        <v>200</v>
      </c>
      <c r="D130" s="747">
        <f t="shared" si="9"/>
        <v>3.2500000000000003E-3</v>
      </c>
      <c r="E130" s="618">
        <v>0.36</v>
      </c>
      <c r="F130" s="652">
        <v>55</v>
      </c>
      <c r="G130" s="748">
        <f t="shared" si="10"/>
        <v>1.575E-2</v>
      </c>
      <c r="H130" s="618">
        <v>0.2</v>
      </c>
      <c r="I130" s="652">
        <v>5.25</v>
      </c>
      <c r="J130" s="216">
        <f t="shared" si="11"/>
        <v>0.55583333333333329</v>
      </c>
      <c r="P130" s="29">
        <v>3757</v>
      </c>
      <c r="Q130" s="653">
        <v>0.62</v>
      </c>
      <c r="R130" s="664">
        <v>250</v>
      </c>
      <c r="S130" s="749">
        <f t="shared" si="15"/>
        <v>4.15E-3</v>
      </c>
      <c r="T130" s="653">
        <v>0.41</v>
      </c>
      <c r="U130" s="664">
        <v>9</v>
      </c>
      <c r="V130" s="216">
        <f t="shared" si="16"/>
        <v>5.8571428571428566E-2</v>
      </c>
      <c r="W130" s="653">
        <v>0.68</v>
      </c>
      <c r="X130" s="664">
        <v>4.25</v>
      </c>
      <c r="Y130" s="216">
        <f t="shared" si="17"/>
        <v>0.56999999999999995</v>
      </c>
    </row>
    <row r="131" spans="1:25" x14ac:dyDescent="0.25">
      <c r="A131" s="29">
        <v>1783</v>
      </c>
      <c r="B131" s="618">
        <v>0.38</v>
      </c>
      <c r="C131" s="652">
        <v>187.5</v>
      </c>
      <c r="D131" s="747">
        <f t="shared" si="9"/>
        <v>3.0000000000000001E-3</v>
      </c>
      <c r="E131" s="618">
        <v>0.56999999999999995</v>
      </c>
      <c r="F131" s="652">
        <v>52.5</v>
      </c>
      <c r="G131" s="748">
        <f t="shared" si="10"/>
        <v>2.0999999999999998E-2</v>
      </c>
      <c r="H131" s="618">
        <v>0.71</v>
      </c>
      <c r="I131" s="652">
        <v>4</v>
      </c>
      <c r="J131" s="216">
        <f t="shared" si="11"/>
        <v>0.59833333333333327</v>
      </c>
      <c r="P131" s="29">
        <v>3766</v>
      </c>
      <c r="Q131" s="653">
        <v>0.41</v>
      </c>
      <c r="R131" s="664">
        <v>200</v>
      </c>
      <c r="S131" s="749">
        <f t="shared" si="15"/>
        <v>3.0999999999999999E-3</v>
      </c>
      <c r="T131" s="653">
        <v>1.17</v>
      </c>
      <c r="U131" s="664">
        <v>9</v>
      </c>
      <c r="V131" s="216">
        <f t="shared" si="16"/>
        <v>0.16714285714285712</v>
      </c>
      <c r="W131" s="653">
        <v>2.33</v>
      </c>
      <c r="X131" s="664">
        <v>4.25</v>
      </c>
      <c r="Y131" s="216">
        <f t="shared" si="17"/>
        <v>0.70750000000000002</v>
      </c>
    </row>
    <row r="132" spans="1:25" x14ac:dyDescent="0.25">
      <c r="A132" s="29">
        <v>1784</v>
      </c>
      <c r="B132" s="618">
        <v>0.6</v>
      </c>
      <c r="C132" s="652">
        <v>237.5</v>
      </c>
      <c r="D132" s="747">
        <f t="shared" si="9"/>
        <v>4.0999999999999995E-3</v>
      </c>
      <c r="E132" s="618">
        <v>0.68</v>
      </c>
      <c r="F132" s="652">
        <v>50</v>
      </c>
      <c r="G132" s="748">
        <f t="shared" si="10"/>
        <v>2.375E-2</v>
      </c>
      <c r="H132" s="618">
        <v>0.71</v>
      </c>
      <c r="I132" s="652">
        <v>4</v>
      </c>
      <c r="J132" s="216">
        <f t="shared" si="11"/>
        <v>0.59833333333333327</v>
      </c>
      <c r="P132" s="29">
        <v>3770</v>
      </c>
      <c r="Q132" s="653">
        <v>0.42</v>
      </c>
      <c r="R132" s="664">
        <v>200</v>
      </c>
      <c r="S132" s="749">
        <f t="shared" si="15"/>
        <v>3.15E-3</v>
      </c>
      <c r="T132" s="653">
        <v>0.41</v>
      </c>
      <c r="U132" s="664">
        <v>9</v>
      </c>
      <c r="V132" s="216">
        <f t="shared" si="16"/>
        <v>5.8571428571428566E-2</v>
      </c>
      <c r="W132" s="653">
        <v>0.57999999999999996</v>
      </c>
      <c r="X132" s="664">
        <v>5.25</v>
      </c>
      <c r="Y132" s="216">
        <f t="shared" si="17"/>
        <v>0.56166666666666665</v>
      </c>
    </row>
    <row r="133" spans="1:25" x14ac:dyDescent="0.25">
      <c r="A133" s="29">
        <v>1795</v>
      </c>
      <c r="B133" s="618">
        <v>0.38</v>
      </c>
      <c r="C133" s="652">
        <v>187.5</v>
      </c>
      <c r="D133" s="747">
        <f t="shared" si="9"/>
        <v>3.0000000000000001E-3</v>
      </c>
      <c r="E133" s="618">
        <v>0.68</v>
      </c>
      <c r="F133" s="652">
        <v>50</v>
      </c>
      <c r="G133" s="748">
        <f t="shared" si="10"/>
        <v>2.375E-2</v>
      </c>
      <c r="H133" s="618">
        <v>0.69</v>
      </c>
      <c r="I133" s="652">
        <v>4.25</v>
      </c>
      <c r="J133" s="216">
        <f t="shared" si="11"/>
        <v>0.59666666666666668</v>
      </c>
      <c r="P133" s="29">
        <v>3828</v>
      </c>
      <c r="Q133" s="653">
        <v>0</v>
      </c>
      <c r="R133" s="664">
        <v>100</v>
      </c>
      <c r="S133" s="749">
        <f t="shared" si="15"/>
        <v>1.0499999999999999E-3</v>
      </c>
      <c r="T133" s="653">
        <v>0</v>
      </c>
      <c r="U133" s="664">
        <v>15</v>
      </c>
      <c r="V133" s="216">
        <f t="shared" si="16"/>
        <v>0</v>
      </c>
      <c r="W133" s="653">
        <v>0</v>
      </c>
      <c r="X133" s="664">
        <v>6</v>
      </c>
      <c r="Y133" s="216">
        <f t="shared" si="17"/>
        <v>0.51333333333333331</v>
      </c>
    </row>
    <row r="134" spans="1:25" x14ac:dyDescent="0.25">
      <c r="A134" s="29">
        <v>1808</v>
      </c>
      <c r="B134" s="618">
        <v>0.43</v>
      </c>
      <c r="C134" s="652">
        <v>200</v>
      </c>
      <c r="D134" s="747">
        <f t="shared" si="9"/>
        <v>3.2500000000000003E-3</v>
      </c>
      <c r="E134" s="618">
        <v>2.4900000000000002</v>
      </c>
      <c r="F134" s="652">
        <v>46.25</v>
      </c>
      <c r="G134" s="748">
        <f t="shared" si="10"/>
        <v>6.9000000000000006E-2</v>
      </c>
      <c r="H134" s="618">
        <v>0.65</v>
      </c>
      <c r="I134" s="652">
        <v>4.25</v>
      </c>
      <c r="J134" s="216">
        <f t="shared" si="11"/>
        <v>0.59333333333333338</v>
      </c>
      <c r="P134" s="29">
        <v>3911</v>
      </c>
      <c r="Q134" s="653">
        <v>0</v>
      </c>
      <c r="R134" s="664">
        <v>100</v>
      </c>
      <c r="S134" s="749">
        <f t="shared" si="15"/>
        <v>1.0499999999999999E-3</v>
      </c>
      <c r="T134" s="653">
        <v>0</v>
      </c>
      <c r="U134" s="664">
        <v>15</v>
      </c>
      <c r="V134" s="216">
        <f t="shared" si="16"/>
        <v>0</v>
      </c>
      <c r="W134" s="653">
        <v>0</v>
      </c>
      <c r="X134" s="664">
        <v>6</v>
      </c>
      <c r="Y134" s="216">
        <f t="shared" si="17"/>
        <v>0.51333333333333331</v>
      </c>
    </row>
    <row r="135" spans="1:25" x14ac:dyDescent="0.25">
      <c r="A135" s="29">
        <v>1811</v>
      </c>
      <c r="B135" s="618">
        <v>0.48</v>
      </c>
      <c r="C135" s="652">
        <v>206.25</v>
      </c>
      <c r="D135" s="747">
        <f t="shared" si="9"/>
        <v>3.4999999999999996E-3</v>
      </c>
      <c r="E135" s="618">
        <v>0.68</v>
      </c>
      <c r="F135" s="652">
        <v>50</v>
      </c>
      <c r="G135" s="748">
        <f t="shared" si="10"/>
        <v>2.375E-2</v>
      </c>
      <c r="H135" s="618">
        <v>0.71</v>
      </c>
      <c r="I135" s="652">
        <v>4</v>
      </c>
      <c r="J135" s="216">
        <f t="shared" si="11"/>
        <v>0.59833333333333327</v>
      </c>
      <c r="P135" s="29">
        <v>3929</v>
      </c>
      <c r="Q135" s="653">
        <v>0.47</v>
      </c>
      <c r="R135" s="664">
        <v>212.5</v>
      </c>
      <c r="S135" s="749">
        <f t="shared" si="15"/>
        <v>3.3999999999999998E-3</v>
      </c>
      <c r="T135" s="653">
        <v>0.06</v>
      </c>
      <c r="U135" s="664">
        <v>10.75</v>
      </c>
      <c r="V135" s="216">
        <f t="shared" si="16"/>
        <v>8.5714285714285719E-3</v>
      </c>
      <c r="W135" s="653">
        <v>0.28000000000000003</v>
      </c>
      <c r="X135" s="664">
        <v>5.25</v>
      </c>
      <c r="Y135" s="216">
        <f t="shared" si="17"/>
        <v>0.53666666666666674</v>
      </c>
    </row>
    <row r="136" spans="1:25" x14ac:dyDescent="0.25">
      <c r="A136" s="29">
        <v>1832</v>
      </c>
      <c r="B136" s="618">
        <v>0.22</v>
      </c>
      <c r="C136" s="652">
        <v>150</v>
      </c>
      <c r="D136" s="747">
        <f t="shared" si="9"/>
        <v>2.2000000000000001E-3</v>
      </c>
      <c r="E136" s="618">
        <v>0.68</v>
      </c>
      <c r="F136" s="652">
        <v>50</v>
      </c>
      <c r="G136" s="748">
        <f t="shared" si="10"/>
        <v>2.375E-2</v>
      </c>
      <c r="H136" s="618">
        <v>0.71</v>
      </c>
      <c r="I136" s="652">
        <v>4</v>
      </c>
      <c r="J136" s="216">
        <f t="shared" si="11"/>
        <v>0.59833333333333327</v>
      </c>
      <c r="P136" s="29">
        <v>3933</v>
      </c>
      <c r="Q136" s="653">
        <v>0.41</v>
      </c>
      <c r="R136" s="664">
        <v>200</v>
      </c>
      <c r="S136" s="749">
        <f t="shared" si="15"/>
        <v>3.0999999999999999E-3</v>
      </c>
      <c r="T136" s="653">
        <v>0.41</v>
      </c>
      <c r="U136" s="664">
        <v>9</v>
      </c>
      <c r="V136" s="216">
        <f t="shared" si="16"/>
        <v>5.8571428571428566E-2</v>
      </c>
      <c r="W136" s="653">
        <v>0.68</v>
      </c>
      <c r="X136" s="664">
        <v>4.25</v>
      </c>
      <c r="Y136" s="216">
        <f t="shared" si="17"/>
        <v>0.56999999999999995</v>
      </c>
    </row>
    <row r="137" spans="1:25" x14ac:dyDescent="0.25">
      <c r="A137" s="29">
        <v>1846</v>
      </c>
      <c r="B137" s="618">
        <v>-0.03</v>
      </c>
      <c r="C137" s="652">
        <v>93.75</v>
      </c>
      <c r="D137" s="747">
        <f t="shared" si="9"/>
        <v>9.5E-4</v>
      </c>
      <c r="E137" s="618">
        <v>1.81</v>
      </c>
      <c r="F137" s="652">
        <v>47.5</v>
      </c>
      <c r="G137" s="748">
        <f t="shared" si="10"/>
        <v>5.2000000000000005E-2</v>
      </c>
      <c r="H137" s="618">
        <v>0.71</v>
      </c>
      <c r="I137" s="652">
        <v>4</v>
      </c>
      <c r="J137" s="216">
        <f t="shared" si="11"/>
        <v>0.59833333333333327</v>
      </c>
      <c r="P137" s="29">
        <v>4030</v>
      </c>
      <c r="Q137" s="653">
        <v>0.44</v>
      </c>
      <c r="R137" s="664">
        <v>206.25</v>
      </c>
      <c r="S137" s="749">
        <f t="shared" si="15"/>
        <v>3.2500000000000003E-3</v>
      </c>
      <c r="T137" s="653">
        <v>0.95</v>
      </c>
      <c r="U137" s="664">
        <v>9</v>
      </c>
      <c r="V137" s="216">
        <f t="shared" si="16"/>
        <v>0.1357142857142857</v>
      </c>
      <c r="W137" s="653">
        <v>2.23</v>
      </c>
      <c r="X137" s="664">
        <v>4.25</v>
      </c>
      <c r="Y137" s="216">
        <f t="shared" si="17"/>
        <v>0.69916666666666671</v>
      </c>
    </row>
    <row r="138" spans="1:25" x14ac:dyDescent="0.25">
      <c r="A138" s="29">
        <v>1852</v>
      </c>
      <c r="B138" s="618">
        <v>0.22</v>
      </c>
      <c r="C138" s="652">
        <v>150</v>
      </c>
      <c r="D138" s="747">
        <f t="shared" si="9"/>
        <v>2.2000000000000001E-3</v>
      </c>
      <c r="E138" s="618">
        <v>0.09</v>
      </c>
      <c r="F138" s="652">
        <v>58.75</v>
      </c>
      <c r="G138" s="748">
        <f t="shared" si="10"/>
        <v>8.9999999999999993E-3</v>
      </c>
      <c r="H138" s="618">
        <v>0</v>
      </c>
      <c r="I138" s="652">
        <v>6</v>
      </c>
      <c r="J138" s="216">
        <f t="shared" si="11"/>
        <v>0.53916666666666668</v>
      </c>
      <c r="P138" s="29">
        <v>4066</v>
      </c>
      <c r="Q138" s="653">
        <v>0.56000000000000005</v>
      </c>
      <c r="R138" s="664">
        <v>231.25</v>
      </c>
      <c r="S138" s="749">
        <f t="shared" si="15"/>
        <v>3.8500000000000001E-3</v>
      </c>
      <c r="T138" s="653">
        <v>0.41</v>
      </c>
      <c r="U138" s="664">
        <v>9</v>
      </c>
      <c r="V138" s="216">
        <f t="shared" si="16"/>
        <v>5.8571428571428566E-2</v>
      </c>
      <c r="W138" s="653">
        <v>0.68</v>
      </c>
      <c r="X138" s="664">
        <v>4.25</v>
      </c>
      <c r="Y138" s="216">
        <f t="shared" si="17"/>
        <v>0.56999999999999995</v>
      </c>
    </row>
    <row r="139" spans="1:25" x14ac:dyDescent="0.25">
      <c r="A139" s="29">
        <v>1855</v>
      </c>
      <c r="B139" s="618">
        <v>0.46</v>
      </c>
      <c r="C139" s="652">
        <v>206.25</v>
      </c>
      <c r="D139" s="747">
        <f t="shared" si="9"/>
        <v>3.4000000000000002E-3</v>
      </c>
      <c r="E139" s="618">
        <v>1.54</v>
      </c>
      <c r="F139" s="652">
        <v>48.75</v>
      </c>
      <c r="G139" s="748">
        <f t="shared" si="10"/>
        <v>4.5249999999999999E-2</v>
      </c>
      <c r="H139" s="618">
        <v>0.02</v>
      </c>
      <c r="I139" s="652">
        <v>6</v>
      </c>
      <c r="J139" s="216">
        <f t="shared" si="11"/>
        <v>0.54083333333333328</v>
      </c>
      <c r="P139" s="29">
        <v>4068</v>
      </c>
      <c r="Q139" s="653">
        <v>0.41</v>
      </c>
      <c r="R139" s="664">
        <v>200</v>
      </c>
      <c r="S139" s="749">
        <f t="shared" si="15"/>
        <v>3.0999999999999999E-3</v>
      </c>
      <c r="T139" s="653">
        <v>0.53</v>
      </c>
      <c r="U139" s="664">
        <v>9</v>
      </c>
      <c r="V139" s="216">
        <f t="shared" si="16"/>
        <v>7.571428571428572E-2</v>
      </c>
      <c r="W139" s="653">
        <v>-1.59</v>
      </c>
      <c r="X139" s="664">
        <v>8.5</v>
      </c>
      <c r="Y139" s="216">
        <f t="shared" si="17"/>
        <v>0.38083333333333336</v>
      </c>
    </row>
    <row r="140" spans="1:25" x14ac:dyDescent="0.25">
      <c r="A140" s="29">
        <v>1861</v>
      </c>
      <c r="B140" s="618">
        <v>0.43</v>
      </c>
      <c r="C140" s="652">
        <v>200</v>
      </c>
      <c r="D140" s="747">
        <f t="shared" si="9"/>
        <v>3.2500000000000003E-3</v>
      </c>
      <c r="E140" s="618">
        <v>0.68</v>
      </c>
      <c r="F140" s="652">
        <v>50</v>
      </c>
      <c r="G140" s="748">
        <f t="shared" si="10"/>
        <v>2.375E-2</v>
      </c>
      <c r="H140" s="618">
        <v>0.71</v>
      </c>
      <c r="I140" s="652">
        <v>4</v>
      </c>
      <c r="J140" s="216">
        <f t="shared" si="11"/>
        <v>0.59833333333333327</v>
      </c>
      <c r="P140" s="29">
        <v>4074</v>
      </c>
      <c r="Q140" s="653">
        <v>0.17</v>
      </c>
      <c r="R140" s="664">
        <v>137.5</v>
      </c>
      <c r="S140" s="749">
        <f t="shared" si="15"/>
        <v>1.9E-3</v>
      </c>
      <c r="T140" s="653">
        <v>0.06</v>
      </c>
      <c r="U140" s="664">
        <v>10.75</v>
      </c>
      <c r="V140" s="216">
        <f t="shared" si="16"/>
        <v>8.5714285714285719E-3</v>
      </c>
      <c r="W140" s="653">
        <v>0.12</v>
      </c>
      <c r="X140" s="664">
        <v>6</v>
      </c>
      <c r="Y140" s="216">
        <f t="shared" si="17"/>
        <v>0.52333333333333332</v>
      </c>
    </row>
    <row r="141" spans="1:25" x14ac:dyDescent="0.25">
      <c r="A141" s="29">
        <v>1878</v>
      </c>
      <c r="B141" s="618">
        <v>0.19</v>
      </c>
      <c r="C141" s="652">
        <v>143.75</v>
      </c>
      <c r="D141" s="747">
        <f t="shared" si="9"/>
        <v>2.0500000000000002E-3</v>
      </c>
      <c r="E141" s="618">
        <v>0.17</v>
      </c>
      <c r="F141" s="652">
        <v>57.5</v>
      </c>
      <c r="G141" s="748">
        <f t="shared" si="10"/>
        <v>1.1000000000000001E-2</v>
      </c>
      <c r="H141" s="618">
        <v>0.71</v>
      </c>
      <c r="I141" s="652">
        <v>4</v>
      </c>
      <c r="J141" s="216">
        <f t="shared" si="11"/>
        <v>0.59833333333333327</v>
      </c>
      <c r="P141" s="29">
        <v>4086</v>
      </c>
      <c r="Q141" s="653">
        <v>0.41</v>
      </c>
      <c r="R141" s="664">
        <v>200</v>
      </c>
      <c r="S141" s="749">
        <f t="shared" si="15"/>
        <v>3.0999999999999999E-3</v>
      </c>
      <c r="T141" s="653">
        <v>0.41</v>
      </c>
      <c r="U141" s="664">
        <v>9</v>
      </c>
      <c r="V141" s="216">
        <f t="shared" si="16"/>
        <v>5.8571428571428566E-2</v>
      </c>
      <c r="W141" s="653">
        <v>0.68</v>
      </c>
      <c r="X141" s="664">
        <v>4.25</v>
      </c>
      <c r="Y141" s="216">
        <f t="shared" si="17"/>
        <v>0.56999999999999995</v>
      </c>
    </row>
    <row r="142" spans="1:25" x14ac:dyDescent="0.25">
      <c r="A142" s="29">
        <v>1879</v>
      </c>
      <c r="B142" s="618">
        <v>0.5</v>
      </c>
      <c r="C142" s="652">
        <v>212.5</v>
      </c>
      <c r="D142" s="747">
        <f t="shared" si="9"/>
        <v>3.5999999999999999E-3</v>
      </c>
      <c r="E142" s="618">
        <v>0.68</v>
      </c>
      <c r="F142" s="652">
        <v>50</v>
      </c>
      <c r="G142" s="748">
        <f t="shared" si="10"/>
        <v>2.375E-2</v>
      </c>
      <c r="H142" s="618">
        <v>0.71</v>
      </c>
      <c r="I142" s="652">
        <v>4</v>
      </c>
      <c r="J142" s="216">
        <f t="shared" si="11"/>
        <v>0.59833333333333327</v>
      </c>
      <c r="P142" s="29">
        <v>4089</v>
      </c>
      <c r="Q142" s="653">
        <v>0.4</v>
      </c>
      <c r="R142" s="664">
        <v>193.75</v>
      </c>
      <c r="S142" s="749">
        <f t="shared" si="15"/>
        <v>3.0499999999999998E-3</v>
      </c>
      <c r="T142" s="653">
        <v>0.4</v>
      </c>
      <c r="U142" s="664">
        <v>9.25</v>
      </c>
      <c r="V142" s="216">
        <f t="shared" si="16"/>
        <v>5.7142857142857148E-2</v>
      </c>
      <c r="W142" s="653">
        <v>0.65</v>
      </c>
      <c r="X142" s="664">
        <v>4.25</v>
      </c>
      <c r="Y142" s="216">
        <f t="shared" si="17"/>
        <v>0.5675</v>
      </c>
    </row>
    <row r="143" spans="1:25" x14ac:dyDescent="0.25">
      <c r="A143" s="29">
        <v>1894</v>
      </c>
      <c r="B143" s="618">
        <v>0.43</v>
      </c>
      <c r="C143" s="652">
        <v>200</v>
      </c>
      <c r="D143" s="747">
        <f t="shared" si="9"/>
        <v>3.2500000000000003E-3</v>
      </c>
      <c r="E143" s="618">
        <v>0.68</v>
      </c>
      <c r="F143" s="652">
        <v>50</v>
      </c>
      <c r="G143" s="748">
        <f t="shared" si="10"/>
        <v>2.375E-2</v>
      </c>
      <c r="H143" s="618">
        <v>0.71</v>
      </c>
      <c r="I143" s="652">
        <v>4</v>
      </c>
      <c r="J143" s="216">
        <f t="shared" si="11"/>
        <v>0.59833333333333327</v>
      </c>
      <c r="P143" s="29">
        <v>4096</v>
      </c>
      <c r="Q143" s="653">
        <v>0.62</v>
      </c>
      <c r="R143" s="664">
        <v>250</v>
      </c>
      <c r="S143" s="749">
        <f t="shared" si="15"/>
        <v>4.15E-3</v>
      </c>
      <c r="T143" s="653">
        <v>2.74</v>
      </c>
      <c r="U143" s="664">
        <v>8.375</v>
      </c>
      <c r="V143" s="216">
        <f t="shared" si="16"/>
        <v>0.39142857142857146</v>
      </c>
      <c r="W143" s="653">
        <v>-0.04</v>
      </c>
      <c r="X143" s="664">
        <v>6.5</v>
      </c>
      <c r="Y143" s="216">
        <f t="shared" si="17"/>
        <v>0.51</v>
      </c>
    </row>
    <row r="144" spans="1:25" x14ac:dyDescent="0.25">
      <c r="A144" s="29">
        <v>1896</v>
      </c>
      <c r="B144" s="618">
        <v>0.43</v>
      </c>
      <c r="C144" s="652">
        <v>200</v>
      </c>
      <c r="D144" s="747">
        <f t="shared" si="9"/>
        <v>3.2500000000000003E-3</v>
      </c>
      <c r="E144" s="618">
        <v>0.68</v>
      </c>
      <c r="F144" s="652">
        <v>50</v>
      </c>
      <c r="G144" s="748">
        <f t="shared" si="10"/>
        <v>2.375E-2</v>
      </c>
      <c r="H144" s="618">
        <v>0.71</v>
      </c>
      <c r="I144" s="652">
        <v>4</v>
      </c>
      <c r="J144" s="216">
        <f t="shared" si="11"/>
        <v>0.59833333333333327</v>
      </c>
      <c r="P144" s="29">
        <v>4250</v>
      </c>
      <c r="Q144" s="653">
        <v>0</v>
      </c>
      <c r="R144" s="664">
        <v>100</v>
      </c>
      <c r="S144" s="749">
        <f t="shared" si="15"/>
        <v>1.0499999999999999E-3</v>
      </c>
      <c r="T144" s="653">
        <v>0.41</v>
      </c>
      <c r="U144" s="664">
        <v>9</v>
      </c>
      <c r="V144" s="216">
        <f t="shared" si="16"/>
        <v>5.8571428571428566E-2</v>
      </c>
      <c r="W144" s="653">
        <v>0.68</v>
      </c>
      <c r="X144" s="664">
        <v>4.25</v>
      </c>
      <c r="Y144" s="216">
        <f t="shared" si="17"/>
        <v>0.56999999999999995</v>
      </c>
    </row>
    <row r="145" spans="1:25" x14ac:dyDescent="0.25">
      <c r="A145" s="29">
        <v>1941</v>
      </c>
      <c r="B145" s="618">
        <v>0.43</v>
      </c>
      <c r="C145" s="652">
        <v>200</v>
      </c>
      <c r="D145" s="747">
        <f t="shared" ref="D145:D208" si="18">(B145-Lowest_bill_SSW_protecting_wildlife)/(Highest_servicelevel_SSW_protecting_wildlife-Lowest_servicelevel_SSW_protecting_wildlife)</f>
        <v>3.2500000000000003E-3</v>
      </c>
      <c r="E145" s="618">
        <v>1.43</v>
      </c>
      <c r="F145" s="652">
        <v>48.75</v>
      </c>
      <c r="G145" s="748">
        <f t="shared" ref="G145:G208" si="19">(E145-Lowest_bill_SSW_leakage)/(Highest_servicelevel_SSW_leakage-Lowest_servicelevel_SSW_leakage)</f>
        <v>4.2499999999999996E-2</v>
      </c>
      <c r="H145" s="618">
        <v>0.71</v>
      </c>
      <c r="I145" s="652">
        <v>4</v>
      </c>
      <c r="J145" s="216">
        <f t="shared" ref="J145:J208" si="20">(H145-Lowest_bill_SSW_interruptions)/(Highest_servicelevel_SSW_interruptions-Lowest_servicelevel_SSW_interruptions)</f>
        <v>0.59833333333333327</v>
      </c>
      <c r="P145" s="29">
        <v>4264</v>
      </c>
      <c r="Q145" s="653">
        <v>0.41</v>
      </c>
      <c r="R145" s="664">
        <v>200</v>
      </c>
      <c r="S145" s="749">
        <f t="shared" ref="S145:S155" si="21">(Q145-Lowest_bill_CAM_protecting_wildlife)/(Highest_servicelevel_CAM_protecting_wildlife-Lowest_servicelevel_CAM_protecting_wildlife)</f>
        <v>3.0999999999999999E-3</v>
      </c>
      <c r="T145" s="653">
        <v>0.59</v>
      </c>
      <c r="U145" s="664">
        <v>9</v>
      </c>
      <c r="V145" s="216">
        <f t="shared" ref="V145:V155" si="22">(T145-Lowest_bill_CAM_leakage)/(Highest_servicelevel_CAM_leakage-Lowest_servicelevel_CAM_leakage)</f>
        <v>8.4285714285714283E-2</v>
      </c>
      <c r="W145" s="653">
        <v>0.68</v>
      </c>
      <c r="X145" s="664">
        <v>4.25</v>
      </c>
      <c r="Y145" s="216">
        <f t="shared" ref="Y145:Y155" si="23">(W145-Lowest_bill_CAM_interruptions)/(Highest_servicelevel_CAM_interruptions-Lowest_servicelevel_CAM_interruptions)</f>
        <v>0.56999999999999995</v>
      </c>
    </row>
    <row r="146" spans="1:25" x14ac:dyDescent="0.25">
      <c r="A146" s="29">
        <v>1947</v>
      </c>
      <c r="B146" s="618">
        <v>0.65</v>
      </c>
      <c r="C146" s="652">
        <v>250</v>
      </c>
      <c r="D146" s="747">
        <f t="shared" si="18"/>
        <v>4.3499999999999997E-3</v>
      </c>
      <c r="E146" s="618">
        <v>2.1</v>
      </c>
      <c r="F146" s="652">
        <v>46.25</v>
      </c>
      <c r="G146" s="748">
        <f t="shared" si="19"/>
        <v>5.9250000000000004E-2</v>
      </c>
      <c r="H146" s="618">
        <v>0.55000000000000004</v>
      </c>
      <c r="I146" s="652">
        <v>4.75</v>
      </c>
      <c r="J146" s="216">
        <f t="shared" si="20"/>
        <v>0.58499999999999996</v>
      </c>
      <c r="P146" s="29">
        <v>4287</v>
      </c>
      <c r="Q146" s="653">
        <v>0.62</v>
      </c>
      <c r="R146" s="664">
        <v>250</v>
      </c>
      <c r="S146" s="749">
        <f t="shared" si="21"/>
        <v>4.15E-3</v>
      </c>
      <c r="T146" s="653">
        <v>1.96</v>
      </c>
      <c r="U146" s="664">
        <v>8.375</v>
      </c>
      <c r="V146" s="216">
        <f t="shared" si="22"/>
        <v>0.27999999999999997</v>
      </c>
      <c r="W146" s="653">
        <v>2.4900000000000002</v>
      </c>
      <c r="X146" s="664">
        <v>4.25</v>
      </c>
      <c r="Y146" s="216">
        <f t="shared" si="23"/>
        <v>0.72083333333333333</v>
      </c>
    </row>
    <row r="147" spans="1:25" x14ac:dyDescent="0.25">
      <c r="A147" s="29">
        <v>1948</v>
      </c>
      <c r="B147" s="618">
        <v>0.36</v>
      </c>
      <c r="C147" s="652">
        <v>181.25</v>
      </c>
      <c r="D147" s="747">
        <f t="shared" si="18"/>
        <v>2.8999999999999998E-3</v>
      </c>
      <c r="E147" s="618">
        <v>0.68</v>
      </c>
      <c r="F147" s="652">
        <v>50</v>
      </c>
      <c r="G147" s="748">
        <f t="shared" si="19"/>
        <v>2.375E-2</v>
      </c>
      <c r="H147" s="618">
        <v>0.71</v>
      </c>
      <c r="I147" s="652">
        <v>4</v>
      </c>
      <c r="J147" s="216">
        <f t="shared" si="20"/>
        <v>0.59833333333333327</v>
      </c>
      <c r="P147" s="29">
        <v>4290</v>
      </c>
      <c r="Q147" s="653">
        <v>0.33</v>
      </c>
      <c r="R147" s="664">
        <v>175</v>
      </c>
      <c r="S147" s="749">
        <f t="shared" si="21"/>
        <v>2.7000000000000001E-3</v>
      </c>
      <c r="T147" s="653">
        <v>0.41</v>
      </c>
      <c r="U147" s="664">
        <v>9</v>
      </c>
      <c r="V147" s="216">
        <f t="shared" si="22"/>
        <v>5.8571428571428566E-2</v>
      </c>
      <c r="W147" s="653">
        <v>0.68</v>
      </c>
      <c r="X147" s="664">
        <v>4.25</v>
      </c>
      <c r="Y147" s="216">
        <f t="shared" si="23"/>
        <v>0.56999999999999995</v>
      </c>
    </row>
    <row r="148" spans="1:25" x14ac:dyDescent="0.25">
      <c r="A148" s="29">
        <v>1967</v>
      </c>
      <c r="B148" s="618">
        <v>0.43</v>
      </c>
      <c r="C148" s="652">
        <v>200</v>
      </c>
      <c r="D148" s="747">
        <f t="shared" si="18"/>
        <v>3.2500000000000003E-3</v>
      </c>
      <c r="E148" s="618">
        <v>2.2400000000000002</v>
      </c>
      <c r="F148" s="652">
        <v>46.25</v>
      </c>
      <c r="G148" s="748">
        <f t="shared" si="19"/>
        <v>6.275E-2</v>
      </c>
      <c r="H148" s="618">
        <v>2.54</v>
      </c>
      <c r="I148" s="652">
        <v>3.75</v>
      </c>
      <c r="J148" s="216">
        <f t="shared" si="20"/>
        <v>0.75083333333333335</v>
      </c>
      <c r="P148" s="29">
        <v>4293</v>
      </c>
      <c r="Q148" s="653">
        <v>0.41</v>
      </c>
      <c r="R148" s="664">
        <v>200</v>
      </c>
      <c r="S148" s="749">
        <f t="shared" si="21"/>
        <v>3.0999999999999999E-3</v>
      </c>
      <c r="T148" s="653">
        <v>2.0299999999999998</v>
      </c>
      <c r="U148" s="664">
        <v>8.375</v>
      </c>
      <c r="V148" s="216">
        <f t="shared" si="22"/>
        <v>0.28999999999999998</v>
      </c>
      <c r="W148" s="653">
        <v>0.47</v>
      </c>
      <c r="X148" s="664">
        <v>5.25</v>
      </c>
      <c r="Y148" s="216">
        <f t="shared" si="23"/>
        <v>0.55249999999999999</v>
      </c>
    </row>
    <row r="149" spans="1:25" x14ac:dyDescent="0.25">
      <c r="A149" s="29">
        <v>1989</v>
      </c>
      <c r="B149" s="618">
        <v>0.19</v>
      </c>
      <c r="C149" s="652">
        <v>143.75</v>
      </c>
      <c r="D149" s="747">
        <f t="shared" si="18"/>
        <v>2.0500000000000002E-3</v>
      </c>
      <c r="E149" s="618">
        <v>0.68</v>
      </c>
      <c r="F149" s="652">
        <v>50</v>
      </c>
      <c r="G149" s="748">
        <f t="shared" si="19"/>
        <v>2.375E-2</v>
      </c>
      <c r="H149" s="618">
        <v>0.71</v>
      </c>
      <c r="I149" s="652">
        <v>4</v>
      </c>
      <c r="J149" s="216">
        <f t="shared" si="20"/>
        <v>0.59833333333333327</v>
      </c>
      <c r="P149" s="29">
        <v>4324</v>
      </c>
      <c r="Q149" s="653">
        <v>0.41</v>
      </c>
      <c r="R149" s="664">
        <v>200</v>
      </c>
      <c r="S149" s="749">
        <f t="shared" si="21"/>
        <v>3.0999999999999999E-3</v>
      </c>
      <c r="T149" s="653">
        <v>0.41</v>
      </c>
      <c r="U149" s="664">
        <v>9</v>
      </c>
      <c r="V149" s="216">
        <f t="shared" si="22"/>
        <v>5.8571428571428566E-2</v>
      </c>
      <c r="W149" s="653">
        <v>0.68</v>
      </c>
      <c r="X149" s="664">
        <v>4.25</v>
      </c>
      <c r="Y149" s="216">
        <f t="shared" si="23"/>
        <v>0.56999999999999995</v>
      </c>
    </row>
    <row r="150" spans="1:25" x14ac:dyDescent="0.25">
      <c r="A150" s="29">
        <v>1997</v>
      </c>
      <c r="B150" s="618">
        <v>0.43</v>
      </c>
      <c r="C150" s="652">
        <v>200</v>
      </c>
      <c r="D150" s="747">
        <f t="shared" si="18"/>
        <v>3.2500000000000003E-3</v>
      </c>
      <c r="E150" s="618">
        <v>0.68</v>
      </c>
      <c r="F150" s="652">
        <v>50</v>
      </c>
      <c r="G150" s="748">
        <f t="shared" si="19"/>
        <v>2.375E-2</v>
      </c>
      <c r="H150" s="618">
        <v>0.71</v>
      </c>
      <c r="I150" s="652">
        <v>4</v>
      </c>
      <c r="J150" s="216">
        <f t="shared" si="20"/>
        <v>0.59833333333333327</v>
      </c>
      <c r="P150" s="29">
        <v>4343</v>
      </c>
      <c r="Q150" s="653">
        <v>0.49</v>
      </c>
      <c r="R150" s="664">
        <v>218.75</v>
      </c>
      <c r="S150" s="749">
        <f t="shared" si="21"/>
        <v>3.4999999999999996E-3</v>
      </c>
      <c r="T150" s="653">
        <v>0.97</v>
      </c>
      <c r="U150" s="664">
        <v>9</v>
      </c>
      <c r="V150" s="216">
        <f t="shared" si="22"/>
        <v>0.13857142857142857</v>
      </c>
      <c r="W150" s="653">
        <v>0.35</v>
      </c>
      <c r="X150" s="664">
        <v>5.25</v>
      </c>
      <c r="Y150" s="216">
        <f t="shared" si="23"/>
        <v>0.54249999999999998</v>
      </c>
    </row>
    <row r="151" spans="1:25" x14ac:dyDescent="0.25">
      <c r="A151" s="29">
        <v>2022</v>
      </c>
      <c r="B151" s="618">
        <v>0.43</v>
      </c>
      <c r="C151" s="652">
        <v>200</v>
      </c>
      <c r="D151" s="747">
        <f t="shared" si="18"/>
        <v>3.2500000000000003E-3</v>
      </c>
      <c r="E151" s="618">
        <v>0.68</v>
      </c>
      <c r="F151" s="652">
        <v>50</v>
      </c>
      <c r="G151" s="748">
        <f t="shared" si="19"/>
        <v>2.375E-2</v>
      </c>
      <c r="H151" s="618">
        <v>0.18</v>
      </c>
      <c r="I151" s="652">
        <v>5.5</v>
      </c>
      <c r="J151" s="216">
        <f t="shared" si="20"/>
        <v>0.55416666666666659</v>
      </c>
      <c r="P151" s="29">
        <v>4346</v>
      </c>
      <c r="Q151" s="653">
        <v>0.62</v>
      </c>
      <c r="R151" s="664">
        <v>250</v>
      </c>
      <c r="S151" s="749">
        <f t="shared" si="21"/>
        <v>4.15E-3</v>
      </c>
      <c r="T151" s="653">
        <v>2.74</v>
      </c>
      <c r="U151" s="664">
        <v>8.375</v>
      </c>
      <c r="V151" s="216">
        <f t="shared" si="22"/>
        <v>0.39142857142857146</v>
      </c>
      <c r="W151" s="653">
        <v>0.68</v>
      </c>
      <c r="X151" s="664">
        <v>4.25</v>
      </c>
      <c r="Y151" s="216">
        <f t="shared" si="23"/>
        <v>0.56999999999999995</v>
      </c>
    </row>
    <row r="152" spans="1:25" x14ac:dyDescent="0.25">
      <c r="A152" s="29">
        <v>2028</v>
      </c>
      <c r="B152" s="618">
        <v>0.43</v>
      </c>
      <c r="C152" s="652">
        <v>200</v>
      </c>
      <c r="D152" s="747">
        <f t="shared" si="18"/>
        <v>3.2500000000000003E-3</v>
      </c>
      <c r="E152" s="618">
        <v>1.25</v>
      </c>
      <c r="F152" s="652">
        <v>48.75</v>
      </c>
      <c r="G152" s="748">
        <f t="shared" si="19"/>
        <v>3.7999999999999999E-2</v>
      </c>
      <c r="H152" s="618">
        <v>1.01</v>
      </c>
      <c r="I152" s="652">
        <v>4</v>
      </c>
      <c r="J152" s="216">
        <f t="shared" si="20"/>
        <v>0.62333333333333329</v>
      </c>
      <c r="P152" s="29">
        <v>4393</v>
      </c>
      <c r="Q152" s="653">
        <v>0.41</v>
      </c>
      <c r="R152" s="664">
        <v>200</v>
      </c>
      <c r="S152" s="749">
        <f t="shared" si="21"/>
        <v>3.0999999999999999E-3</v>
      </c>
      <c r="T152" s="653">
        <v>0.41</v>
      </c>
      <c r="U152" s="664">
        <v>9</v>
      </c>
      <c r="V152" s="216">
        <f t="shared" si="22"/>
        <v>5.8571428571428566E-2</v>
      </c>
      <c r="W152" s="653">
        <v>0.68</v>
      </c>
      <c r="X152" s="664">
        <v>4.25</v>
      </c>
      <c r="Y152" s="216">
        <f t="shared" si="23"/>
        <v>0.56999999999999995</v>
      </c>
    </row>
    <row r="153" spans="1:25" x14ac:dyDescent="0.25">
      <c r="A153" s="29">
        <v>2031</v>
      </c>
      <c r="B153" s="618">
        <v>0.59</v>
      </c>
      <c r="C153" s="652">
        <v>231.25</v>
      </c>
      <c r="D153" s="747">
        <f t="shared" si="18"/>
        <v>4.0499999999999998E-3</v>
      </c>
      <c r="E153" s="618">
        <v>0.68</v>
      </c>
      <c r="F153" s="652">
        <v>50</v>
      </c>
      <c r="G153" s="748">
        <f t="shared" si="19"/>
        <v>2.375E-2</v>
      </c>
      <c r="H153" s="618">
        <v>0.61</v>
      </c>
      <c r="I153" s="652">
        <v>4.75</v>
      </c>
      <c r="J153" s="216">
        <f t="shared" si="20"/>
        <v>0.59</v>
      </c>
      <c r="P153" s="29">
        <v>4493</v>
      </c>
      <c r="Q153" s="653">
        <v>0.5</v>
      </c>
      <c r="R153" s="664">
        <v>218.75</v>
      </c>
      <c r="S153" s="749">
        <f t="shared" si="21"/>
        <v>3.5499999999999998E-3</v>
      </c>
      <c r="T153" s="653">
        <v>1.25</v>
      </c>
      <c r="U153" s="664">
        <v>9</v>
      </c>
      <c r="V153" s="216">
        <f t="shared" si="22"/>
        <v>0.17857142857142858</v>
      </c>
      <c r="W153" s="653">
        <v>0.68</v>
      </c>
      <c r="X153" s="664">
        <v>4.25</v>
      </c>
      <c r="Y153" s="216">
        <f t="shared" si="23"/>
        <v>0.56999999999999995</v>
      </c>
    </row>
    <row r="154" spans="1:25" x14ac:dyDescent="0.25">
      <c r="A154" s="29">
        <v>2032</v>
      </c>
      <c r="B154" s="618">
        <v>0.43</v>
      </c>
      <c r="C154" s="652">
        <v>200</v>
      </c>
      <c r="D154" s="747">
        <f t="shared" si="18"/>
        <v>3.2500000000000003E-3</v>
      </c>
      <c r="E154" s="618">
        <v>0.68</v>
      </c>
      <c r="F154" s="652">
        <v>50</v>
      </c>
      <c r="G154" s="748">
        <f t="shared" si="19"/>
        <v>2.375E-2</v>
      </c>
      <c r="H154" s="618">
        <v>0.17</v>
      </c>
      <c r="I154" s="652">
        <v>5.75</v>
      </c>
      <c r="J154" s="216">
        <f t="shared" si="20"/>
        <v>0.55333333333333334</v>
      </c>
      <c r="P154" s="29">
        <v>4494</v>
      </c>
      <c r="Q154" s="653">
        <v>0.52</v>
      </c>
      <c r="R154" s="664">
        <v>225</v>
      </c>
      <c r="S154" s="749">
        <f t="shared" si="21"/>
        <v>3.65E-3</v>
      </c>
      <c r="T154" s="653">
        <v>1.25</v>
      </c>
      <c r="U154" s="664">
        <v>9</v>
      </c>
      <c r="V154" s="216">
        <f t="shared" si="22"/>
        <v>0.17857142857142858</v>
      </c>
      <c r="W154" s="653">
        <v>0.68</v>
      </c>
      <c r="X154" s="664">
        <v>4.25</v>
      </c>
      <c r="Y154" s="216">
        <f t="shared" si="23"/>
        <v>0.56999999999999995</v>
      </c>
    </row>
    <row r="155" spans="1:25" x14ac:dyDescent="0.25">
      <c r="A155" s="29">
        <v>2034</v>
      </c>
      <c r="B155" s="618">
        <v>0.43</v>
      </c>
      <c r="C155" s="652">
        <v>200</v>
      </c>
      <c r="D155" s="747">
        <f t="shared" si="18"/>
        <v>3.2500000000000003E-3</v>
      </c>
      <c r="E155" s="618">
        <v>1.6</v>
      </c>
      <c r="F155" s="652">
        <v>48.75</v>
      </c>
      <c r="G155" s="748">
        <f t="shared" si="19"/>
        <v>4.675E-2</v>
      </c>
      <c r="H155" s="618">
        <v>0.71</v>
      </c>
      <c r="I155" s="652">
        <v>4</v>
      </c>
      <c r="J155" s="216">
        <f t="shared" si="20"/>
        <v>0.59833333333333327</v>
      </c>
      <c r="P155" s="29">
        <v>4494</v>
      </c>
      <c r="Q155" s="653">
        <v>0.52</v>
      </c>
      <c r="R155" s="664">
        <v>225</v>
      </c>
      <c r="S155" s="749">
        <f t="shared" si="21"/>
        <v>3.65E-3</v>
      </c>
      <c r="T155" s="653">
        <v>1.25</v>
      </c>
      <c r="U155" s="664">
        <v>9</v>
      </c>
      <c r="V155" s="216">
        <f t="shared" si="22"/>
        <v>0.17857142857142858</v>
      </c>
      <c r="W155" s="653">
        <v>0.68</v>
      </c>
      <c r="X155" s="664">
        <v>4.25</v>
      </c>
      <c r="Y155" s="216">
        <f t="shared" si="23"/>
        <v>0.56999999999999995</v>
      </c>
    </row>
    <row r="156" spans="1:25" x14ac:dyDescent="0.25">
      <c r="A156" s="29">
        <v>2040</v>
      </c>
      <c r="B156" s="618">
        <v>0.65</v>
      </c>
      <c r="C156" s="652">
        <v>250</v>
      </c>
      <c r="D156" s="747">
        <f t="shared" si="18"/>
        <v>4.3499999999999997E-3</v>
      </c>
      <c r="E156" s="618">
        <v>0.68</v>
      </c>
      <c r="F156" s="652">
        <v>50</v>
      </c>
      <c r="G156" s="748">
        <f t="shared" si="19"/>
        <v>2.375E-2</v>
      </c>
      <c r="H156" s="618">
        <v>0.27</v>
      </c>
      <c r="I156" s="652">
        <v>5.25</v>
      </c>
      <c r="J156" s="216">
        <f t="shared" si="20"/>
        <v>0.56166666666666665</v>
      </c>
    </row>
    <row r="157" spans="1:25" x14ac:dyDescent="0.25">
      <c r="A157" s="29">
        <v>2044</v>
      </c>
      <c r="B157" s="618">
        <v>0.25</v>
      </c>
      <c r="C157" s="652">
        <v>156.25</v>
      </c>
      <c r="D157" s="747">
        <f t="shared" si="18"/>
        <v>2.3499999999999997E-3</v>
      </c>
      <c r="E157" s="618">
        <v>1.06</v>
      </c>
      <c r="F157" s="652">
        <v>50</v>
      </c>
      <c r="G157" s="748">
        <f t="shared" si="19"/>
        <v>3.3250000000000002E-2</v>
      </c>
      <c r="H157" s="618">
        <v>0.31</v>
      </c>
      <c r="I157" s="652">
        <v>5.25</v>
      </c>
      <c r="J157" s="216">
        <f t="shared" si="20"/>
        <v>0.56499999999999995</v>
      </c>
    </row>
    <row r="158" spans="1:25" x14ac:dyDescent="0.25">
      <c r="A158" s="29">
        <v>2050</v>
      </c>
      <c r="B158" s="618">
        <v>0.49</v>
      </c>
      <c r="C158" s="652">
        <v>212.5</v>
      </c>
      <c r="D158" s="747">
        <f t="shared" si="18"/>
        <v>3.5499999999999998E-3</v>
      </c>
      <c r="E158" s="618">
        <v>0.68</v>
      </c>
      <c r="F158" s="652">
        <v>50</v>
      </c>
      <c r="G158" s="748">
        <f t="shared" si="19"/>
        <v>2.375E-2</v>
      </c>
      <c r="H158" s="618">
        <v>0.42</v>
      </c>
      <c r="I158" s="652">
        <v>5</v>
      </c>
      <c r="J158" s="216">
        <f t="shared" si="20"/>
        <v>0.5741666666666666</v>
      </c>
    </row>
    <row r="159" spans="1:25" x14ac:dyDescent="0.25">
      <c r="A159" s="29">
        <v>2061</v>
      </c>
      <c r="B159" s="618">
        <v>0.6</v>
      </c>
      <c r="C159" s="652">
        <v>237.5</v>
      </c>
      <c r="D159" s="747">
        <f t="shared" si="18"/>
        <v>4.0999999999999995E-3</v>
      </c>
      <c r="E159" s="618">
        <v>1.06</v>
      </c>
      <c r="F159" s="652">
        <v>50</v>
      </c>
      <c r="G159" s="748">
        <f t="shared" si="19"/>
        <v>3.3250000000000002E-2</v>
      </c>
      <c r="H159" s="618">
        <v>2.4900000000000002</v>
      </c>
      <c r="I159" s="652">
        <v>3.75</v>
      </c>
      <c r="J159" s="216">
        <f t="shared" si="20"/>
        <v>0.7466666666666667</v>
      </c>
    </row>
    <row r="160" spans="1:25" x14ac:dyDescent="0.25">
      <c r="A160" s="29">
        <v>2064</v>
      </c>
      <c r="B160" s="618">
        <v>0.43</v>
      </c>
      <c r="C160" s="652">
        <v>200</v>
      </c>
      <c r="D160" s="747">
        <f t="shared" si="18"/>
        <v>3.2500000000000003E-3</v>
      </c>
      <c r="E160" s="618">
        <v>0.47</v>
      </c>
      <c r="F160" s="652">
        <v>53.75</v>
      </c>
      <c r="G160" s="748">
        <f t="shared" si="19"/>
        <v>1.8499999999999999E-2</v>
      </c>
      <c r="H160" s="618">
        <v>0.71</v>
      </c>
      <c r="I160" s="652">
        <v>4</v>
      </c>
      <c r="J160" s="216">
        <f t="shared" si="20"/>
        <v>0.59833333333333327</v>
      </c>
    </row>
    <row r="161" spans="1:10" x14ac:dyDescent="0.25">
      <c r="A161" s="29">
        <v>2068</v>
      </c>
      <c r="B161" s="618">
        <v>0.43</v>
      </c>
      <c r="C161" s="652">
        <v>200</v>
      </c>
      <c r="D161" s="747">
        <f t="shared" si="18"/>
        <v>3.2500000000000003E-3</v>
      </c>
      <c r="E161" s="618">
        <v>0.68</v>
      </c>
      <c r="F161" s="652">
        <v>50</v>
      </c>
      <c r="G161" s="748">
        <f t="shared" si="19"/>
        <v>2.375E-2</v>
      </c>
      <c r="H161" s="618">
        <v>0.71</v>
      </c>
      <c r="I161" s="652">
        <v>4</v>
      </c>
      <c r="J161" s="216">
        <f t="shared" si="20"/>
        <v>0.59833333333333327</v>
      </c>
    </row>
    <row r="162" spans="1:10" x14ac:dyDescent="0.25">
      <c r="A162" s="29">
        <v>2077</v>
      </c>
      <c r="B162" s="618">
        <v>0.35</v>
      </c>
      <c r="C162" s="652">
        <v>181.25</v>
      </c>
      <c r="D162" s="747">
        <f t="shared" si="18"/>
        <v>2.8499999999999997E-3</v>
      </c>
      <c r="E162" s="618">
        <v>1.45</v>
      </c>
      <c r="F162" s="652">
        <v>48.75</v>
      </c>
      <c r="G162" s="748">
        <f t="shared" si="19"/>
        <v>4.2999999999999997E-2</v>
      </c>
      <c r="H162" s="618">
        <v>0.61</v>
      </c>
      <c r="I162" s="652">
        <v>4.75</v>
      </c>
      <c r="J162" s="216">
        <f t="shared" si="20"/>
        <v>0.59</v>
      </c>
    </row>
    <row r="163" spans="1:10" x14ac:dyDescent="0.25">
      <c r="A163" s="29">
        <v>2079</v>
      </c>
      <c r="B163" s="618">
        <v>0.37</v>
      </c>
      <c r="C163" s="652">
        <v>181.25</v>
      </c>
      <c r="D163" s="747">
        <f t="shared" si="18"/>
        <v>2.9499999999999999E-3</v>
      </c>
      <c r="E163" s="618">
        <v>0.96</v>
      </c>
      <c r="F163" s="652">
        <v>50</v>
      </c>
      <c r="G163" s="748">
        <f t="shared" si="19"/>
        <v>3.075E-2</v>
      </c>
      <c r="H163" s="618">
        <v>0.71</v>
      </c>
      <c r="I163" s="652">
        <v>4</v>
      </c>
      <c r="J163" s="216">
        <f t="shared" si="20"/>
        <v>0.59833333333333327</v>
      </c>
    </row>
    <row r="164" spans="1:10" x14ac:dyDescent="0.25">
      <c r="A164" s="29">
        <v>2093</v>
      </c>
      <c r="B164" s="618">
        <v>0.43</v>
      </c>
      <c r="C164" s="652">
        <v>200</v>
      </c>
      <c r="D164" s="747">
        <f t="shared" si="18"/>
        <v>3.2500000000000003E-3</v>
      </c>
      <c r="E164" s="618">
        <v>1.06</v>
      </c>
      <c r="F164" s="652">
        <v>50</v>
      </c>
      <c r="G164" s="748">
        <f t="shared" si="19"/>
        <v>3.3250000000000002E-2</v>
      </c>
      <c r="H164" s="618">
        <v>0.71</v>
      </c>
      <c r="I164" s="652">
        <v>4</v>
      </c>
      <c r="J164" s="216">
        <f t="shared" si="20"/>
        <v>0.59833333333333327</v>
      </c>
    </row>
    <row r="165" spans="1:10" x14ac:dyDescent="0.25">
      <c r="A165" s="29">
        <v>2101</v>
      </c>
      <c r="B165" s="618">
        <v>0.43</v>
      </c>
      <c r="C165" s="652">
        <v>200</v>
      </c>
      <c r="D165" s="747">
        <f t="shared" si="18"/>
        <v>3.2500000000000003E-3</v>
      </c>
      <c r="E165" s="618">
        <v>0.09</v>
      </c>
      <c r="F165" s="652">
        <v>58.75</v>
      </c>
      <c r="G165" s="748">
        <f t="shared" si="19"/>
        <v>8.9999999999999993E-3</v>
      </c>
      <c r="H165" s="618">
        <v>-4.75</v>
      </c>
      <c r="I165" s="652">
        <v>12</v>
      </c>
      <c r="J165" s="216">
        <f t="shared" si="20"/>
        <v>0.14333333333333331</v>
      </c>
    </row>
    <row r="166" spans="1:10" x14ac:dyDescent="0.25">
      <c r="A166" s="29">
        <v>2102</v>
      </c>
      <c r="B166" s="618">
        <v>0.43</v>
      </c>
      <c r="C166" s="652">
        <v>200</v>
      </c>
      <c r="D166" s="747">
        <f t="shared" si="18"/>
        <v>3.2500000000000003E-3</v>
      </c>
      <c r="E166" s="618">
        <v>0.57999999999999996</v>
      </c>
      <c r="F166" s="652">
        <v>52.5</v>
      </c>
      <c r="G166" s="748">
        <f t="shared" si="19"/>
        <v>2.1249999999999998E-2</v>
      </c>
      <c r="H166" s="618">
        <v>0.71</v>
      </c>
      <c r="I166" s="652">
        <v>4</v>
      </c>
      <c r="J166" s="216">
        <f t="shared" si="20"/>
        <v>0.59833333333333327</v>
      </c>
    </row>
    <row r="167" spans="1:10" x14ac:dyDescent="0.25">
      <c r="A167" s="29">
        <v>2133</v>
      </c>
      <c r="B167" s="618">
        <v>0.49</v>
      </c>
      <c r="C167" s="652">
        <v>212.5</v>
      </c>
      <c r="D167" s="747">
        <f t="shared" si="18"/>
        <v>3.5499999999999998E-3</v>
      </c>
      <c r="E167" s="618">
        <v>1.54</v>
      </c>
      <c r="F167" s="652">
        <v>48.75</v>
      </c>
      <c r="G167" s="748">
        <f t="shared" si="19"/>
        <v>4.5249999999999999E-2</v>
      </c>
      <c r="H167" s="618">
        <v>0.71</v>
      </c>
      <c r="I167" s="652">
        <v>4</v>
      </c>
      <c r="J167" s="216">
        <f t="shared" si="20"/>
        <v>0.59833333333333327</v>
      </c>
    </row>
    <row r="168" spans="1:10" x14ac:dyDescent="0.25">
      <c r="A168" s="29">
        <v>2152</v>
      </c>
      <c r="B168" s="618">
        <v>0.65</v>
      </c>
      <c r="C168" s="652">
        <v>250</v>
      </c>
      <c r="D168" s="747">
        <f t="shared" si="18"/>
        <v>4.3499999999999997E-3</v>
      </c>
      <c r="E168" s="618">
        <v>0.09</v>
      </c>
      <c r="F168" s="652">
        <v>58.75</v>
      </c>
      <c r="G168" s="748">
        <f t="shared" si="19"/>
        <v>8.9999999999999993E-3</v>
      </c>
      <c r="H168" s="618">
        <v>0.22</v>
      </c>
      <c r="I168" s="652">
        <v>5.25</v>
      </c>
      <c r="J168" s="216">
        <f t="shared" si="20"/>
        <v>0.5575</v>
      </c>
    </row>
    <row r="169" spans="1:10" x14ac:dyDescent="0.25">
      <c r="A169" s="29">
        <v>2172</v>
      </c>
      <c r="B169" s="618">
        <v>0.43</v>
      </c>
      <c r="C169" s="652">
        <v>200</v>
      </c>
      <c r="D169" s="747">
        <f t="shared" si="18"/>
        <v>3.2500000000000003E-3</v>
      </c>
      <c r="E169" s="618">
        <v>0.68</v>
      </c>
      <c r="F169" s="652">
        <v>50</v>
      </c>
      <c r="G169" s="748">
        <f t="shared" si="19"/>
        <v>2.375E-2</v>
      </c>
      <c r="H169" s="618">
        <v>0.71</v>
      </c>
      <c r="I169" s="652">
        <v>4</v>
      </c>
      <c r="J169" s="216">
        <f t="shared" si="20"/>
        <v>0.59833333333333327</v>
      </c>
    </row>
    <row r="170" spans="1:10" x14ac:dyDescent="0.25">
      <c r="A170" s="29">
        <v>2174</v>
      </c>
      <c r="B170" s="618">
        <v>0.64</v>
      </c>
      <c r="C170" s="652">
        <v>243.75</v>
      </c>
      <c r="D170" s="747">
        <f t="shared" si="18"/>
        <v>4.3E-3</v>
      </c>
      <c r="E170" s="618">
        <v>0.68</v>
      </c>
      <c r="F170" s="652">
        <v>50</v>
      </c>
      <c r="G170" s="748">
        <f t="shared" si="19"/>
        <v>2.375E-2</v>
      </c>
      <c r="H170" s="618">
        <v>0.71</v>
      </c>
      <c r="I170" s="652">
        <v>4</v>
      </c>
      <c r="J170" s="216">
        <f t="shared" si="20"/>
        <v>0.59833333333333327</v>
      </c>
    </row>
    <row r="171" spans="1:10" x14ac:dyDescent="0.25">
      <c r="A171" s="29">
        <v>2214</v>
      </c>
      <c r="B171" s="618">
        <v>0.43</v>
      </c>
      <c r="C171" s="652">
        <v>200</v>
      </c>
      <c r="D171" s="747">
        <f t="shared" si="18"/>
        <v>3.2500000000000003E-3</v>
      </c>
      <c r="E171" s="618">
        <v>0.68</v>
      </c>
      <c r="F171" s="652">
        <v>50</v>
      </c>
      <c r="G171" s="748">
        <f t="shared" si="19"/>
        <v>2.375E-2</v>
      </c>
      <c r="H171" s="618">
        <v>0.71</v>
      </c>
      <c r="I171" s="652">
        <v>4</v>
      </c>
      <c r="J171" s="216">
        <f t="shared" si="20"/>
        <v>0.59833333333333327</v>
      </c>
    </row>
    <row r="172" spans="1:10" x14ac:dyDescent="0.25">
      <c r="A172" s="29">
        <v>2420</v>
      </c>
      <c r="B172" s="618">
        <v>0.43</v>
      </c>
      <c r="C172" s="652">
        <v>200</v>
      </c>
      <c r="D172" s="747">
        <f t="shared" si="18"/>
        <v>3.2500000000000003E-3</v>
      </c>
      <c r="E172" s="618">
        <v>0.59</v>
      </c>
      <c r="F172" s="652">
        <v>52.5</v>
      </c>
      <c r="G172" s="748">
        <f t="shared" si="19"/>
        <v>2.1499999999999998E-2</v>
      </c>
      <c r="H172" s="618">
        <v>0.71</v>
      </c>
      <c r="I172" s="652">
        <v>4</v>
      </c>
      <c r="J172" s="216">
        <f t="shared" si="20"/>
        <v>0.59833333333333327</v>
      </c>
    </row>
    <row r="173" spans="1:10" x14ac:dyDescent="0.25">
      <c r="A173" s="29">
        <v>2436</v>
      </c>
      <c r="B173" s="618">
        <v>0.43</v>
      </c>
      <c r="C173" s="652">
        <v>200</v>
      </c>
      <c r="D173" s="747">
        <f t="shared" si="18"/>
        <v>3.2500000000000003E-3</v>
      </c>
      <c r="E173" s="618">
        <v>0.68</v>
      </c>
      <c r="F173" s="652">
        <v>50</v>
      </c>
      <c r="G173" s="748">
        <f t="shared" si="19"/>
        <v>2.375E-2</v>
      </c>
      <c r="H173" s="618">
        <v>0.71</v>
      </c>
      <c r="I173" s="652">
        <v>4</v>
      </c>
      <c r="J173" s="216">
        <f t="shared" si="20"/>
        <v>0.59833333333333327</v>
      </c>
    </row>
    <row r="174" spans="1:10" x14ac:dyDescent="0.25">
      <c r="A174" s="29">
        <v>2437</v>
      </c>
      <c r="B174" s="618">
        <v>0.34</v>
      </c>
      <c r="C174" s="652">
        <v>175</v>
      </c>
      <c r="D174" s="747">
        <f t="shared" si="18"/>
        <v>2.8000000000000004E-3</v>
      </c>
      <c r="E174" s="618">
        <v>0.68</v>
      </c>
      <c r="F174" s="652">
        <v>50</v>
      </c>
      <c r="G174" s="748">
        <f t="shared" si="19"/>
        <v>2.375E-2</v>
      </c>
      <c r="H174" s="618">
        <v>0.71</v>
      </c>
      <c r="I174" s="652">
        <v>4</v>
      </c>
      <c r="J174" s="216">
        <f t="shared" si="20"/>
        <v>0.59833333333333327</v>
      </c>
    </row>
    <row r="175" spans="1:10" x14ac:dyDescent="0.25">
      <c r="A175" s="29">
        <v>2438</v>
      </c>
      <c r="B175" s="618">
        <v>0.56000000000000005</v>
      </c>
      <c r="C175" s="652">
        <v>225</v>
      </c>
      <c r="D175" s="747">
        <f t="shared" si="18"/>
        <v>3.9000000000000003E-3</v>
      </c>
      <c r="E175" s="618">
        <v>3.63</v>
      </c>
      <c r="F175" s="652">
        <v>42.5</v>
      </c>
      <c r="G175" s="748">
        <f t="shared" si="19"/>
        <v>9.7500000000000003E-2</v>
      </c>
      <c r="H175" s="618">
        <v>0.71</v>
      </c>
      <c r="I175" s="652">
        <v>4</v>
      </c>
      <c r="J175" s="216">
        <f t="shared" si="20"/>
        <v>0.59833333333333327</v>
      </c>
    </row>
    <row r="176" spans="1:10" x14ac:dyDescent="0.25">
      <c r="A176" s="29">
        <v>2439</v>
      </c>
      <c r="B176" s="618">
        <v>0.31</v>
      </c>
      <c r="C176" s="652">
        <v>168.75</v>
      </c>
      <c r="D176" s="747">
        <f t="shared" si="18"/>
        <v>2.65E-3</v>
      </c>
      <c r="E176" s="618">
        <v>2.3199999999999998</v>
      </c>
      <c r="F176" s="652">
        <v>46.25</v>
      </c>
      <c r="G176" s="748">
        <f t="shared" si="19"/>
        <v>6.4750000000000002E-2</v>
      </c>
      <c r="H176" s="618">
        <v>0.35</v>
      </c>
      <c r="I176" s="652">
        <v>5.25</v>
      </c>
      <c r="J176" s="216">
        <f t="shared" si="20"/>
        <v>0.56833333333333325</v>
      </c>
    </row>
    <row r="177" spans="1:10" x14ac:dyDescent="0.25">
      <c r="A177" s="29">
        <v>2457</v>
      </c>
      <c r="B177" s="618">
        <v>0.5</v>
      </c>
      <c r="C177" s="652">
        <v>212.5</v>
      </c>
      <c r="D177" s="747">
        <f t="shared" si="18"/>
        <v>3.5999999999999999E-3</v>
      </c>
      <c r="E177" s="618">
        <v>0.52</v>
      </c>
      <c r="F177" s="652">
        <v>52.5</v>
      </c>
      <c r="G177" s="748">
        <f t="shared" si="19"/>
        <v>1.975E-2</v>
      </c>
      <c r="H177" s="618">
        <v>0.28000000000000003</v>
      </c>
      <c r="I177" s="652">
        <v>5.25</v>
      </c>
      <c r="J177" s="216">
        <f t="shared" si="20"/>
        <v>0.5625</v>
      </c>
    </row>
    <row r="178" spans="1:10" x14ac:dyDescent="0.25">
      <c r="A178" s="29">
        <v>2463</v>
      </c>
      <c r="B178" s="618">
        <v>-0.22</v>
      </c>
      <c r="C178" s="652">
        <v>50</v>
      </c>
      <c r="D178" s="747">
        <f t="shared" si="18"/>
        <v>0</v>
      </c>
      <c r="E178" s="618">
        <v>7.0000000000000007E-2</v>
      </c>
      <c r="F178" s="652">
        <v>60</v>
      </c>
      <c r="G178" s="748">
        <f t="shared" si="19"/>
        <v>8.5000000000000006E-3</v>
      </c>
      <c r="H178" s="618">
        <v>-6.47</v>
      </c>
      <c r="I178" s="652">
        <v>14</v>
      </c>
      <c r="J178" s="216">
        <f t="shared" si="20"/>
        <v>0</v>
      </c>
    </row>
    <row r="179" spans="1:10" x14ac:dyDescent="0.25">
      <c r="A179" s="29">
        <v>2464</v>
      </c>
      <c r="B179" s="618">
        <v>0.43</v>
      </c>
      <c r="C179" s="652">
        <v>200</v>
      </c>
      <c r="D179" s="747">
        <f t="shared" si="18"/>
        <v>3.2500000000000003E-3</v>
      </c>
      <c r="E179" s="618">
        <v>0.68</v>
      </c>
      <c r="F179" s="652">
        <v>50</v>
      </c>
      <c r="G179" s="748">
        <f t="shared" si="19"/>
        <v>2.375E-2</v>
      </c>
      <c r="H179" s="618">
        <v>1.3</v>
      </c>
      <c r="I179" s="652">
        <v>4</v>
      </c>
      <c r="J179" s="216">
        <f t="shared" si="20"/>
        <v>0.64749999999999996</v>
      </c>
    </row>
    <row r="180" spans="1:10" x14ac:dyDescent="0.25">
      <c r="A180" s="29">
        <v>2485</v>
      </c>
      <c r="B180" s="618">
        <v>0.43</v>
      </c>
      <c r="C180" s="652">
        <v>200</v>
      </c>
      <c r="D180" s="747">
        <f t="shared" si="18"/>
        <v>3.2500000000000003E-3</v>
      </c>
      <c r="E180" s="618">
        <v>0.68</v>
      </c>
      <c r="F180" s="652">
        <v>50</v>
      </c>
      <c r="G180" s="748">
        <f t="shared" si="19"/>
        <v>2.375E-2</v>
      </c>
      <c r="H180" s="618">
        <v>0.33</v>
      </c>
      <c r="I180" s="652">
        <v>5.25</v>
      </c>
      <c r="J180" s="216">
        <f t="shared" si="20"/>
        <v>0.56666666666666665</v>
      </c>
    </row>
    <row r="181" spans="1:10" x14ac:dyDescent="0.25">
      <c r="A181" s="29">
        <v>2494</v>
      </c>
      <c r="B181" s="618">
        <v>0.49</v>
      </c>
      <c r="C181" s="652">
        <v>212.5</v>
      </c>
      <c r="D181" s="747">
        <f t="shared" si="18"/>
        <v>3.5499999999999998E-3</v>
      </c>
      <c r="E181" s="618">
        <v>0.68</v>
      </c>
      <c r="F181" s="652">
        <v>50</v>
      </c>
      <c r="G181" s="748">
        <f t="shared" si="19"/>
        <v>2.375E-2</v>
      </c>
      <c r="H181" s="618">
        <v>0.71</v>
      </c>
      <c r="I181" s="652">
        <v>4</v>
      </c>
      <c r="J181" s="216">
        <f t="shared" si="20"/>
        <v>0.59833333333333327</v>
      </c>
    </row>
    <row r="182" spans="1:10" x14ac:dyDescent="0.25">
      <c r="A182" s="29">
        <v>2498</v>
      </c>
      <c r="B182" s="618">
        <v>0.43</v>
      </c>
      <c r="C182" s="652">
        <v>200</v>
      </c>
      <c r="D182" s="747">
        <f t="shared" si="18"/>
        <v>3.2500000000000003E-3</v>
      </c>
      <c r="E182" s="618">
        <v>0.09</v>
      </c>
      <c r="F182" s="652">
        <v>58.75</v>
      </c>
      <c r="G182" s="748">
        <f t="shared" si="19"/>
        <v>8.9999999999999993E-3</v>
      </c>
      <c r="H182" s="618">
        <v>-0.17</v>
      </c>
      <c r="I182" s="652">
        <v>6</v>
      </c>
      <c r="J182" s="216">
        <f t="shared" si="20"/>
        <v>0.52500000000000002</v>
      </c>
    </row>
    <row r="183" spans="1:10" x14ac:dyDescent="0.25">
      <c r="A183" s="29">
        <v>2515</v>
      </c>
      <c r="B183" s="618">
        <v>0.42</v>
      </c>
      <c r="C183" s="652">
        <v>193.75</v>
      </c>
      <c r="D183" s="747">
        <f t="shared" si="18"/>
        <v>3.2000000000000002E-3</v>
      </c>
      <c r="E183" s="618">
        <v>0.64</v>
      </c>
      <c r="F183" s="652">
        <v>51.25</v>
      </c>
      <c r="G183" s="748">
        <f t="shared" si="19"/>
        <v>2.2749999999999999E-2</v>
      </c>
      <c r="H183" s="618">
        <v>0.69</v>
      </c>
      <c r="I183" s="652">
        <v>4.25</v>
      </c>
      <c r="J183" s="216">
        <f t="shared" si="20"/>
        <v>0.59666666666666668</v>
      </c>
    </row>
    <row r="184" spans="1:10" x14ac:dyDescent="0.25">
      <c r="A184" s="29">
        <v>2521</v>
      </c>
      <c r="B184" s="618">
        <v>0.53</v>
      </c>
      <c r="C184" s="652">
        <v>218.75</v>
      </c>
      <c r="D184" s="747">
        <f t="shared" si="18"/>
        <v>3.7499999999999999E-3</v>
      </c>
      <c r="E184" s="618">
        <v>4.38</v>
      </c>
      <c r="F184" s="652">
        <v>40</v>
      </c>
      <c r="G184" s="748">
        <f t="shared" si="19"/>
        <v>0.11625000000000001</v>
      </c>
      <c r="H184" s="618">
        <v>0.63</v>
      </c>
      <c r="I184" s="652">
        <v>4.25</v>
      </c>
      <c r="J184" s="216">
        <f t="shared" si="20"/>
        <v>0.59166666666666667</v>
      </c>
    </row>
    <row r="185" spans="1:10" x14ac:dyDescent="0.25">
      <c r="A185" s="29">
        <v>2526</v>
      </c>
      <c r="B185" s="618">
        <v>0.43</v>
      </c>
      <c r="C185" s="652">
        <v>200</v>
      </c>
      <c r="D185" s="747">
        <f t="shared" si="18"/>
        <v>3.2500000000000003E-3</v>
      </c>
      <c r="E185" s="618">
        <v>0.24</v>
      </c>
      <c r="F185" s="652">
        <v>57.5</v>
      </c>
      <c r="G185" s="748">
        <f t="shared" si="19"/>
        <v>1.2750000000000001E-2</v>
      </c>
      <c r="H185" s="618">
        <v>0.71</v>
      </c>
      <c r="I185" s="652">
        <v>4</v>
      </c>
      <c r="J185" s="216">
        <f t="shared" si="20"/>
        <v>0.59833333333333327</v>
      </c>
    </row>
    <row r="186" spans="1:10" x14ac:dyDescent="0.25">
      <c r="A186" s="29">
        <v>2618</v>
      </c>
      <c r="B186" s="618">
        <v>0.55000000000000004</v>
      </c>
      <c r="C186" s="652">
        <v>225</v>
      </c>
      <c r="D186" s="747">
        <f t="shared" si="18"/>
        <v>3.8500000000000001E-3</v>
      </c>
      <c r="E186" s="618">
        <v>0.68</v>
      </c>
      <c r="F186" s="652">
        <v>50</v>
      </c>
      <c r="G186" s="748">
        <f t="shared" si="19"/>
        <v>2.375E-2</v>
      </c>
      <c r="H186" s="618">
        <v>0.71</v>
      </c>
      <c r="I186" s="652">
        <v>4</v>
      </c>
      <c r="J186" s="216">
        <f t="shared" si="20"/>
        <v>0.59833333333333327</v>
      </c>
    </row>
    <row r="187" spans="1:10" x14ac:dyDescent="0.25">
      <c r="A187" s="29">
        <v>2627</v>
      </c>
      <c r="B187" s="618">
        <v>0.4</v>
      </c>
      <c r="C187" s="652">
        <v>193.75</v>
      </c>
      <c r="D187" s="747">
        <f t="shared" si="18"/>
        <v>3.0999999999999999E-3</v>
      </c>
      <c r="E187" s="618">
        <v>0.96</v>
      </c>
      <c r="F187" s="652">
        <v>50</v>
      </c>
      <c r="G187" s="748">
        <f t="shared" si="19"/>
        <v>3.075E-2</v>
      </c>
      <c r="H187" s="618">
        <v>0.16</v>
      </c>
      <c r="I187" s="652">
        <v>5.75</v>
      </c>
      <c r="J187" s="216">
        <f t="shared" si="20"/>
        <v>0.55249999999999999</v>
      </c>
    </row>
    <row r="188" spans="1:10" x14ac:dyDescent="0.25">
      <c r="A188" s="29">
        <v>2630</v>
      </c>
      <c r="B188" s="618">
        <v>0.43</v>
      </c>
      <c r="C188" s="652">
        <v>200</v>
      </c>
      <c r="D188" s="747">
        <f t="shared" si="18"/>
        <v>3.2500000000000003E-3</v>
      </c>
      <c r="E188" s="618">
        <v>4.38</v>
      </c>
      <c r="F188" s="652">
        <v>40</v>
      </c>
      <c r="G188" s="748">
        <f t="shared" si="19"/>
        <v>0.11625000000000001</v>
      </c>
      <c r="H188" s="618">
        <v>-6.47</v>
      </c>
      <c r="I188" s="652">
        <v>14</v>
      </c>
      <c r="J188" s="216">
        <f t="shared" si="20"/>
        <v>0</v>
      </c>
    </row>
    <row r="189" spans="1:10" x14ac:dyDescent="0.25">
      <c r="A189" s="29">
        <v>2631</v>
      </c>
      <c r="B189" s="618">
        <v>0.37</v>
      </c>
      <c r="C189" s="652">
        <v>181.25</v>
      </c>
      <c r="D189" s="747">
        <f t="shared" si="18"/>
        <v>2.9499999999999999E-3</v>
      </c>
      <c r="E189" s="618">
        <v>3.13</v>
      </c>
      <c r="F189" s="652">
        <v>43.75</v>
      </c>
      <c r="G189" s="748">
        <f t="shared" si="19"/>
        <v>8.4999999999999992E-2</v>
      </c>
      <c r="H189" s="618">
        <v>0.4</v>
      </c>
      <c r="I189" s="652">
        <v>5</v>
      </c>
      <c r="J189" s="216">
        <f t="shared" si="20"/>
        <v>0.57250000000000001</v>
      </c>
    </row>
    <row r="190" spans="1:10" x14ac:dyDescent="0.25">
      <c r="A190" s="29">
        <v>2634</v>
      </c>
      <c r="B190" s="618">
        <v>0.43</v>
      </c>
      <c r="C190" s="652">
        <v>200</v>
      </c>
      <c r="D190" s="747">
        <f t="shared" si="18"/>
        <v>3.2500000000000003E-3</v>
      </c>
      <c r="E190" s="618">
        <v>2.02</v>
      </c>
      <c r="F190" s="652">
        <v>47.5</v>
      </c>
      <c r="G190" s="748">
        <f t="shared" si="19"/>
        <v>5.7250000000000002E-2</v>
      </c>
      <c r="H190" s="618">
        <v>0.71</v>
      </c>
      <c r="I190" s="652">
        <v>4</v>
      </c>
      <c r="J190" s="216">
        <f t="shared" si="20"/>
        <v>0.59833333333333327</v>
      </c>
    </row>
    <row r="191" spans="1:10" x14ac:dyDescent="0.25">
      <c r="A191" s="29">
        <v>2647</v>
      </c>
      <c r="B191" s="618">
        <v>0.15</v>
      </c>
      <c r="C191" s="652">
        <v>131.25</v>
      </c>
      <c r="D191" s="747">
        <f t="shared" si="18"/>
        <v>1.8500000000000001E-3</v>
      </c>
      <c r="E191" s="618">
        <v>0.68</v>
      </c>
      <c r="F191" s="652">
        <v>50</v>
      </c>
      <c r="G191" s="748">
        <f t="shared" si="19"/>
        <v>2.375E-2</v>
      </c>
      <c r="H191" s="618">
        <v>0.71</v>
      </c>
      <c r="I191" s="652">
        <v>4</v>
      </c>
      <c r="J191" s="216">
        <f t="shared" si="20"/>
        <v>0.59833333333333327</v>
      </c>
    </row>
    <row r="192" spans="1:10" x14ac:dyDescent="0.25">
      <c r="A192" s="29">
        <v>2684</v>
      </c>
      <c r="B192" s="618">
        <v>0.5</v>
      </c>
      <c r="C192" s="652">
        <v>212.5</v>
      </c>
      <c r="D192" s="747">
        <f t="shared" si="18"/>
        <v>3.5999999999999999E-3</v>
      </c>
      <c r="E192" s="618">
        <v>0.67</v>
      </c>
      <c r="F192" s="652">
        <v>51.25</v>
      </c>
      <c r="G192" s="748">
        <f t="shared" si="19"/>
        <v>2.35E-2</v>
      </c>
      <c r="H192" s="618">
        <v>0.71</v>
      </c>
      <c r="I192" s="652">
        <v>4</v>
      </c>
      <c r="J192" s="216">
        <f t="shared" si="20"/>
        <v>0.59833333333333327</v>
      </c>
    </row>
    <row r="193" spans="1:10" x14ac:dyDescent="0.25">
      <c r="A193" s="29">
        <v>2689</v>
      </c>
      <c r="B193" s="618">
        <v>0.43</v>
      </c>
      <c r="C193" s="652">
        <v>200</v>
      </c>
      <c r="D193" s="747">
        <f t="shared" si="18"/>
        <v>3.2500000000000003E-3</v>
      </c>
      <c r="E193" s="618">
        <v>1.06</v>
      </c>
      <c r="F193" s="652">
        <v>50</v>
      </c>
      <c r="G193" s="748">
        <f t="shared" si="19"/>
        <v>3.3250000000000002E-2</v>
      </c>
      <c r="H193" s="618">
        <v>1.3</v>
      </c>
      <c r="I193" s="652">
        <v>4</v>
      </c>
      <c r="J193" s="216">
        <f t="shared" si="20"/>
        <v>0.64749999999999996</v>
      </c>
    </row>
    <row r="194" spans="1:10" x14ac:dyDescent="0.25">
      <c r="A194" s="29">
        <v>2694</v>
      </c>
      <c r="B194" s="618">
        <v>0.43</v>
      </c>
      <c r="C194" s="652">
        <v>200</v>
      </c>
      <c r="D194" s="747">
        <f t="shared" si="18"/>
        <v>3.2500000000000003E-3</v>
      </c>
      <c r="E194" s="618">
        <v>0.68</v>
      </c>
      <c r="F194" s="652">
        <v>50</v>
      </c>
      <c r="G194" s="748">
        <f t="shared" si="19"/>
        <v>2.375E-2</v>
      </c>
      <c r="H194" s="618">
        <v>0.71</v>
      </c>
      <c r="I194" s="652">
        <v>4</v>
      </c>
      <c r="J194" s="216">
        <f t="shared" si="20"/>
        <v>0.59833333333333327</v>
      </c>
    </row>
    <row r="195" spans="1:10" x14ac:dyDescent="0.25">
      <c r="A195" s="29">
        <v>2695</v>
      </c>
      <c r="B195" s="618">
        <v>0.43</v>
      </c>
      <c r="C195" s="652">
        <v>200</v>
      </c>
      <c r="D195" s="747">
        <f t="shared" si="18"/>
        <v>3.2500000000000003E-3</v>
      </c>
      <c r="E195" s="618">
        <v>1.94</v>
      </c>
      <c r="F195" s="652">
        <v>47.5</v>
      </c>
      <c r="G195" s="748">
        <f t="shared" si="19"/>
        <v>5.525E-2</v>
      </c>
      <c r="H195" s="618">
        <v>2.67</v>
      </c>
      <c r="I195" s="652">
        <v>3.75</v>
      </c>
      <c r="J195" s="216">
        <f t="shared" si="20"/>
        <v>0.76166666666666671</v>
      </c>
    </row>
    <row r="196" spans="1:10" x14ac:dyDescent="0.25">
      <c r="A196" s="29">
        <v>2701</v>
      </c>
      <c r="B196" s="618">
        <v>0.5</v>
      </c>
      <c r="C196" s="652">
        <v>212.5</v>
      </c>
      <c r="D196" s="747">
        <f t="shared" si="18"/>
        <v>3.5999999999999999E-3</v>
      </c>
      <c r="E196" s="618">
        <v>2.02</v>
      </c>
      <c r="F196" s="652">
        <v>47.5</v>
      </c>
      <c r="G196" s="748">
        <f t="shared" si="19"/>
        <v>5.7250000000000002E-2</v>
      </c>
      <c r="H196" s="618">
        <v>1.01</v>
      </c>
      <c r="I196" s="652">
        <v>4</v>
      </c>
      <c r="J196" s="216">
        <f t="shared" si="20"/>
        <v>0.62333333333333329</v>
      </c>
    </row>
    <row r="197" spans="1:10" x14ac:dyDescent="0.25">
      <c r="A197" s="29">
        <v>2705</v>
      </c>
      <c r="B197" s="618">
        <v>0.43</v>
      </c>
      <c r="C197" s="652">
        <v>200</v>
      </c>
      <c r="D197" s="747">
        <f t="shared" si="18"/>
        <v>3.2500000000000003E-3</v>
      </c>
      <c r="E197" s="618">
        <v>0.37</v>
      </c>
      <c r="F197" s="652">
        <v>55</v>
      </c>
      <c r="G197" s="748">
        <f t="shared" si="19"/>
        <v>1.6E-2</v>
      </c>
      <c r="H197" s="618">
        <v>0.71</v>
      </c>
      <c r="I197" s="652">
        <v>4</v>
      </c>
      <c r="J197" s="216">
        <f t="shared" si="20"/>
        <v>0.59833333333333327</v>
      </c>
    </row>
    <row r="198" spans="1:10" x14ac:dyDescent="0.25">
      <c r="A198" s="29">
        <v>2709</v>
      </c>
      <c r="B198" s="618">
        <v>0.56000000000000005</v>
      </c>
      <c r="C198" s="652">
        <v>225</v>
      </c>
      <c r="D198" s="747">
        <f t="shared" si="18"/>
        <v>3.9000000000000003E-3</v>
      </c>
      <c r="E198" s="618">
        <v>0.68</v>
      </c>
      <c r="F198" s="652">
        <v>50</v>
      </c>
      <c r="G198" s="748">
        <f t="shared" si="19"/>
        <v>2.375E-2</v>
      </c>
      <c r="H198" s="618">
        <v>0.71</v>
      </c>
      <c r="I198" s="652">
        <v>4</v>
      </c>
      <c r="J198" s="216">
        <f t="shared" si="20"/>
        <v>0.59833333333333327</v>
      </c>
    </row>
    <row r="199" spans="1:10" x14ac:dyDescent="0.25">
      <c r="A199" s="29">
        <v>2721</v>
      </c>
      <c r="B199" s="618">
        <v>0.5</v>
      </c>
      <c r="C199" s="652">
        <v>212.5</v>
      </c>
      <c r="D199" s="747">
        <f t="shared" si="18"/>
        <v>3.5999999999999999E-3</v>
      </c>
      <c r="E199" s="618">
        <v>1.06</v>
      </c>
      <c r="F199" s="652">
        <v>50</v>
      </c>
      <c r="G199" s="748">
        <f t="shared" si="19"/>
        <v>3.3250000000000002E-2</v>
      </c>
      <c r="H199" s="618">
        <v>0.71</v>
      </c>
      <c r="I199" s="652">
        <v>4</v>
      </c>
      <c r="J199" s="216">
        <f t="shared" si="20"/>
        <v>0.59833333333333327</v>
      </c>
    </row>
    <row r="200" spans="1:10" x14ac:dyDescent="0.25">
      <c r="A200" s="29">
        <v>2783</v>
      </c>
      <c r="B200" s="618">
        <v>0.25</v>
      </c>
      <c r="C200" s="652">
        <v>156.25</v>
      </c>
      <c r="D200" s="747">
        <f t="shared" si="18"/>
        <v>2.3499999999999997E-3</v>
      </c>
      <c r="E200" s="618">
        <v>1.64</v>
      </c>
      <c r="F200" s="652">
        <v>47.5</v>
      </c>
      <c r="G200" s="748">
        <f t="shared" si="19"/>
        <v>4.7750000000000001E-2</v>
      </c>
      <c r="H200" s="618">
        <v>0.2</v>
      </c>
      <c r="I200" s="652">
        <v>5.25</v>
      </c>
      <c r="J200" s="216">
        <f t="shared" si="20"/>
        <v>0.55583333333333329</v>
      </c>
    </row>
    <row r="201" spans="1:10" x14ac:dyDescent="0.25">
      <c r="A201" s="29">
        <v>2786</v>
      </c>
      <c r="B201" s="618">
        <v>0.26</v>
      </c>
      <c r="C201" s="652">
        <v>156.25</v>
      </c>
      <c r="D201" s="747">
        <f t="shared" si="18"/>
        <v>2.3999999999999998E-3</v>
      </c>
      <c r="E201" s="618">
        <v>0.34</v>
      </c>
      <c r="F201" s="652">
        <v>55</v>
      </c>
      <c r="G201" s="748">
        <f t="shared" si="19"/>
        <v>1.5250000000000003E-2</v>
      </c>
      <c r="H201" s="618">
        <v>0.71</v>
      </c>
      <c r="I201" s="652">
        <v>4</v>
      </c>
      <c r="J201" s="216">
        <f t="shared" si="20"/>
        <v>0.59833333333333327</v>
      </c>
    </row>
    <row r="202" spans="1:10" x14ac:dyDescent="0.25">
      <c r="A202" s="29">
        <v>2798</v>
      </c>
      <c r="B202" s="618">
        <v>0.23</v>
      </c>
      <c r="C202" s="652">
        <v>150</v>
      </c>
      <c r="D202" s="747">
        <f t="shared" si="18"/>
        <v>2.2500000000000003E-3</v>
      </c>
      <c r="E202" s="618">
        <v>0.42</v>
      </c>
      <c r="F202" s="652">
        <v>55</v>
      </c>
      <c r="G202" s="748">
        <f t="shared" si="19"/>
        <v>1.7249999999999998E-2</v>
      </c>
      <c r="H202" s="618">
        <v>-2.1</v>
      </c>
      <c r="I202" s="652">
        <v>9</v>
      </c>
      <c r="J202" s="216">
        <f t="shared" si="20"/>
        <v>0.36416666666666658</v>
      </c>
    </row>
    <row r="203" spans="1:10" x14ac:dyDescent="0.25">
      <c r="A203" s="29">
        <v>2799</v>
      </c>
      <c r="B203" s="618">
        <v>0.65</v>
      </c>
      <c r="C203" s="652">
        <v>250</v>
      </c>
      <c r="D203" s="747">
        <f t="shared" si="18"/>
        <v>4.3499999999999997E-3</v>
      </c>
      <c r="E203" s="618">
        <v>4.38</v>
      </c>
      <c r="F203" s="652">
        <v>40</v>
      </c>
      <c r="G203" s="748">
        <f t="shared" si="19"/>
        <v>0.11625000000000001</v>
      </c>
      <c r="H203" s="618">
        <v>0.71</v>
      </c>
      <c r="I203" s="652">
        <v>4</v>
      </c>
      <c r="J203" s="216">
        <f t="shared" si="20"/>
        <v>0.59833333333333327</v>
      </c>
    </row>
    <row r="204" spans="1:10" x14ac:dyDescent="0.25">
      <c r="A204" s="29">
        <v>2804</v>
      </c>
      <c r="B204" s="618">
        <v>0.51</v>
      </c>
      <c r="C204" s="652">
        <v>218.75</v>
      </c>
      <c r="D204" s="747">
        <f t="shared" si="18"/>
        <v>3.65E-3</v>
      </c>
      <c r="E204" s="618">
        <v>1.64</v>
      </c>
      <c r="F204" s="652">
        <v>47.5</v>
      </c>
      <c r="G204" s="748">
        <f t="shared" si="19"/>
        <v>4.7750000000000001E-2</v>
      </c>
      <c r="H204" s="618">
        <v>0.71</v>
      </c>
      <c r="I204" s="652">
        <v>4</v>
      </c>
      <c r="J204" s="216">
        <f t="shared" si="20"/>
        <v>0.59833333333333327</v>
      </c>
    </row>
    <row r="205" spans="1:10" x14ac:dyDescent="0.25">
      <c r="A205" s="29">
        <v>2820</v>
      </c>
      <c r="B205" s="618">
        <v>0.32</v>
      </c>
      <c r="C205" s="652">
        <v>168.75</v>
      </c>
      <c r="D205" s="747">
        <f t="shared" si="18"/>
        <v>2.7000000000000001E-3</v>
      </c>
      <c r="E205" s="618">
        <v>3.04</v>
      </c>
      <c r="F205" s="652">
        <v>43.75</v>
      </c>
      <c r="G205" s="748">
        <f t="shared" si="19"/>
        <v>8.2750000000000004E-2</v>
      </c>
      <c r="H205" s="618">
        <v>0.71</v>
      </c>
      <c r="I205" s="652">
        <v>4</v>
      </c>
      <c r="J205" s="216">
        <f t="shared" si="20"/>
        <v>0.59833333333333327</v>
      </c>
    </row>
    <row r="206" spans="1:10" x14ac:dyDescent="0.25">
      <c r="A206" s="29">
        <v>2863</v>
      </c>
      <c r="B206" s="618">
        <v>0.46</v>
      </c>
      <c r="C206" s="652">
        <v>206.25</v>
      </c>
      <c r="D206" s="747">
        <f t="shared" si="18"/>
        <v>3.4000000000000002E-3</v>
      </c>
      <c r="E206" s="618">
        <v>0.34</v>
      </c>
      <c r="F206" s="652">
        <v>55</v>
      </c>
      <c r="G206" s="748">
        <f t="shared" si="19"/>
        <v>1.5250000000000003E-2</v>
      </c>
      <c r="H206" s="618">
        <v>0.71</v>
      </c>
      <c r="I206" s="652">
        <v>4</v>
      </c>
      <c r="J206" s="216">
        <f t="shared" si="20"/>
        <v>0.59833333333333327</v>
      </c>
    </row>
    <row r="207" spans="1:10" x14ac:dyDescent="0.25">
      <c r="A207" s="29">
        <v>2872</v>
      </c>
      <c r="B207" s="618">
        <v>0.63</v>
      </c>
      <c r="C207" s="652">
        <v>243.75</v>
      </c>
      <c r="D207" s="747">
        <f t="shared" si="18"/>
        <v>4.2500000000000003E-3</v>
      </c>
      <c r="E207" s="618">
        <v>0.68</v>
      </c>
      <c r="F207" s="652">
        <v>50</v>
      </c>
      <c r="G207" s="748">
        <f t="shared" si="19"/>
        <v>2.375E-2</v>
      </c>
      <c r="H207" s="618">
        <v>0.71</v>
      </c>
      <c r="I207" s="652">
        <v>4</v>
      </c>
      <c r="J207" s="216">
        <f t="shared" si="20"/>
        <v>0.59833333333333327</v>
      </c>
    </row>
    <row r="208" spans="1:10" x14ac:dyDescent="0.25">
      <c r="A208" s="29">
        <v>2901</v>
      </c>
      <c r="B208" s="618">
        <v>0.4</v>
      </c>
      <c r="C208" s="652">
        <v>193.75</v>
      </c>
      <c r="D208" s="747">
        <f t="shared" si="18"/>
        <v>3.0999999999999999E-3</v>
      </c>
      <c r="E208" s="618">
        <v>1.54</v>
      </c>
      <c r="F208" s="652">
        <v>48.75</v>
      </c>
      <c r="G208" s="748">
        <f t="shared" si="19"/>
        <v>4.5249999999999999E-2</v>
      </c>
      <c r="H208" s="618">
        <v>0.71</v>
      </c>
      <c r="I208" s="652">
        <v>4</v>
      </c>
      <c r="J208" s="216">
        <f t="shared" si="20"/>
        <v>0.59833333333333327</v>
      </c>
    </row>
    <row r="209" spans="1:10" x14ac:dyDescent="0.25">
      <c r="A209" s="29">
        <v>2912</v>
      </c>
      <c r="B209" s="618">
        <v>-0.09</v>
      </c>
      <c r="C209" s="652">
        <v>75</v>
      </c>
      <c r="D209" s="747">
        <f t="shared" ref="D209:D272" si="24">(B209-Lowest_bill_SSW_protecting_wildlife)/(Highest_servicelevel_SSW_protecting_wildlife-Lowest_servicelevel_SSW_protecting_wildlife)</f>
        <v>6.4999999999999997E-4</v>
      </c>
      <c r="E209" s="618">
        <v>0.09</v>
      </c>
      <c r="F209" s="652">
        <v>58.75</v>
      </c>
      <c r="G209" s="748">
        <f t="shared" ref="G209:G272" si="25">(E209-Lowest_bill_SSW_leakage)/(Highest_servicelevel_SSW_leakage-Lowest_servicelevel_SSW_leakage)</f>
        <v>8.9999999999999993E-3</v>
      </c>
      <c r="H209" s="618">
        <v>0.71</v>
      </c>
      <c r="I209" s="652">
        <v>4</v>
      </c>
      <c r="J209" s="216">
        <f t="shared" ref="J209:J272" si="26">(H209-Lowest_bill_SSW_interruptions)/(Highest_servicelevel_SSW_interruptions-Lowest_servicelevel_SSW_interruptions)</f>
        <v>0.59833333333333327</v>
      </c>
    </row>
    <row r="210" spans="1:10" x14ac:dyDescent="0.25">
      <c r="A210" s="29">
        <v>2937</v>
      </c>
      <c r="B210" s="618">
        <v>0.43</v>
      </c>
      <c r="C210" s="652">
        <v>200</v>
      </c>
      <c r="D210" s="747">
        <f t="shared" si="24"/>
        <v>3.2500000000000003E-3</v>
      </c>
      <c r="E210" s="618">
        <v>1.38</v>
      </c>
      <c r="F210" s="652">
        <v>48.75</v>
      </c>
      <c r="G210" s="748">
        <f t="shared" si="25"/>
        <v>4.1249999999999995E-2</v>
      </c>
      <c r="H210" s="618">
        <v>0.71</v>
      </c>
      <c r="I210" s="652">
        <v>4</v>
      </c>
      <c r="J210" s="216">
        <f t="shared" si="26"/>
        <v>0.59833333333333327</v>
      </c>
    </row>
    <row r="211" spans="1:10" x14ac:dyDescent="0.25">
      <c r="A211" s="29">
        <v>2943</v>
      </c>
      <c r="B211" s="618">
        <v>0.43</v>
      </c>
      <c r="C211" s="652">
        <v>200</v>
      </c>
      <c r="D211" s="747">
        <f t="shared" si="24"/>
        <v>3.2500000000000003E-3</v>
      </c>
      <c r="E211" s="618">
        <v>0.68</v>
      </c>
      <c r="F211" s="652">
        <v>50</v>
      </c>
      <c r="G211" s="748">
        <f t="shared" si="25"/>
        <v>2.375E-2</v>
      </c>
      <c r="H211" s="618">
        <v>0.71</v>
      </c>
      <c r="I211" s="652">
        <v>4</v>
      </c>
      <c r="J211" s="216">
        <f t="shared" si="26"/>
        <v>0.59833333333333327</v>
      </c>
    </row>
    <row r="212" spans="1:10" x14ac:dyDescent="0.25">
      <c r="A212" s="29">
        <v>2945</v>
      </c>
      <c r="B212" s="618">
        <v>0.4</v>
      </c>
      <c r="C212" s="652">
        <v>193.75</v>
      </c>
      <c r="D212" s="747">
        <f t="shared" si="24"/>
        <v>3.0999999999999999E-3</v>
      </c>
      <c r="E212" s="618">
        <v>0.68</v>
      </c>
      <c r="F212" s="652">
        <v>50</v>
      </c>
      <c r="G212" s="748">
        <f t="shared" si="25"/>
        <v>2.375E-2</v>
      </c>
      <c r="H212" s="618">
        <v>0.71</v>
      </c>
      <c r="I212" s="652">
        <v>4</v>
      </c>
      <c r="J212" s="216">
        <f t="shared" si="26"/>
        <v>0.59833333333333327</v>
      </c>
    </row>
    <row r="213" spans="1:10" x14ac:dyDescent="0.25">
      <c r="A213" s="29">
        <v>2976</v>
      </c>
      <c r="B213" s="618">
        <v>0.65</v>
      </c>
      <c r="C213" s="652">
        <v>250</v>
      </c>
      <c r="D213" s="747">
        <f t="shared" si="24"/>
        <v>4.3499999999999997E-3</v>
      </c>
      <c r="E213" s="618">
        <v>3.82</v>
      </c>
      <c r="F213" s="652">
        <v>42.5</v>
      </c>
      <c r="G213" s="748">
        <f t="shared" si="25"/>
        <v>0.10224999999999999</v>
      </c>
      <c r="H213" s="618">
        <v>0.15</v>
      </c>
      <c r="I213" s="652">
        <v>5.75</v>
      </c>
      <c r="J213" s="216">
        <f t="shared" si="26"/>
        <v>0.55166666666666664</v>
      </c>
    </row>
    <row r="214" spans="1:10" x14ac:dyDescent="0.25">
      <c r="A214" s="29">
        <v>2977</v>
      </c>
      <c r="B214" s="618">
        <v>0.43</v>
      </c>
      <c r="C214" s="652">
        <v>200</v>
      </c>
      <c r="D214" s="747">
        <f t="shared" si="24"/>
        <v>3.2500000000000003E-3</v>
      </c>
      <c r="E214" s="618">
        <v>0.68</v>
      </c>
      <c r="F214" s="652">
        <v>50</v>
      </c>
      <c r="G214" s="748">
        <f t="shared" si="25"/>
        <v>2.375E-2</v>
      </c>
      <c r="H214" s="618">
        <v>0.71</v>
      </c>
      <c r="I214" s="652">
        <v>4</v>
      </c>
      <c r="J214" s="216">
        <f t="shared" si="26"/>
        <v>0.59833333333333327</v>
      </c>
    </row>
    <row r="215" spans="1:10" x14ac:dyDescent="0.25">
      <c r="A215" s="29">
        <v>2983</v>
      </c>
      <c r="B215" s="618">
        <v>0.11</v>
      </c>
      <c r="C215" s="652">
        <v>125</v>
      </c>
      <c r="D215" s="747">
        <f t="shared" si="24"/>
        <v>1.65E-3</v>
      </c>
      <c r="E215" s="618">
        <v>0.68</v>
      </c>
      <c r="F215" s="652">
        <v>50</v>
      </c>
      <c r="G215" s="748">
        <f t="shared" si="25"/>
        <v>2.375E-2</v>
      </c>
      <c r="H215" s="618">
        <v>0.71</v>
      </c>
      <c r="I215" s="652">
        <v>4</v>
      </c>
      <c r="J215" s="216">
        <f t="shared" si="26"/>
        <v>0.59833333333333327</v>
      </c>
    </row>
    <row r="216" spans="1:10" x14ac:dyDescent="0.25">
      <c r="A216" s="29">
        <v>2994</v>
      </c>
      <c r="B216" s="618">
        <v>0.43</v>
      </c>
      <c r="C216" s="652">
        <v>200</v>
      </c>
      <c r="D216" s="747">
        <f t="shared" si="24"/>
        <v>3.2500000000000003E-3</v>
      </c>
      <c r="E216" s="618">
        <v>0.34</v>
      </c>
      <c r="F216" s="652">
        <v>55</v>
      </c>
      <c r="G216" s="748">
        <f t="shared" si="25"/>
        <v>1.5250000000000003E-2</v>
      </c>
      <c r="H216" s="618">
        <v>0.71</v>
      </c>
      <c r="I216" s="652">
        <v>4</v>
      </c>
      <c r="J216" s="216">
        <f t="shared" si="26"/>
        <v>0.59833333333333327</v>
      </c>
    </row>
    <row r="217" spans="1:10" x14ac:dyDescent="0.25">
      <c r="A217" s="29">
        <v>3030</v>
      </c>
      <c r="B217" s="618">
        <v>0.46</v>
      </c>
      <c r="C217" s="652">
        <v>206.25</v>
      </c>
      <c r="D217" s="747">
        <f t="shared" si="24"/>
        <v>3.4000000000000002E-3</v>
      </c>
      <c r="E217" s="618">
        <v>0.99</v>
      </c>
      <c r="F217" s="652">
        <v>50</v>
      </c>
      <c r="G217" s="748">
        <f t="shared" si="25"/>
        <v>3.15E-2</v>
      </c>
      <c r="H217" s="618">
        <v>0.71</v>
      </c>
      <c r="I217" s="652">
        <v>4</v>
      </c>
      <c r="J217" s="216">
        <f t="shared" si="26"/>
        <v>0.59833333333333327</v>
      </c>
    </row>
    <row r="218" spans="1:10" x14ac:dyDescent="0.25">
      <c r="A218" s="29">
        <v>3033</v>
      </c>
      <c r="B218" s="618">
        <v>0.43</v>
      </c>
      <c r="C218" s="652">
        <v>200</v>
      </c>
      <c r="D218" s="747">
        <f t="shared" si="24"/>
        <v>3.2500000000000003E-3</v>
      </c>
      <c r="E218" s="618">
        <v>0.68</v>
      </c>
      <c r="F218" s="652">
        <v>50</v>
      </c>
      <c r="G218" s="748">
        <f t="shared" si="25"/>
        <v>2.375E-2</v>
      </c>
      <c r="H218" s="618">
        <v>0.68</v>
      </c>
      <c r="I218" s="652">
        <v>4.25</v>
      </c>
      <c r="J218" s="216">
        <f t="shared" si="26"/>
        <v>0.59583333333333333</v>
      </c>
    </row>
    <row r="219" spans="1:10" x14ac:dyDescent="0.25">
      <c r="A219" s="29">
        <v>3034</v>
      </c>
      <c r="B219" s="618">
        <v>-0.01</v>
      </c>
      <c r="C219" s="652">
        <v>93.75</v>
      </c>
      <c r="D219" s="747">
        <f t="shared" si="24"/>
        <v>1.0499999999999999E-3</v>
      </c>
      <c r="E219" s="618">
        <v>4.38</v>
      </c>
      <c r="F219" s="652">
        <v>40</v>
      </c>
      <c r="G219" s="748">
        <f t="shared" si="25"/>
        <v>0.11625000000000001</v>
      </c>
      <c r="H219" s="618">
        <v>6.47</v>
      </c>
      <c r="I219" s="652">
        <v>2</v>
      </c>
      <c r="J219" s="216">
        <f t="shared" si="26"/>
        <v>1.0783333333333334</v>
      </c>
    </row>
    <row r="220" spans="1:10" x14ac:dyDescent="0.25">
      <c r="A220" s="29">
        <v>3054</v>
      </c>
      <c r="B220" s="618">
        <v>0.36</v>
      </c>
      <c r="C220" s="652">
        <v>181.25</v>
      </c>
      <c r="D220" s="747">
        <f t="shared" si="24"/>
        <v>2.8999999999999998E-3</v>
      </c>
      <c r="E220" s="618">
        <v>1.92</v>
      </c>
      <c r="F220" s="652">
        <v>47.5</v>
      </c>
      <c r="G220" s="748">
        <f t="shared" si="25"/>
        <v>5.475E-2</v>
      </c>
      <c r="H220" s="618">
        <v>0.5</v>
      </c>
      <c r="I220" s="652">
        <v>4.75</v>
      </c>
      <c r="J220" s="216">
        <f t="shared" si="26"/>
        <v>0.58083333333333331</v>
      </c>
    </row>
    <row r="221" spans="1:10" x14ac:dyDescent="0.25">
      <c r="A221" s="29">
        <v>3057</v>
      </c>
      <c r="B221" s="618">
        <v>0.45</v>
      </c>
      <c r="C221" s="652">
        <v>200</v>
      </c>
      <c r="D221" s="747">
        <f t="shared" si="24"/>
        <v>3.3500000000000001E-3</v>
      </c>
      <c r="E221" s="618">
        <v>0.68</v>
      </c>
      <c r="F221" s="652">
        <v>50</v>
      </c>
      <c r="G221" s="748">
        <f t="shared" si="25"/>
        <v>2.375E-2</v>
      </c>
      <c r="H221" s="618">
        <v>0.71</v>
      </c>
      <c r="I221" s="652">
        <v>4</v>
      </c>
      <c r="J221" s="216">
        <f t="shared" si="26"/>
        <v>0.59833333333333327</v>
      </c>
    </row>
    <row r="222" spans="1:10" x14ac:dyDescent="0.25">
      <c r="A222" s="29">
        <v>3059</v>
      </c>
      <c r="B222" s="618">
        <v>0.55000000000000004</v>
      </c>
      <c r="C222" s="652">
        <v>225</v>
      </c>
      <c r="D222" s="747">
        <f t="shared" si="24"/>
        <v>3.8500000000000001E-3</v>
      </c>
      <c r="E222" s="618">
        <v>0.96</v>
      </c>
      <c r="F222" s="652">
        <v>50</v>
      </c>
      <c r="G222" s="748">
        <f t="shared" si="25"/>
        <v>3.075E-2</v>
      </c>
      <c r="H222" s="618">
        <v>0.84</v>
      </c>
      <c r="I222" s="652">
        <v>4</v>
      </c>
      <c r="J222" s="216">
        <f t="shared" si="26"/>
        <v>0.60916666666666663</v>
      </c>
    </row>
    <row r="223" spans="1:10" x14ac:dyDescent="0.25">
      <c r="A223" s="29">
        <v>3060</v>
      </c>
      <c r="B223" s="618">
        <v>0.43</v>
      </c>
      <c r="C223" s="652">
        <v>200</v>
      </c>
      <c r="D223" s="747">
        <f t="shared" si="24"/>
        <v>3.2500000000000003E-3</v>
      </c>
      <c r="E223" s="618">
        <v>1.1399999999999999</v>
      </c>
      <c r="F223" s="652">
        <v>48.75</v>
      </c>
      <c r="G223" s="748">
        <f t="shared" si="25"/>
        <v>3.5249999999999997E-2</v>
      </c>
      <c r="H223" s="618">
        <v>0.95</v>
      </c>
      <c r="I223" s="652">
        <v>4</v>
      </c>
      <c r="J223" s="216">
        <f t="shared" si="26"/>
        <v>0.61833333333333329</v>
      </c>
    </row>
    <row r="224" spans="1:10" x14ac:dyDescent="0.25">
      <c r="A224" s="29">
        <v>3071</v>
      </c>
      <c r="B224" s="618">
        <v>0.43</v>
      </c>
      <c r="C224" s="652">
        <v>200</v>
      </c>
      <c r="D224" s="747">
        <f t="shared" si="24"/>
        <v>3.2500000000000003E-3</v>
      </c>
      <c r="E224" s="618">
        <v>0.68</v>
      </c>
      <c r="F224" s="652">
        <v>50</v>
      </c>
      <c r="G224" s="748">
        <f t="shared" si="25"/>
        <v>2.375E-2</v>
      </c>
      <c r="H224" s="618">
        <v>0.71</v>
      </c>
      <c r="I224" s="652">
        <v>4</v>
      </c>
      <c r="J224" s="216">
        <f t="shared" si="26"/>
        <v>0.59833333333333327</v>
      </c>
    </row>
    <row r="225" spans="1:10" x14ac:dyDescent="0.25">
      <c r="A225" s="29">
        <v>3079</v>
      </c>
      <c r="B225" s="618">
        <v>0.36</v>
      </c>
      <c r="C225" s="652">
        <v>181.25</v>
      </c>
      <c r="D225" s="747">
        <f t="shared" si="24"/>
        <v>2.8999999999999998E-3</v>
      </c>
      <c r="E225" s="618">
        <v>0.68</v>
      </c>
      <c r="F225" s="652">
        <v>50</v>
      </c>
      <c r="G225" s="748">
        <f t="shared" si="25"/>
        <v>2.375E-2</v>
      </c>
      <c r="H225" s="618">
        <v>0.71</v>
      </c>
      <c r="I225" s="652">
        <v>4</v>
      </c>
      <c r="J225" s="216">
        <f t="shared" si="26"/>
        <v>0.59833333333333327</v>
      </c>
    </row>
    <row r="226" spans="1:10" x14ac:dyDescent="0.25">
      <c r="A226" s="29">
        <v>3087</v>
      </c>
      <c r="B226" s="618">
        <v>0.4</v>
      </c>
      <c r="C226" s="652">
        <v>193.75</v>
      </c>
      <c r="D226" s="747">
        <f t="shared" si="24"/>
        <v>3.0999999999999999E-3</v>
      </c>
      <c r="E226" s="618">
        <v>0.68</v>
      </c>
      <c r="F226" s="652">
        <v>50</v>
      </c>
      <c r="G226" s="748">
        <f t="shared" si="25"/>
        <v>2.375E-2</v>
      </c>
      <c r="H226" s="618">
        <v>-4.59</v>
      </c>
      <c r="I226" s="652">
        <v>12</v>
      </c>
      <c r="J226" s="216">
        <f t="shared" si="26"/>
        <v>0.15666666666666665</v>
      </c>
    </row>
    <row r="227" spans="1:10" x14ac:dyDescent="0.25">
      <c r="A227" s="29">
        <v>3094</v>
      </c>
      <c r="B227" s="618">
        <v>0.45</v>
      </c>
      <c r="C227" s="652">
        <v>200</v>
      </c>
      <c r="D227" s="747">
        <f t="shared" si="24"/>
        <v>3.3500000000000001E-3</v>
      </c>
      <c r="E227" s="618">
        <v>0.49</v>
      </c>
      <c r="F227" s="652">
        <v>53.75</v>
      </c>
      <c r="G227" s="748">
        <f t="shared" si="25"/>
        <v>1.9E-2</v>
      </c>
      <c r="H227" s="618">
        <v>0.6</v>
      </c>
      <c r="I227" s="652">
        <v>4.75</v>
      </c>
      <c r="J227" s="216">
        <f t="shared" si="26"/>
        <v>0.58916666666666662</v>
      </c>
    </row>
    <row r="228" spans="1:10" x14ac:dyDescent="0.25">
      <c r="A228" s="29">
        <v>3097</v>
      </c>
      <c r="B228" s="618">
        <v>0.43</v>
      </c>
      <c r="C228" s="652">
        <v>200</v>
      </c>
      <c r="D228" s="747">
        <f t="shared" si="24"/>
        <v>3.2500000000000003E-3</v>
      </c>
      <c r="E228" s="618">
        <v>0.68</v>
      </c>
      <c r="F228" s="652">
        <v>50</v>
      </c>
      <c r="G228" s="748">
        <f t="shared" si="25"/>
        <v>2.375E-2</v>
      </c>
      <c r="H228" s="618">
        <v>0.71</v>
      </c>
      <c r="I228" s="652">
        <v>4</v>
      </c>
      <c r="J228" s="216">
        <f t="shared" si="26"/>
        <v>0.59833333333333327</v>
      </c>
    </row>
    <row r="229" spans="1:10" x14ac:dyDescent="0.25">
      <c r="A229" s="29">
        <v>3099</v>
      </c>
      <c r="B229" s="618">
        <v>0.49</v>
      </c>
      <c r="C229" s="652">
        <v>212.5</v>
      </c>
      <c r="D229" s="747">
        <f t="shared" si="24"/>
        <v>3.5499999999999998E-3</v>
      </c>
      <c r="E229" s="618">
        <v>4.38</v>
      </c>
      <c r="F229" s="652">
        <v>40</v>
      </c>
      <c r="G229" s="748">
        <f t="shared" si="25"/>
        <v>0.11625000000000001</v>
      </c>
      <c r="H229" s="618">
        <v>0.71</v>
      </c>
      <c r="I229" s="652">
        <v>4</v>
      </c>
      <c r="J229" s="216">
        <f t="shared" si="26"/>
        <v>0.59833333333333327</v>
      </c>
    </row>
    <row r="230" spans="1:10" x14ac:dyDescent="0.25">
      <c r="A230" s="29">
        <v>3102</v>
      </c>
      <c r="B230" s="618">
        <v>0.43</v>
      </c>
      <c r="C230" s="652">
        <v>200</v>
      </c>
      <c r="D230" s="747">
        <f t="shared" si="24"/>
        <v>3.2500000000000003E-3</v>
      </c>
      <c r="E230" s="618">
        <v>0.68</v>
      </c>
      <c r="F230" s="652">
        <v>50</v>
      </c>
      <c r="G230" s="748">
        <f t="shared" si="25"/>
        <v>2.375E-2</v>
      </c>
      <c r="H230" s="618">
        <v>-1.65</v>
      </c>
      <c r="I230" s="652">
        <v>8.5</v>
      </c>
      <c r="J230" s="216">
        <f t="shared" si="26"/>
        <v>0.40166666666666667</v>
      </c>
    </row>
    <row r="231" spans="1:10" x14ac:dyDescent="0.25">
      <c r="A231" s="29">
        <v>3109</v>
      </c>
      <c r="B231" s="618">
        <v>0.43</v>
      </c>
      <c r="C231" s="652">
        <v>200</v>
      </c>
      <c r="D231" s="747">
        <f t="shared" si="24"/>
        <v>3.2500000000000003E-3</v>
      </c>
      <c r="E231" s="618">
        <v>0.68</v>
      </c>
      <c r="F231" s="652">
        <v>50</v>
      </c>
      <c r="G231" s="748">
        <f t="shared" si="25"/>
        <v>2.375E-2</v>
      </c>
      <c r="H231" s="618">
        <v>0.71</v>
      </c>
      <c r="I231" s="652">
        <v>4</v>
      </c>
      <c r="J231" s="216">
        <f t="shared" si="26"/>
        <v>0.59833333333333327</v>
      </c>
    </row>
    <row r="232" spans="1:10" x14ac:dyDescent="0.25">
      <c r="A232" s="29">
        <v>3112</v>
      </c>
      <c r="B232" s="618">
        <v>0.43</v>
      </c>
      <c r="C232" s="652">
        <v>200</v>
      </c>
      <c r="D232" s="747">
        <f t="shared" si="24"/>
        <v>3.2500000000000003E-3</v>
      </c>
      <c r="E232" s="618">
        <v>0.9</v>
      </c>
      <c r="F232" s="652">
        <v>50</v>
      </c>
      <c r="G232" s="748">
        <f t="shared" si="25"/>
        <v>2.9249999999999998E-2</v>
      </c>
      <c r="H232" s="618">
        <v>0.49</v>
      </c>
      <c r="I232" s="652">
        <v>4.75</v>
      </c>
      <c r="J232" s="216">
        <f t="shared" si="26"/>
        <v>0.57999999999999996</v>
      </c>
    </row>
    <row r="233" spans="1:10" x14ac:dyDescent="0.25">
      <c r="A233" s="29">
        <v>3121</v>
      </c>
      <c r="B233" s="618">
        <v>0.43</v>
      </c>
      <c r="C233" s="652">
        <v>200</v>
      </c>
      <c r="D233" s="747">
        <f t="shared" si="24"/>
        <v>3.2500000000000003E-3</v>
      </c>
      <c r="E233" s="618">
        <v>2.68</v>
      </c>
      <c r="F233" s="652">
        <v>45</v>
      </c>
      <c r="G233" s="748">
        <f t="shared" si="25"/>
        <v>7.375000000000001E-2</v>
      </c>
      <c r="H233" s="618">
        <v>6.47</v>
      </c>
      <c r="I233" s="652">
        <v>2</v>
      </c>
      <c r="J233" s="216">
        <f t="shared" si="26"/>
        <v>1.0783333333333334</v>
      </c>
    </row>
    <row r="234" spans="1:10" x14ac:dyDescent="0.25">
      <c r="A234" s="29">
        <v>3122</v>
      </c>
      <c r="B234" s="618">
        <v>0.4</v>
      </c>
      <c r="C234" s="652">
        <v>193.75</v>
      </c>
      <c r="D234" s="747">
        <f t="shared" si="24"/>
        <v>3.0999999999999999E-3</v>
      </c>
      <c r="E234" s="618">
        <v>0.68</v>
      </c>
      <c r="F234" s="652">
        <v>50</v>
      </c>
      <c r="G234" s="748">
        <f t="shared" si="25"/>
        <v>2.375E-2</v>
      </c>
      <c r="H234" s="618">
        <v>0.65</v>
      </c>
      <c r="I234" s="652">
        <v>4.25</v>
      </c>
      <c r="J234" s="216">
        <f t="shared" si="26"/>
        <v>0.59333333333333338</v>
      </c>
    </row>
    <row r="235" spans="1:10" x14ac:dyDescent="0.25">
      <c r="A235" s="29">
        <v>3163</v>
      </c>
      <c r="B235" s="618">
        <v>0.55000000000000004</v>
      </c>
      <c r="C235" s="652">
        <v>225</v>
      </c>
      <c r="D235" s="747">
        <f t="shared" si="24"/>
        <v>3.8500000000000001E-3</v>
      </c>
      <c r="E235" s="618">
        <v>4.38</v>
      </c>
      <c r="F235" s="652">
        <v>40</v>
      </c>
      <c r="G235" s="748">
        <f t="shared" si="25"/>
        <v>0.11625000000000001</v>
      </c>
      <c r="H235" s="618">
        <v>0.53</v>
      </c>
      <c r="I235" s="652">
        <v>4.75</v>
      </c>
      <c r="J235" s="216">
        <f t="shared" si="26"/>
        <v>0.58333333333333337</v>
      </c>
    </row>
    <row r="236" spans="1:10" x14ac:dyDescent="0.25">
      <c r="A236" s="29">
        <v>3172</v>
      </c>
      <c r="B236" s="618">
        <v>0.22</v>
      </c>
      <c r="C236" s="652">
        <v>150</v>
      </c>
      <c r="D236" s="747">
        <f t="shared" si="24"/>
        <v>2.2000000000000001E-3</v>
      </c>
      <c r="E236" s="618">
        <v>0.6</v>
      </c>
      <c r="F236" s="652">
        <v>51.25</v>
      </c>
      <c r="G236" s="748">
        <f t="shared" si="25"/>
        <v>2.1749999999999999E-2</v>
      </c>
      <c r="H236" s="618">
        <v>0.51</v>
      </c>
      <c r="I236" s="652">
        <v>4.75</v>
      </c>
      <c r="J236" s="216">
        <f t="shared" si="26"/>
        <v>0.58166666666666667</v>
      </c>
    </row>
    <row r="237" spans="1:10" x14ac:dyDescent="0.25">
      <c r="A237" s="29">
        <v>3173</v>
      </c>
      <c r="B237" s="618">
        <v>0.09</v>
      </c>
      <c r="C237" s="652">
        <v>118.75</v>
      </c>
      <c r="D237" s="747">
        <f t="shared" si="24"/>
        <v>1.5499999999999999E-3</v>
      </c>
      <c r="E237" s="618">
        <v>1.06</v>
      </c>
      <c r="F237" s="652">
        <v>50</v>
      </c>
      <c r="G237" s="748">
        <f t="shared" si="25"/>
        <v>3.3250000000000002E-2</v>
      </c>
      <c r="H237" s="618">
        <v>0.71</v>
      </c>
      <c r="I237" s="652">
        <v>4</v>
      </c>
      <c r="J237" s="216">
        <f t="shared" si="26"/>
        <v>0.59833333333333327</v>
      </c>
    </row>
    <row r="238" spans="1:10" x14ac:dyDescent="0.25">
      <c r="A238" s="29">
        <v>3180</v>
      </c>
      <c r="B238" s="618">
        <v>0.26</v>
      </c>
      <c r="C238" s="652">
        <v>156.25</v>
      </c>
      <c r="D238" s="747">
        <f t="shared" si="24"/>
        <v>2.3999999999999998E-3</v>
      </c>
      <c r="E238" s="618">
        <v>0.08</v>
      </c>
      <c r="F238" s="652">
        <v>60</v>
      </c>
      <c r="G238" s="748">
        <f t="shared" si="25"/>
        <v>8.7500000000000008E-3</v>
      </c>
      <c r="H238" s="618">
        <v>0.12</v>
      </c>
      <c r="I238" s="652">
        <v>5.75</v>
      </c>
      <c r="J238" s="216">
        <f t="shared" si="26"/>
        <v>0.54916666666666669</v>
      </c>
    </row>
    <row r="239" spans="1:10" x14ac:dyDescent="0.25">
      <c r="A239" s="29">
        <v>3209</v>
      </c>
      <c r="B239" s="618">
        <v>0.43</v>
      </c>
      <c r="C239" s="652">
        <v>200</v>
      </c>
      <c r="D239" s="747">
        <f t="shared" si="24"/>
        <v>3.2500000000000003E-3</v>
      </c>
      <c r="E239" s="618">
        <v>1.83</v>
      </c>
      <c r="F239" s="652">
        <v>47.5</v>
      </c>
      <c r="G239" s="748">
        <f t="shared" si="25"/>
        <v>5.2500000000000005E-2</v>
      </c>
      <c r="H239" s="618">
        <v>0.67</v>
      </c>
      <c r="I239" s="652">
        <v>4.25</v>
      </c>
      <c r="J239" s="216">
        <f t="shared" si="26"/>
        <v>0.59499999999999997</v>
      </c>
    </row>
    <row r="240" spans="1:10" x14ac:dyDescent="0.25">
      <c r="A240" s="29">
        <v>3246</v>
      </c>
      <c r="B240" s="618">
        <v>0.51</v>
      </c>
      <c r="C240" s="652">
        <v>218.75</v>
      </c>
      <c r="D240" s="747">
        <f t="shared" si="24"/>
        <v>3.65E-3</v>
      </c>
      <c r="E240" s="618">
        <v>0.42</v>
      </c>
      <c r="F240" s="652">
        <v>55</v>
      </c>
      <c r="G240" s="748">
        <f t="shared" si="25"/>
        <v>1.7249999999999998E-2</v>
      </c>
      <c r="H240" s="618">
        <v>-1.26</v>
      </c>
      <c r="I240" s="652">
        <v>8</v>
      </c>
      <c r="J240" s="216">
        <f t="shared" si="26"/>
        <v>0.43416666666666665</v>
      </c>
    </row>
    <row r="241" spans="1:10" x14ac:dyDescent="0.25">
      <c r="A241" s="29">
        <v>3247</v>
      </c>
      <c r="B241" s="618">
        <v>0.36</v>
      </c>
      <c r="C241" s="652">
        <v>181.25</v>
      </c>
      <c r="D241" s="747">
        <f t="shared" si="24"/>
        <v>2.8999999999999998E-3</v>
      </c>
      <c r="E241" s="618">
        <v>3.21</v>
      </c>
      <c r="F241" s="652">
        <v>43.75</v>
      </c>
      <c r="G241" s="748">
        <f t="shared" si="25"/>
        <v>8.6999999999999994E-2</v>
      </c>
      <c r="H241" s="618">
        <v>2.67</v>
      </c>
      <c r="I241" s="652">
        <v>3.75</v>
      </c>
      <c r="J241" s="216">
        <f t="shared" si="26"/>
        <v>0.76166666666666671</v>
      </c>
    </row>
    <row r="242" spans="1:10" x14ac:dyDescent="0.25">
      <c r="A242" s="29">
        <v>3256</v>
      </c>
      <c r="B242" s="618">
        <v>0.5</v>
      </c>
      <c r="C242" s="652">
        <v>212.5</v>
      </c>
      <c r="D242" s="747">
        <f t="shared" si="24"/>
        <v>3.5999999999999999E-3</v>
      </c>
      <c r="E242" s="618">
        <v>0.68</v>
      </c>
      <c r="F242" s="652">
        <v>50</v>
      </c>
      <c r="G242" s="748">
        <f t="shared" si="25"/>
        <v>2.375E-2</v>
      </c>
      <c r="H242" s="618">
        <v>1.5</v>
      </c>
      <c r="I242" s="652">
        <v>3.75</v>
      </c>
      <c r="J242" s="216">
        <f t="shared" si="26"/>
        <v>0.66416666666666668</v>
      </c>
    </row>
    <row r="243" spans="1:10" x14ac:dyDescent="0.25">
      <c r="A243" s="29">
        <v>3258</v>
      </c>
      <c r="B243" s="618">
        <v>0.49</v>
      </c>
      <c r="C243" s="652">
        <v>212.5</v>
      </c>
      <c r="D243" s="747">
        <f t="shared" si="24"/>
        <v>3.5499999999999998E-3</v>
      </c>
      <c r="E243" s="618">
        <v>0.38</v>
      </c>
      <c r="F243" s="652">
        <v>55</v>
      </c>
      <c r="G243" s="748">
        <f t="shared" si="25"/>
        <v>1.6250000000000001E-2</v>
      </c>
      <c r="H243" s="618">
        <v>0.71</v>
      </c>
      <c r="I243" s="652">
        <v>4</v>
      </c>
      <c r="J243" s="216">
        <f t="shared" si="26"/>
        <v>0.59833333333333327</v>
      </c>
    </row>
    <row r="244" spans="1:10" x14ac:dyDescent="0.25">
      <c r="A244" s="29">
        <v>3266</v>
      </c>
      <c r="B244" s="618">
        <v>0.54</v>
      </c>
      <c r="C244" s="652">
        <v>225</v>
      </c>
      <c r="D244" s="747">
        <f t="shared" si="24"/>
        <v>3.8E-3</v>
      </c>
      <c r="E244" s="618">
        <v>0.68</v>
      </c>
      <c r="F244" s="652">
        <v>50</v>
      </c>
      <c r="G244" s="748">
        <f t="shared" si="25"/>
        <v>2.375E-2</v>
      </c>
      <c r="H244" s="618">
        <v>0.33</v>
      </c>
      <c r="I244" s="652">
        <v>5.25</v>
      </c>
      <c r="J244" s="216">
        <f t="shared" si="26"/>
        <v>0.56666666666666665</v>
      </c>
    </row>
    <row r="245" spans="1:10" x14ac:dyDescent="0.25">
      <c r="A245" s="29">
        <v>3337</v>
      </c>
      <c r="B245" s="618">
        <v>0.43</v>
      </c>
      <c r="C245" s="652">
        <v>200</v>
      </c>
      <c r="D245" s="747">
        <f t="shared" si="24"/>
        <v>3.2500000000000003E-3</v>
      </c>
      <c r="E245" s="618">
        <v>0.68</v>
      </c>
      <c r="F245" s="652">
        <v>50</v>
      </c>
      <c r="G245" s="748">
        <f t="shared" si="25"/>
        <v>2.375E-2</v>
      </c>
      <c r="H245" s="618">
        <v>0.71</v>
      </c>
      <c r="I245" s="652">
        <v>4</v>
      </c>
      <c r="J245" s="216">
        <f t="shared" si="26"/>
        <v>0.59833333333333327</v>
      </c>
    </row>
    <row r="246" spans="1:10" x14ac:dyDescent="0.25">
      <c r="A246" s="29">
        <v>3343</v>
      </c>
      <c r="B246" s="618">
        <v>0.3</v>
      </c>
      <c r="C246" s="652">
        <v>168.75</v>
      </c>
      <c r="D246" s="747">
        <f t="shared" si="24"/>
        <v>2.5999999999999999E-3</v>
      </c>
      <c r="E246" s="618">
        <v>0.68</v>
      </c>
      <c r="F246" s="652">
        <v>50</v>
      </c>
      <c r="G246" s="748">
        <f t="shared" si="25"/>
        <v>2.375E-2</v>
      </c>
      <c r="H246" s="618">
        <v>0.71</v>
      </c>
      <c r="I246" s="652">
        <v>4</v>
      </c>
      <c r="J246" s="216">
        <f t="shared" si="26"/>
        <v>0.59833333333333327</v>
      </c>
    </row>
    <row r="247" spans="1:10" x14ac:dyDescent="0.25">
      <c r="A247" s="29">
        <v>3345</v>
      </c>
      <c r="B247" s="618">
        <v>0.45</v>
      </c>
      <c r="C247" s="652">
        <v>200</v>
      </c>
      <c r="D247" s="747">
        <f t="shared" si="24"/>
        <v>3.3500000000000001E-3</v>
      </c>
      <c r="E247" s="618">
        <v>0.79</v>
      </c>
      <c r="F247" s="652">
        <v>50</v>
      </c>
      <c r="G247" s="748">
        <f t="shared" si="25"/>
        <v>2.6500000000000003E-2</v>
      </c>
      <c r="H247" s="618">
        <v>0.71</v>
      </c>
      <c r="I247" s="652">
        <v>4</v>
      </c>
      <c r="J247" s="216">
        <f t="shared" si="26"/>
        <v>0.59833333333333327</v>
      </c>
    </row>
    <row r="248" spans="1:10" x14ac:dyDescent="0.25">
      <c r="A248" s="29">
        <v>3347</v>
      </c>
      <c r="B248" s="618">
        <v>7.0000000000000007E-2</v>
      </c>
      <c r="C248" s="652">
        <v>112.5</v>
      </c>
      <c r="D248" s="747">
        <f t="shared" si="24"/>
        <v>1.4500000000000001E-3</v>
      </c>
      <c r="E248" s="618">
        <v>0.68</v>
      </c>
      <c r="F248" s="652">
        <v>50</v>
      </c>
      <c r="G248" s="748">
        <f t="shared" si="25"/>
        <v>2.375E-2</v>
      </c>
      <c r="H248" s="618">
        <v>0.71</v>
      </c>
      <c r="I248" s="652">
        <v>4</v>
      </c>
      <c r="J248" s="216">
        <f t="shared" si="26"/>
        <v>0.59833333333333327</v>
      </c>
    </row>
    <row r="249" spans="1:10" x14ac:dyDescent="0.25">
      <c r="A249" s="29">
        <v>3348</v>
      </c>
      <c r="B249" s="618">
        <v>0</v>
      </c>
      <c r="C249" s="652">
        <v>100</v>
      </c>
      <c r="D249" s="747">
        <f t="shared" si="24"/>
        <v>1.1000000000000001E-3</v>
      </c>
      <c r="E249" s="618">
        <v>0.68</v>
      </c>
      <c r="F249" s="652">
        <v>50</v>
      </c>
      <c r="G249" s="748">
        <f t="shared" si="25"/>
        <v>2.375E-2</v>
      </c>
      <c r="H249" s="618">
        <v>0.71</v>
      </c>
      <c r="I249" s="652">
        <v>4</v>
      </c>
      <c r="J249" s="216">
        <f t="shared" si="26"/>
        <v>0.59833333333333327</v>
      </c>
    </row>
    <row r="250" spans="1:10" x14ac:dyDescent="0.25">
      <c r="A250" s="29">
        <v>3349</v>
      </c>
      <c r="B250" s="618">
        <v>0.56999999999999995</v>
      </c>
      <c r="C250" s="652">
        <v>231.25</v>
      </c>
      <c r="D250" s="747">
        <f t="shared" si="24"/>
        <v>3.9499999999999995E-3</v>
      </c>
      <c r="E250" s="618">
        <v>0.68</v>
      </c>
      <c r="F250" s="652">
        <v>50</v>
      </c>
      <c r="G250" s="748">
        <f t="shared" si="25"/>
        <v>2.375E-2</v>
      </c>
      <c r="H250" s="618">
        <v>0.71</v>
      </c>
      <c r="I250" s="652">
        <v>4</v>
      </c>
      <c r="J250" s="216">
        <f t="shared" si="26"/>
        <v>0.59833333333333327</v>
      </c>
    </row>
    <row r="251" spans="1:10" x14ac:dyDescent="0.25">
      <c r="A251" s="29">
        <v>3377</v>
      </c>
      <c r="B251" s="618">
        <v>0.5</v>
      </c>
      <c r="C251" s="652">
        <v>212.5</v>
      </c>
      <c r="D251" s="747">
        <f t="shared" si="24"/>
        <v>3.5999999999999999E-3</v>
      </c>
      <c r="E251" s="618">
        <v>2.96</v>
      </c>
      <c r="F251" s="652">
        <v>45</v>
      </c>
      <c r="G251" s="748">
        <f t="shared" si="25"/>
        <v>8.0750000000000002E-2</v>
      </c>
      <c r="H251" s="618">
        <v>3.23</v>
      </c>
      <c r="I251" s="652">
        <v>3.25</v>
      </c>
      <c r="J251" s="216">
        <f t="shared" si="26"/>
        <v>0.80833333333333324</v>
      </c>
    </row>
    <row r="252" spans="1:10" x14ac:dyDescent="0.25">
      <c r="A252" s="29">
        <v>3378</v>
      </c>
      <c r="B252" s="618">
        <v>0.1</v>
      </c>
      <c r="C252" s="652">
        <v>118.75</v>
      </c>
      <c r="D252" s="747">
        <f t="shared" si="24"/>
        <v>1.6000000000000001E-3</v>
      </c>
      <c r="E252" s="618">
        <v>0.68</v>
      </c>
      <c r="F252" s="652">
        <v>50</v>
      </c>
      <c r="G252" s="748">
        <f t="shared" si="25"/>
        <v>2.375E-2</v>
      </c>
      <c r="H252" s="618">
        <v>0.71</v>
      </c>
      <c r="I252" s="652">
        <v>4</v>
      </c>
      <c r="J252" s="216">
        <f t="shared" si="26"/>
        <v>0.59833333333333327</v>
      </c>
    </row>
    <row r="253" spans="1:10" x14ac:dyDescent="0.25">
      <c r="A253" s="29">
        <v>3380</v>
      </c>
      <c r="B253" s="618">
        <v>0.43</v>
      </c>
      <c r="C253" s="652">
        <v>200</v>
      </c>
      <c r="D253" s="747">
        <f t="shared" si="24"/>
        <v>3.2500000000000003E-3</v>
      </c>
      <c r="E253" s="618">
        <v>0.68</v>
      </c>
      <c r="F253" s="652">
        <v>50</v>
      </c>
      <c r="G253" s="748">
        <f t="shared" si="25"/>
        <v>2.375E-2</v>
      </c>
      <c r="H253" s="618">
        <v>3.18</v>
      </c>
      <c r="I253" s="652">
        <v>3.25</v>
      </c>
      <c r="J253" s="216">
        <f t="shared" si="26"/>
        <v>0.8041666666666667</v>
      </c>
    </row>
    <row r="254" spans="1:10" x14ac:dyDescent="0.25">
      <c r="A254" s="29">
        <v>3390</v>
      </c>
      <c r="B254" s="618">
        <v>0.43</v>
      </c>
      <c r="C254" s="652">
        <v>200</v>
      </c>
      <c r="D254" s="747">
        <f t="shared" si="24"/>
        <v>3.2500000000000003E-3</v>
      </c>
      <c r="E254" s="618">
        <v>0.68</v>
      </c>
      <c r="F254" s="652">
        <v>50</v>
      </c>
      <c r="G254" s="748">
        <f t="shared" si="25"/>
        <v>2.375E-2</v>
      </c>
      <c r="H254" s="618">
        <v>0.71</v>
      </c>
      <c r="I254" s="652">
        <v>4</v>
      </c>
      <c r="J254" s="216">
        <f t="shared" si="26"/>
        <v>0.59833333333333327</v>
      </c>
    </row>
    <row r="255" spans="1:10" x14ac:dyDescent="0.25">
      <c r="A255" s="29">
        <v>3405</v>
      </c>
      <c r="B255" s="618">
        <v>0.32</v>
      </c>
      <c r="C255" s="652">
        <v>168.75</v>
      </c>
      <c r="D255" s="747">
        <f t="shared" si="24"/>
        <v>2.7000000000000001E-3</v>
      </c>
      <c r="E255" s="618">
        <v>0.53</v>
      </c>
      <c r="F255" s="652">
        <v>52.5</v>
      </c>
      <c r="G255" s="748">
        <f t="shared" si="25"/>
        <v>0.02</v>
      </c>
      <c r="H255" s="618">
        <v>0.71</v>
      </c>
      <c r="I255" s="652">
        <v>4</v>
      </c>
      <c r="J255" s="216">
        <f t="shared" si="26"/>
        <v>0.59833333333333327</v>
      </c>
    </row>
    <row r="256" spans="1:10" x14ac:dyDescent="0.25">
      <c r="A256" s="29">
        <v>3423</v>
      </c>
      <c r="B256" s="618">
        <v>0.43</v>
      </c>
      <c r="C256" s="652">
        <v>200</v>
      </c>
      <c r="D256" s="747">
        <f t="shared" si="24"/>
        <v>3.2500000000000003E-3</v>
      </c>
      <c r="E256" s="618">
        <v>0.17</v>
      </c>
      <c r="F256" s="652">
        <v>57.5</v>
      </c>
      <c r="G256" s="748">
        <f t="shared" si="25"/>
        <v>1.1000000000000001E-2</v>
      </c>
      <c r="H256" s="618">
        <v>-6.47</v>
      </c>
      <c r="I256" s="652">
        <v>14</v>
      </c>
      <c r="J256" s="216">
        <f t="shared" si="26"/>
        <v>0</v>
      </c>
    </row>
    <row r="257" spans="1:10" x14ac:dyDescent="0.25">
      <c r="A257" s="29">
        <v>3428</v>
      </c>
      <c r="B257" s="618">
        <v>0.1</v>
      </c>
      <c r="C257" s="652">
        <v>118.75</v>
      </c>
      <c r="D257" s="747">
        <f t="shared" si="24"/>
        <v>1.6000000000000001E-3</v>
      </c>
      <c r="E257" s="618">
        <v>0.68</v>
      </c>
      <c r="F257" s="652">
        <v>50</v>
      </c>
      <c r="G257" s="748">
        <f t="shared" si="25"/>
        <v>2.375E-2</v>
      </c>
      <c r="H257" s="618">
        <v>0.71</v>
      </c>
      <c r="I257" s="652">
        <v>4</v>
      </c>
      <c r="J257" s="216">
        <f t="shared" si="26"/>
        <v>0.59833333333333327</v>
      </c>
    </row>
    <row r="258" spans="1:10" x14ac:dyDescent="0.25">
      <c r="A258" s="29">
        <v>3429</v>
      </c>
      <c r="B258" s="618">
        <v>0.52</v>
      </c>
      <c r="C258" s="652">
        <v>218.75</v>
      </c>
      <c r="D258" s="747">
        <f t="shared" si="24"/>
        <v>3.7000000000000002E-3</v>
      </c>
      <c r="E258" s="618">
        <v>1.94</v>
      </c>
      <c r="F258" s="652">
        <v>47.5</v>
      </c>
      <c r="G258" s="748">
        <f t="shared" si="25"/>
        <v>5.525E-2</v>
      </c>
      <c r="H258" s="618">
        <v>0.71</v>
      </c>
      <c r="I258" s="652">
        <v>4</v>
      </c>
      <c r="J258" s="216">
        <f t="shared" si="26"/>
        <v>0.59833333333333327</v>
      </c>
    </row>
    <row r="259" spans="1:10" x14ac:dyDescent="0.25">
      <c r="A259" s="29">
        <v>3437</v>
      </c>
      <c r="B259" s="618">
        <v>0.37</v>
      </c>
      <c r="C259" s="652">
        <v>181.25</v>
      </c>
      <c r="D259" s="747">
        <f t="shared" si="24"/>
        <v>2.9499999999999999E-3</v>
      </c>
      <c r="E259" s="618">
        <v>0.68</v>
      </c>
      <c r="F259" s="652">
        <v>50</v>
      </c>
      <c r="G259" s="748">
        <f t="shared" si="25"/>
        <v>2.375E-2</v>
      </c>
      <c r="H259" s="618">
        <v>0.71</v>
      </c>
      <c r="I259" s="652">
        <v>4</v>
      </c>
      <c r="J259" s="216">
        <f t="shared" si="26"/>
        <v>0.59833333333333327</v>
      </c>
    </row>
    <row r="260" spans="1:10" x14ac:dyDescent="0.25">
      <c r="A260" s="29">
        <v>3438</v>
      </c>
      <c r="B260" s="618">
        <v>0.43</v>
      </c>
      <c r="C260" s="652">
        <v>200</v>
      </c>
      <c r="D260" s="747">
        <f t="shared" si="24"/>
        <v>3.2500000000000003E-3</v>
      </c>
      <c r="E260" s="618">
        <v>0.66</v>
      </c>
      <c r="F260" s="652">
        <v>51.25</v>
      </c>
      <c r="G260" s="748">
        <f t="shared" si="25"/>
        <v>2.325E-2</v>
      </c>
      <c r="H260" s="618">
        <v>0.71</v>
      </c>
      <c r="I260" s="652">
        <v>4</v>
      </c>
      <c r="J260" s="216">
        <f t="shared" si="26"/>
        <v>0.59833333333333327</v>
      </c>
    </row>
    <row r="261" spans="1:10" x14ac:dyDescent="0.25">
      <c r="A261" s="29">
        <v>3441</v>
      </c>
      <c r="B261" s="618">
        <v>0.43</v>
      </c>
      <c r="C261" s="652">
        <v>200</v>
      </c>
      <c r="D261" s="747">
        <f t="shared" si="24"/>
        <v>3.2500000000000003E-3</v>
      </c>
      <c r="E261" s="618">
        <v>0.39</v>
      </c>
      <c r="F261" s="652">
        <v>55</v>
      </c>
      <c r="G261" s="748">
        <f t="shared" si="25"/>
        <v>1.6500000000000001E-2</v>
      </c>
      <c r="H261" s="618">
        <v>0.56999999999999995</v>
      </c>
      <c r="I261" s="652">
        <v>4.75</v>
      </c>
      <c r="J261" s="216">
        <f t="shared" si="26"/>
        <v>0.58666666666666667</v>
      </c>
    </row>
    <row r="262" spans="1:10" x14ac:dyDescent="0.25">
      <c r="A262" s="29">
        <v>3448</v>
      </c>
      <c r="B262" s="618">
        <v>0.43</v>
      </c>
      <c r="C262" s="652">
        <v>200</v>
      </c>
      <c r="D262" s="747">
        <f t="shared" si="24"/>
        <v>3.2500000000000003E-3</v>
      </c>
      <c r="E262" s="618">
        <v>0.68</v>
      </c>
      <c r="F262" s="652">
        <v>50</v>
      </c>
      <c r="G262" s="748">
        <f t="shared" si="25"/>
        <v>2.375E-2</v>
      </c>
      <c r="H262" s="618">
        <v>0.71</v>
      </c>
      <c r="I262" s="652">
        <v>4</v>
      </c>
      <c r="J262" s="216">
        <f t="shared" si="26"/>
        <v>0.59833333333333327</v>
      </c>
    </row>
    <row r="263" spans="1:10" x14ac:dyDescent="0.25">
      <c r="A263" s="29">
        <v>3454</v>
      </c>
      <c r="B263" s="618">
        <v>0.43</v>
      </c>
      <c r="C263" s="652">
        <v>200</v>
      </c>
      <c r="D263" s="747">
        <f t="shared" si="24"/>
        <v>3.2500000000000003E-3</v>
      </c>
      <c r="E263" s="618">
        <v>0.68</v>
      </c>
      <c r="F263" s="652">
        <v>50</v>
      </c>
      <c r="G263" s="748">
        <f t="shared" si="25"/>
        <v>2.375E-2</v>
      </c>
      <c r="H263" s="618">
        <v>0.71</v>
      </c>
      <c r="I263" s="652">
        <v>4</v>
      </c>
      <c r="J263" s="216">
        <f t="shared" si="26"/>
        <v>0.59833333333333327</v>
      </c>
    </row>
    <row r="264" spans="1:10" x14ac:dyDescent="0.25">
      <c r="A264" s="29">
        <v>3457</v>
      </c>
      <c r="B264" s="618">
        <v>0.43</v>
      </c>
      <c r="C264" s="652">
        <v>200</v>
      </c>
      <c r="D264" s="747">
        <f t="shared" si="24"/>
        <v>3.2500000000000003E-3</v>
      </c>
      <c r="E264" s="618">
        <v>0.57999999999999996</v>
      </c>
      <c r="F264" s="652">
        <v>52.5</v>
      </c>
      <c r="G264" s="748">
        <f t="shared" si="25"/>
        <v>2.1249999999999998E-2</v>
      </c>
      <c r="H264" s="618">
        <v>0.44</v>
      </c>
      <c r="I264" s="652">
        <v>5</v>
      </c>
      <c r="J264" s="216">
        <f t="shared" si="26"/>
        <v>0.57583333333333331</v>
      </c>
    </row>
    <row r="265" spans="1:10" x14ac:dyDescent="0.25">
      <c r="A265" s="29">
        <v>3462</v>
      </c>
      <c r="B265" s="618">
        <v>0.33</v>
      </c>
      <c r="C265" s="652">
        <v>175</v>
      </c>
      <c r="D265" s="747">
        <f t="shared" si="24"/>
        <v>2.7500000000000003E-3</v>
      </c>
      <c r="E265" s="618">
        <v>0.45</v>
      </c>
      <c r="F265" s="652">
        <v>53.75</v>
      </c>
      <c r="G265" s="748">
        <f t="shared" si="25"/>
        <v>1.7999999999999999E-2</v>
      </c>
      <c r="H265" s="618">
        <v>0.71</v>
      </c>
      <c r="I265" s="652">
        <v>4</v>
      </c>
      <c r="J265" s="216">
        <f t="shared" si="26"/>
        <v>0.59833333333333327</v>
      </c>
    </row>
    <row r="266" spans="1:10" x14ac:dyDescent="0.25">
      <c r="A266" s="29">
        <v>3489</v>
      </c>
      <c r="B266" s="618">
        <v>0.52</v>
      </c>
      <c r="C266" s="652">
        <v>218.75</v>
      </c>
      <c r="D266" s="747">
        <f t="shared" si="24"/>
        <v>3.7000000000000002E-3</v>
      </c>
      <c r="E266" s="618">
        <v>0.68</v>
      </c>
      <c r="F266" s="652">
        <v>50</v>
      </c>
      <c r="G266" s="748">
        <f t="shared" si="25"/>
        <v>2.375E-2</v>
      </c>
      <c r="H266" s="618">
        <v>0.42</v>
      </c>
      <c r="I266" s="652">
        <v>5</v>
      </c>
      <c r="J266" s="216">
        <f t="shared" si="26"/>
        <v>0.5741666666666666</v>
      </c>
    </row>
    <row r="267" spans="1:10" x14ac:dyDescent="0.25">
      <c r="A267" s="29">
        <v>3509</v>
      </c>
      <c r="B267" s="618">
        <v>0.46</v>
      </c>
      <c r="C267" s="652">
        <v>206.25</v>
      </c>
      <c r="D267" s="747">
        <f t="shared" si="24"/>
        <v>3.4000000000000002E-3</v>
      </c>
      <c r="E267" s="618">
        <v>0.68</v>
      </c>
      <c r="F267" s="652">
        <v>50</v>
      </c>
      <c r="G267" s="748">
        <f t="shared" si="25"/>
        <v>2.375E-2</v>
      </c>
      <c r="H267" s="618">
        <v>0.61</v>
      </c>
      <c r="I267" s="652">
        <v>4.75</v>
      </c>
      <c r="J267" s="216">
        <f t="shared" si="26"/>
        <v>0.59</v>
      </c>
    </row>
    <row r="268" spans="1:10" x14ac:dyDescent="0.25">
      <c r="A268" s="29">
        <v>3531</v>
      </c>
      <c r="B268" s="618">
        <v>0.19</v>
      </c>
      <c r="C268" s="652">
        <v>143.75</v>
      </c>
      <c r="D268" s="747">
        <f t="shared" si="24"/>
        <v>2.0500000000000002E-3</v>
      </c>
      <c r="E268" s="618">
        <v>4.3</v>
      </c>
      <c r="F268" s="652">
        <v>41.25</v>
      </c>
      <c r="G268" s="748">
        <f t="shared" si="25"/>
        <v>0.11425</v>
      </c>
      <c r="H268" s="618">
        <v>0.55000000000000004</v>
      </c>
      <c r="I268" s="652">
        <v>4.75</v>
      </c>
      <c r="J268" s="216">
        <f t="shared" si="26"/>
        <v>0.58499999999999996</v>
      </c>
    </row>
    <row r="269" spans="1:10" x14ac:dyDescent="0.25">
      <c r="A269" s="29">
        <v>3533</v>
      </c>
      <c r="B269" s="618">
        <v>0.31</v>
      </c>
      <c r="C269" s="652">
        <v>168.75</v>
      </c>
      <c r="D269" s="747">
        <f t="shared" si="24"/>
        <v>2.65E-3</v>
      </c>
      <c r="E269" s="618">
        <v>1.54</v>
      </c>
      <c r="F269" s="652">
        <v>48.75</v>
      </c>
      <c r="G269" s="748">
        <f t="shared" si="25"/>
        <v>4.5249999999999999E-2</v>
      </c>
      <c r="H269" s="618">
        <v>0.44</v>
      </c>
      <c r="I269" s="652">
        <v>5</v>
      </c>
      <c r="J269" s="216">
        <f t="shared" si="26"/>
        <v>0.57583333333333331</v>
      </c>
    </row>
    <row r="270" spans="1:10" x14ac:dyDescent="0.25">
      <c r="A270" s="29">
        <v>3542</v>
      </c>
      <c r="B270" s="618">
        <v>0.43</v>
      </c>
      <c r="C270" s="652">
        <v>200</v>
      </c>
      <c r="D270" s="747">
        <f t="shared" si="24"/>
        <v>3.2500000000000003E-3</v>
      </c>
      <c r="E270" s="618">
        <v>0.68</v>
      </c>
      <c r="F270" s="652">
        <v>50</v>
      </c>
      <c r="G270" s="748">
        <f t="shared" si="25"/>
        <v>2.375E-2</v>
      </c>
      <c r="H270" s="618">
        <v>0.71</v>
      </c>
      <c r="I270" s="652">
        <v>4</v>
      </c>
      <c r="J270" s="216">
        <f t="shared" si="26"/>
        <v>0.59833333333333327</v>
      </c>
    </row>
    <row r="271" spans="1:10" x14ac:dyDescent="0.25">
      <c r="A271" s="29">
        <v>3543</v>
      </c>
      <c r="B271" s="618">
        <v>0.65</v>
      </c>
      <c r="C271" s="652">
        <v>250</v>
      </c>
      <c r="D271" s="747">
        <f t="shared" si="24"/>
        <v>4.3499999999999997E-3</v>
      </c>
      <c r="E271" s="618">
        <v>1.25</v>
      </c>
      <c r="F271" s="652">
        <v>48.75</v>
      </c>
      <c r="G271" s="748">
        <f t="shared" si="25"/>
        <v>3.7999999999999999E-2</v>
      </c>
      <c r="H271" s="618">
        <v>-0.34</v>
      </c>
      <c r="I271" s="652">
        <v>6</v>
      </c>
      <c r="J271" s="216">
        <f t="shared" si="26"/>
        <v>0.51083333333333336</v>
      </c>
    </row>
    <row r="272" spans="1:10" x14ac:dyDescent="0.25">
      <c r="A272" s="29">
        <v>3557</v>
      </c>
      <c r="B272" s="618">
        <v>0.43</v>
      </c>
      <c r="C272" s="652">
        <v>200</v>
      </c>
      <c r="D272" s="747">
        <f t="shared" si="24"/>
        <v>3.2500000000000003E-3</v>
      </c>
      <c r="E272" s="618">
        <v>0.68</v>
      </c>
      <c r="F272" s="652">
        <v>50</v>
      </c>
      <c r="G272" s="748">
        <f t="shared" si="25"/>
        <v>2.375E-2</v>
      </c>
      <c r="H272" s="618">
        <v>0.71</v>
      </c>
      <c r="I272" s="652">
        <v>4</v>
      </c>
      <c r="J272" s="216">
        <f t="shared" si="26"/>
        <v>0.59833333333333327</v>
      </c>
    </row>
    <row r="273" spans="1:10" x14ac:dyDescent="0.25">
      <c r="A273" s="29">
        <v>3580</v>
      </c>
      <c r="B273" s="618">
        <v>0.5</v>
      </c>
      <c r="C273" s="652">
        <v>212.5</v>
      </c>
      <c r="D273" s="747">
        <f t="shared" ref="D273:D335" si="27">(B273-Lowest_bill_SSW_protecting_wildlife)/(Highest_servicelevel_SSW_protecting_wildlife-Lowest_servicelevel_SSW_protecting_wildlife)</f>
        <v>3.5999999999999999E-3</v>
      </c>
      <c r="E273" s="618">
        <v>1.64</v>
      </c>
      <c r="F273" s="652">
        <v>47.5</v>
      </c>
      <c r="G273" s="748">
        <f t="shared" ref="G273:G335" si="28">(E273-Lowest_bill_SSW_leakage)/(Highest_servicelevel_SSW_leakage-Lowest_servicelevel_SSW_leakage)</f>
        <v>4.7750000000000001E-2</v>
      </c>
      <c r="H273" s="618">
        <v>0.65</v>
      </c>
      <c r="I273" s="652">
        <v>4.25</v>
      </c>
      <c r="J273" s="216">
        <f t="shared" ref="J273:J335" si="29">(H273-Lowest_bill_SSW_interruptions)/(Highest_servicelevel_SSW_interruptions-Lowest_servicelevel_SSW_interruptions)</f>
        <v>0.59333333333333338</v>
      </c>
    </row>
    <row r="274" spans="1:10" x14ac:dyDescent="0.25">
      <c r="A274" s="29">
        <v>3585</v>
      </c>
      <c r="B274" s="618">
        <v>-0.12</v>
      </c>
      <c r="C274" s="652">
        <v>68.75</v>
      </c>
      <c r="D274" s="747">
        <f t="shared" si="27"/>
        <v>5.0000000000000001E-4</v>
      </c>
      <c r="E274" s="618">
        <v>0.09</v>
      </c>
      <c r="F274" s="652">
        <v>58.75</v>
      </c>
      <c r="G274" s="748">
        <f t="shared" si="28"/>
        <v>8.9999999999999993E-3</v>
      </c>
      <c r="H274" s="618">
        <v>7.0000000000000007E-2</v>
      </c>
      <c r="I274" s="652">
        <v>6</v>
      </c>
      <c r="J274" s="216">
        <f t="shared" si="29"/>
        <v>0.54500000000000004</v>
      </c>
    </row>
    <row r="275" spans="1:10" x14ac:dyDescent="0.25">
      <c r="A275" s="29">
        <v>3656</v>
      </c>
      <c r="B275" s="618">
        <v>0.45</v>
      </c>
      <c r="C275" s="652">
        <v>200</v>
      </c>
      <c r="D275" s="747">
        <f t="shared" si="27"/>
        <v>3.3500000000000001E-3</v>
      </c>
      <c r="E275" s="618">
        <v>0.63</v>
      </c>
      <c r="F275" s="652">
        <v>51.25</v>
      </c>
      <c r="G275" s="748">
        <f t="shared" si="28"/>
        <v>2.2499999999999999E-2</v>
      </c>
      <c r="H275" s="618">
        <v>0.71</v>
      </c>
      <c r="I275" s="652">
        <v>4</v>
      </c>
      <c r="J275" s="216">
        <f t="shared" si="29"/>
        <v>0.59833333333333327</v>
      </c>
    </row>
    <row r="276" spans="1:10" x14ac:dyDescent="0.25">
      <c r="A276" s="29">
        <v>3660</v>
      </c>
      <c r="B276" s="618">
        <v>0.43</v>
      </c>
      <c r="C276" s="652">
        <v>200</v>
      </c>
      <c r="D276" s="747">
        <f t="shared" si="27"/>
        <v>3.2500000000000003E-3</v>
      </c>
      <c r="E276" s="618">
        <v>1.73</v>
      </c>
      <c r="F276" s="652">
        <v>47.5</v>
      </c>
      <c r="G276" s="748">
        <f t="shared" si="28"/>
        <v>0.05</v>
      </c>
      <c r="H276" s="618">
        <v>0.71</v>
      </c>
      <c r="I276" s="652">
        <v>4</v>
      </c>
      <c r="J276" s="216">
        <f t="shared" si="29"/>
        <v>0.59833333333333327</v>
      </c>
    </row>
    <row r="277" spans="1:10" x14ac:dyDescent="0.25">
      <c r="A277" s="29">
        <v>3673</v>
      </c>
      <c r="B277" s="618">
        <v>0.43</v>
      </c>
      <c r="C277" s="652">
        <v>200</v>
      </c>
      <c r="D277" s="747">
        <f t="shared" si="27"/>
        <v>3.2500000000000003E-3</v>
      </c>
      <c r="E277" s="618">
        <v>1.01</v>
      </c>
      <c r="F277" s="652">
        <v>50</v>
      </c>
      <c r="G277" s="748">
        <f t="shared" si="28"/>
        <v>3.2000000000000001E-2</v>
      </c>
      <c r="H277" s="618">
        <v>1.41</v>
      </c>
      <c r="I277" s="652">
        <v>4</v>
      </c>
      <c r="J277" s="216">
        <f t="shared" si="29"/>
        <v>0.65666666666666662</v>
      </c>
    </row>
    <row r="278" spans="1:10" x14ac:dyDescent="0.25">
      <c r="A278" s="29">
        <v>3676</v>
      </c>
      <c r="B278" s="618">
        <v>0.43</v>
      </c>
      <c r="C278" s="652">
        <v>200</v>
      </c>
      <c r="D278" s="747">
        <f t="shared" si="27"/>
        <v>3.2500000000000003E-3</v>
      </c>
      <c r="E278" s="618">
        <v>0.34</v>
      </c>
      <c r="F278" s="652">
        <v>55</v>
      </c>
      <c r="G278" s="748">
        <f t="shared" si="28"/>
        <v>1.5250000000000003E-2</v>
      </c>
      <c r="H278" s="618">
        <v>0.71</v>
      </c>
      <c r="I278" s="652">
        <v>4</v>
      </c>
      <c r="J278" s="216">
        <f t="shared" si="29"/>
        <v>0.59833333333333327</v>
      </c>
    </row>
    <row r="279" spans="1:10" x14ac:dyDescent="0.25">
      <c r="A279" s="29">
        <v>3684</v>
      </c>
      <c r="B279" s="618">
        <v>0.36</v>
      </c>
      <c r="C279" s="652">
        <v>181.25</v>
      </c>
      <c r="D279" s="747">
        <f t="shared" si="27"/>
        <v>2.8999999999999998E-3</v>
      </c>
      <c r="E279" s="618">
        <v>0.68</v>
      </c>
      <c r="F279" s="652">
        <v>50</v>
      </c>
      <c r="G279" s="748">
        <f t="shared" si="28"/>
        <v>2.375E-2</v>
      </c>
      <c r="H279" s="618">
        <v>0.71</v>
      </c>
      <c r="I279" s="652">
        <v>4</v>
      </c>
      <c r="J279" s="216">
        <f t="shared" si="29"/>
        <v>0.59833333333333327</v>
      </c>
    </row>
    <row r="280" spans="1:10" x14ac:dyDescent="0.25">
      <c r="A280" s="29">
        <v>3689</v>
      </c>
      <c r="B280" s="618">
        <v>0.1</v>
      </c>
      <c r="C280" s="652">
        <v>118.75</v>
      </c>
      <c r="D280" s="747">
        <f t="shared" si="27"/>
        <v>1.6000000000000001E-3</v>
      </c>
      <c r="E280" s="618">
        <v>0.35</v>
      </c>
      <c r="F280" s="652">
        <v>55</v>
      </c>
      <c r="G280" s="748">
        <f t="shared" si="28"/>
        <v>1.55E-2</v>
      </c>
      <c r="H280" s="618">
        <v>0.2</v>
      </c>
      <c r="I280" s="652">
        <v>5.25</v>
      </c>
      <c r="J280" s="216">
        <f t="shared" si="29"/>
        <v>0.55583333333333329</v>
      </c>
    </row>
    <row r="281" spans="1:10" x14ac:dyDescent="0.25">
      <c r="A281" s="29">
        <v>3690</v>
      </c>
      <c r="B281" s="618">
        <v>0.34</v>
      </c>
      <c r="C281" s="652">
        <v>175</v>
      </c>
      <c r="D281" s="747">
        <f t="shared" si="27"/>
        <v>2.8000000000000004E-3</v>
      </c>
      <c r="E281" s="618">
        <v>0.68</v>
      </c>
      <c r="F281" s="652">
        <v>50</v>
      </c>
      <c r="G281" s="748">
        <f t="shared" si="28"/>
        <v>2.375E-2</v>
      </c>
      <c r="H281" s="618">
        <v>0.71</v>
      </c>
      <c r="I281" s="652">
        <v>4</v>
      </c>
      <c r="J281" s="216">
        <f t="shared" si="29"/>
        <v>0.59833333333333327</v>
      </c>
    </row>
    <row r="282" spans="1:10" x14ac:dyDescent="0.25">
      <c r="A282" s="29">
        <v>3701</v>
      </c>
      <c r="B282" s="618">
        <v>0.43</v>
      </c>
      <c r="C282" s="652">
        <v>200</v>
      </c>
      <c r="D282" s="747">
        <f t="shared" si="27"/>
        <v>3.2500000000000003E-3</v>
      </c>
      <c r="E282" s="618">
        <v>0.77</v>
      </c>
      <c r="F282" s="652">
        <v>50</v>
      </c>
      <c r="G282" s="748">
        <f t="shared" si="28"/>
        <v>2.6000000000000002E-2</v>
      </c>
      <c r="H282" s="618">
        <v>0.71</v>
      </c>
      <c r="I282" s="652">
        <v>4</v>
      </c>
      <c r="J282" s="216">
        <f t="shared" si="29"/>
        <v>0.59833333333333327</v>
      </c>
    </row>
    <row r="283" spans="1:10" x14ac:dyDescent="0.25">
      <c r="A283" s="29">
        <v>3703</v>
      </c>
      <c r="B283" s="618">
        <v>0.1</v>
      </c>
      <c r="C283" s="652">
        <v>118.75</v>
      </c>
      <c r="D283" s="747">
        <f t="shared" si="27"/>
        <v>1.6000000000000001E-3</v>
      </c>
      <c r="E283" s="618">
        <v>0.68</v>
      </c>
      <c r="F283" s="652">
        <v>50</v>
      </c>
      <c r="G283" s="748">
        <f t="shared" si="28"/>
        <v>2.375E-2</v>
      </c>
      <c r="H283" s="618">
        <v>0.28999999999999998</v>
      </c>
      <c r="I283" s="652">
        <v>5.25</v>
      </c>
      <c r="J283" s="216">
        <f t="shared" si="29"/>
        <v>0.56333333333333335</v>
      </c>
    </row>
    <row r="284" spans="1:10" x14ac:dyDescent="0.25">
      <c r="A284" s="29">
        <v>3718</v>
      </c>
      <c r="B284" s="618">
        <v>0.43</v>
      </c>
      <c r="C284" s="652">
        <v>200</v>
      </c>
      <c r="D284" s="747">
        <f t="shared" si="27"/>
        <v>3.2500000000000003E-3</v>
      </c>
      <c r="E284" s="618">
        <v>0.68</v>
      </c>
      <c r="F284" s="652">
        <v>50</v>
      </c>
      <c r="G284" s="748">
        <f t="shared" si="28"/>
        <v>2.375E-2</v>
      </c>
      <c r="H284" s="618">
        <v>3.21</v>
      </c>
      <c r="I284" s="652">
        <v>3.25</v>
      </c>
      <c r="J284" s="216">
        <f t="shared" si="29"/>
        <v>0.80666666666666664</v>
      </c>
    </row>
    <row r="285" spans="1:10" x14ac:dyDescent="0.25">
      <c r="A285" s="29">
        <v>3722</v>
      </c>
      <c r="B285" s="618">
        <v>0.46</v>
      </c>
      <c r="C285" s="652">
        <v>206.25</v>
      </c>
      <c r="D285" s="747">
        <f t="shared" si="27"/>
        <v>3.4000000000000002E-3</v>
      </c>
      <c r="E285" s="618">
        <v>0.68</v>
      </c>
      <c r="F285" s="652">
        <v>50</v>
      </c>
      <c r="G285" s="748">
        <f t="shared" si="28"/>
        <v>2.375E-2</v>
      </c>
      <c r="H285" s="618">
        <v>0.37</v>
      </c>
      <c r="I285" s="652">
        <v>5</v>
      </c>
      <c r="J285" s="216">
        <f t="shared" si="29"/>
        <v>0.56999999999999995</v>
      </c>
    </row>
    <row r="286" spans="1:10" x14ac:dyDescent="0.25">
      <c r="A286" s="29">
        <v>3737</v>
      </c>
      <c r="B286" s="618">
        <v>0.5</v>
      </c>
      <c r="C286" s="652">
        <v>212.5</v>
      </c>
      <c r="D286" s="747">
        <f t="shared" si="27"/>
        <v>3.5999999999999999E-3</v>
      </c>
      <c r="E286" s="618">
        <v>0.87</v>
      </c>
      <c r="F286" s="652">
        <v>50</v>
      </c>
      <c r="G286" s="748">
        <f t="shared" si="28"/>
        <v>2.8500000000000004E-2</v>
      </c>
      <c r="H286" s="618">
        <v>0.6</v>
      </c>
      <c r="I286" s="652">
        <v>4.75</v>
      </c>
      <c r="J286" s="216">
        <f t="shared" si="29"/>
        <v>0.58916666666666662</v>
      </c>
    </row>
    <row r="287" spans="1:10" x14ac:dyDescent="0.25">
      <c r="A287" s="29">
        <v>3741</v>
      </c>
      <c r="B287" s="618">
        <v>0.43</v>
      </c>
      <c r="C287" s="652">
        <v>200</v>
      </c>
      <c r="D287" s="747">
        <f t="shared" si="27"/>
        <v>3.2500000000000003E-3</v>
      </c>
      <c r="E287" s="618">
        <v>0.09</v>
      </c>
      <c r="F287" s="652">
        <v>58.75</v>
      </c>
      <c r="G287" s="748">
        <f t="shared" si="28"/>
        <v>8.9999999999999993E-3</v>
      </c>
      <c r="H287" s="618">
        <v>0.15</v>
      </c>
      <c r="I287" s="652">
        <v>5.75</v>
      </c>
      <c r="J287" s="216">
        <f t="shared" si="29"/>
        <v>0.55166666666666664</v>
      </c>
    </row>
    <row r="288" spans="1:10" x14ac:dyDescent="0.25">
      <c r="A288" s="29">
        <v>3743</v>
      </c>
      <c r="B288" s="618">
        <v>0.43</v>
      </c>
      <c r="C288" s="652">
        <v>200</v>
      </c>
      <c r="D288" s="747">
        <f t="shared" si="27"/>
        <v>3.2500000000000003E-3</v>
      </c>
      <c r="E288" s="618">
        <v>1.25</v>
      </c>
      <c r="F288" s="652">
        <v>48.75</v>
      </c>
      <c r="G288" s="748">
        <f t="shared" si="28"/>
        <v>3.7999999999999999E-2</v>
      </c>
      <c r="H288" s="618">
        <v>0.71</v>
      </c>
      <c r="I288" s="652">
        <v>4</v>
      </c>
      <c r="J288" s="216">
        <f t="shared" si="29"/>
        <v>0.59833333333333327</v>
      </c>
    </row>
    <row r="289" spans="1:10" x14ac:dyDescent="0.25">
      <c r="A289" s="29">
        <v>3747</v>
      </c>
      <c r="B289" s="618">
        <v>0.45</v>
      </c>
      <c r="C289" s="652">
        <v>200</v>
      </c>
      <c r="D289" s="747">
        <f t="shared" si="27"/>
        <v>3.3500000000000001E-3</v>
      </c>
      <c r="E289" s="618">
        <v>0.68</v>
      </c>
      <c r="F289" s="652">
        <v>50</v>
      </c>
      <c r="G289" s="748">
        <f t="shared" si="28"/>
        <v>2.375E-2</v>
      </c>
      <c r="H289" s="618">
        <v>0.67</v>
      </c>
      <c r="I289" s="652">
        <v>4.25</v>
      </c>
      <c r="J289" s="216">
        <f t="shared" si="29"/>
        <v>0.59499999999999997</v>
      </c>
    </row>
    <row r="290" spans="1:10" x14ac:dyDescent="0.25">
      <c r="A290" s="29">
        <v>3761</v>
      </c>
      <c r="B290" s="618">
        <v>0.49</v>
      </c>
      <c r="C290" s="652">
        <v>212.5</v>
      </c>
      <c r="D290" s="747">
        <f t="shared" si="27"/>
        <v>3.5499999999999998E-3</v>
      </c>
      <c r="E290" s="618">
        <v>2.39</v>
      </c>
      <c r="F290" s="652">
        <v>46.25</v>
      </c>
      <c r="G290" s="748">
        <f t="shared" si="28"/>
        <v>6.6500000000000004E-2</v>
      </c>
      <c r="H290" s="618">
        <v>6.47</v>
      </c>
      <c r="I290" s="652">
        <v>2</v>
      </c>
      <c r="J290" s="216">
        <f t="shared" si="29"/>
        <v>1.0783333333333334</v>
      </c>
    </row>
    <row r="291" spans="1:10" x14ac:dyDescent="0.25">
      <c r="A291" s="29">
        <v>3775</v>
      </c>
      <c r="B291" s="618">
        <v>0.4</v>
      </c>
      <c r="C291" s="652">
        <v>193.75</v>
      </c>
      <c r="D291" s="747">
        <f t="shared" si="27"/>
        <v>3.0999999999999999E-3</v>
      </c>
      <c r="E291" s="618">
        <v>0.68</v>
      </c>
      <c r="F291" s="652">
        <v>50</v>
      </c>
      <c r="G291" s="748">
        <f t="shared" si="28"/>
        <v>2.375E-2</v>
      </c>
      <c r="H291" s="618">
        <v>0.55000000000000004</v>
      </c>
      <c r="I291" s="652">
        <v>4.75</v>
      </c>
      <c r="J291" s="216">
        <f t="shared" si="29"/>
        <v>0.58499999999999996</v>
      </c>
    </row>
    <row r="292" spans="1:10" x14ac:dyDescent="0.25">
      <c r="A292" s="29">
        <v>3781</v>
      </c>
      <c r="B292" s="618">
        <v>0.3</v>
      </c>
      <c r="C292" s="652">
        <v>168.75</v>
      </c>
      <c r="D292" s="747">
        <f t="shared" si="27"/>
        <v>2.5999999999999999E-3</v>
      </c>
      <c r="E292" s="618">
        <v>0.5</v>
      </c>
      <c r="F292" s="652">
        <v>53.75</v>
      </c>
      <c r="G292" s="748">
        <f t="shared" si="28"/>
        <v>1.925E-2</v>
      </c>
      <c r="H292" s="618">
        <v>0.71</v>
      </c>
      <c r="I292" s="652">
        <v>4</v>
      </c>
      <c r="J292" s="216">
        <f t="shared" si="29"/>
        <v>0.59833333333333327</v>
      </c>
    </row>
    <row r="293" spans="1:10" x14ac:dyDescent="0.25">
      <c r="A293" s="29">
        <v>3787</v>
      </c>
      <c r="B293" s="618">
        <v>0.43</v>
      </c>
      <c r="C293" s="652">
        <v>200</v>
      </c>
      <c r="D293" s="747">
        <f t="shared" si="27"/>
        <v>3.2500000000000003E-3</v>
      </c>
      <c r="E293" s="618">
        <v>1.1499999999999999</v>
      </c>
      <c r="F293" s="652">
        <v>48.75</v>
      </c>
      <c r="G293" s="748">
        <f t="shared" si="28"/>
        <v>3.5499999999999997E-2</v>
      </c>
      <c r="H293" s="618">
        <v>0.71</v>
      </c>
      <c r="I293" s="652">
        <v>4</v>
      </c>
      <c r="J293" s="216">
        <f t="shared" si="29"/>
        <v>0.59833333333333327</v>
      </c>
    </row>
    <row r="294" spans="1:10" x14ac:dyDescent="0.25">
      <c r="A294" s="29">
        <v>3791</v>
      </c>
      <c r="B294" s="618">
        <v>0.4</v>
      </c>
      <c r="C294" s="652">
        <v>193.75</v>
      </c>
      <c r="D294" s="747">
        <f t="shared" si="27"/>
        <v>3.0999999999999999E-3</v>
      </c>
      <c r="E294" s="618">
        <v>0.57999999999999996</v>
      </c>
      <c r="F294" s="652">
        <v>52.5</v>
      </c>
      <c r="G294" s="748">
        <f t="shared" si="28"/>
        <v>2.1249999999999998E-2</v>
      </c>
      <c r="H294" s="618">
        <v>-0.93</v>
      </c>
      <c r="I294" s="652">
        <v>7.5</v>
      </c>
      <c r="J294" s="216">
        <f t="shared" si="29"/>
        <v>0.46166666666666667</v>
      </c>
    </row>
    <row r="295" spans="1:10" x14ac:dyDescent="0.25">
      <c r="A295" s="29">
        <v>3793</v>
      </c>
      <c r="B295" s="618">
        <v>0.57999999999999996</v>
      </c>
      <c r="C295" s="652">
        <v>231.25</v>
      </c>
      <c r="D295" s="747">
        <f t="shared" si="27"/>
        <v>4.0000000000000001E-3</v>
      </c>
      <c r="E295" s="618">
        <v>0.68</v>
      </c>
      <c r="F295" s="652">
        <v>50</v>
      </c>
      <c r="G295" s="748">
        <f t="shared" si="28"/>
        <v>2.375E-2</v>
      </c>
      <c r="H295" s="618">
        <v>0.02</v>
      </c>
      <c r="I295" s="652">
        <v>6</v>
      </c>
      <c r="J295" s="216">
        <f t="shared" si="29"/>
        <v>0.54083333333333328</v>
      </c>
    </row>
    <row r="296" spans="1:10" x14ac:dyDescent="0.25">
      <c r="A296" s="29">
        <v>3793</v>
      </c>
      <c r="B296" s="618">
        <v>0.57999999999999996</v>
      </c>
      <c r="C296" s="652">
        <v>231.25</v>
      </c>
      <c r="D296" s="747">
        <f t="shared" si="27"/>
        <v>4.0000000000000001E-3</v>
      </c>
      <c r="E296" s="618">
        <v>0.68</v>
      </c>
      <c r="F296" s="652">
        <v>50</v>
      </c>
      <c r="G296" s="748">
        <f t="shared" si="28"/>
        <v>2.375E-2</v>
      </c>
      <c r="H296" s="618">
        <v>0.02</v>
      </c>
      <c r="I296" s="652">
        <v>6</v>
      </c>
      <c r="J296" s="216">
        <f t="shared" si="29"/>
        <v>0.54083333333333328</v>
      </c>
    </row>
    <row r="297" spans="1:10" x14ac:dyDescent="0.25">
      <c r="A297" s="29">
        <v>3826</v>
      </c>
      <c r="B297" s="618">
        <v>0.28000000000000003</v>
      </c>
      <c r="C297" s="652">
        <v>162.5</v>
      </c>
      <c r="D297" s="747">
        <f t="shared" si="27"/>
        <v>2.5000000000000001E-3</v>
      </c>
      <c r="E297" s="618">
        <v>0.68</v>
      </c>
      <c r="F297" s="652">
        <v>50</v>
      </c>
      <c r="G297" s="748">
        <f t="shared" si="28"/>
        <v>2.375E-2</v>
      </c>
      <c r="H297" s="618">
        <v>0.26</v>
      </c>
      <c r="I297" s="652">
        <v>5.25</v>
      </c>
      <c r="J297" s="216">
        <f t="shared" si="29"/>
        <v>0.56083333333333329</v>
      </c>
    </row>
    <row r="298" spans="1:10" x14ac:dyDescent="0.25">
      <c r="A298" s="29">
        <v>3919</v>
      </c>
      <c r="B298" s="618">
        <v>0.47</v>
      </c>
      <c r="C298" s="652">
        <v>206.25</v>
      </c>
      <c r="D298" s="747">
        <f t="shared" si="27"/>
        <v>3.4499999999999999E-3</v>
      </c>
      <c r="E298" s="618">
        <v>0.87</v>
      </c>
      <c r="F298" s="652">
        <v>50</v>
      </c>
      <c r="G298" s="748">
        <f t="shared" si="28"/>
        <v>2.8500000000000004E-2</v>
      </c>
      <c r="H298" s="618">
        <v>0.71</v>
      </c>
      <c r="I298" s="652">
        <v>4</v>
      </c>
      <c r="J298" s="216">
        <f t="shared" si="29"/>
        <v>0.59833333333333327</v>
      </c>
    </row>
    <row r="299" spans="1:10" x14ac:dyDescent="0.25">
      <c r="A299" s="29">
        <v>4002</v>
      </c>
      <c r="B299" s="618">
        <v>0.21</v>
      </c>
      <c r="C299" s="652">
        <v>143.75</v>
      </c>
      <c r="D299" s="747">
        <f t="shared" si="27"/>
        <v>2.15E-3</v>
      </c>
      <c r="E299" s="618">
        <v>0.68</v>
      </c>
      <c r="F299" s="652">
        <v>50</v>
      </c>
      <c r="G299" s="748">
        <f t="shared" si="28"/>
        <v>2.375E-2</v>
      </c>
      <c r="H299" s="618">
        <v>0.71</v>
      </c>
      <c r="I299" s="652">
        <v>4</v>
      </c>
      <c r="J299" s="216">
        <f t="shared" si="29"/>
        <v>0.59833333333333327</v>
      </c>
    </row>
    <row r="300" spans="1:10" x14ac:dyDescent="0.25">
      <c r="A300" s="29">
        <v>4004</v>
      </c>
      <c r="B300" s="618">
        <v>0.52</v>
      </c>
      <c r="C300" s="652">
        <v>218.75</v>
      </c>
      <c r="D300" s="747">
        <f t="shared" si="27"/>
        <v>3.7000000000000002E-3</v>
      </c>
      <c r="E300" s="618">
        <v>2.2999999999999998</v>
      </c>
      <c r="F300" s="652">
        <v>46.25</v>
      </c>
      <c r="G300" s="748">
        <f t="shared" si="28"/>
        <v>6.4250000000000002E-2</v>
      </c>
      <c r="H300" s="618">
        <v>0.71</v>
      </c>
      <c r="I300" s="652">
        <v>4</v>
      </c>
      <c r="J300" s="216">
        <f t="shared" si="29"/>
        <v>0.59833333333333327</v>
      </c>
    </row>
    <row r="301" spans="1:10" x14ac:dyDescent="0.25">
      <c r="A301" s="29">
        <v>4012</v>
      </c>
      <c r="B301" s="618">
        <v>0.43</v>
      </c>
      <c r="C301" s="652">
        <v>200</v>
      </c>
      <c r="D301" s="747">
        <f t="shared" si="27"/>
        <v>3.2500000000000003E-3</v>
      </c>
      <c r="E301" s="618">
        <v>1.92</v>
      </c>
      <c r="F301" s="652">
        <v>47.5</v>
      </c>
      <c r="G301" s="748">
        <f t="shared" si="28"/>
        <v>5.475E-2</v>
      </c>
      <c r="H301" s="618">
        <v>0.71</v>
      </c>
      <c r="I301" s="652">
        <v>4</v>
      </c>
      <c r="J301" s="216">
        <f t="shared" si="29"/>
        <v>0.59833333333333327</v>
      </c>
    </row>
    <row r="302" spans="1:10" x14ac:dyDescent="0.25">
      <c r="A302" s="29">
        <v>4027</v>
      </c>
      <c r="B302" s="618">
        <v>0.38</v>
      </c>
      <c r="C302" s="652">
        <v>187.5</v>
      </c>
      <c r="D302" s="747">
        <f t="shared" si="27"/>
        <v>3.0000000000000001E-3</v>
      </c>
      <c r="E302" s="618">
        <v>0.68</v>
      </c>
      <c r="F302" s="652">
        <v>50</v>
      </c>
      <c r="G302" s="748">
        <f t="shared" si="28"/>
        <v>2.375E-2</v>
      </c>
      <c r="H302" s="618">
        <v>0.71</v>
      </c>
      <c r="I302" s="652">
        <v>4</v>
      </c>
      <c r="J302" s="216">
        <f t="shared" si="29"/>
        <v>0.59833333333333327</v>
      </c>
    </row>
    <row r="303" spans="1:10" x14ac:dyDescent="0.25">
      <c r="A303" s="29">
        <v>4032</v>
      </c>
      <c r="B303" s="618">
        <v>0.43</v>
      </c>
      <c r="C303" s="652">
        <v>200</v>
      </c>
      <c r="D303" s="747">
        <f t="shared" si="27"/>
        <v>3.2500000000000003E-3</v>
      </c>
      <c r="E303" s="618">
        <v>0.45</v>
      </c>
      <c r="F303" s="652">
        <v>53.75</v>
      </c>
      <c r="G303" s="748">
        <f t="shared" si="28"/>
        <v>1.7999999999999999E-2</v>
      </c>
      <c r="H303" s="618">
        <v>0.71</v>
      </c>
      <c r="I303" s="652">
        <v>4</v>
      </c>
      <c r="J303" s="216">
        <f t="shared" si="29"/>
        <v>0.59833333333333327</v>
      </c>
    </row>
    <row r="304" spans="1:10" x14ac:dyDescent="0.25">
      <c r="A304" s="29">
        <v>4039</v>
      </c>
      <c r="B304" s="618">
        <v>0.49</v>
      </c>
      <c r="C304" s="652">
        <v>212.5</v>
      </c>
      <c r="D304" s="747">
        <f t="shared" si="27"/>
        <v>3.5499999999999998E-3</v>
      </c>
      <c r="E304" s="618">
        <v>0.68</v>
      </c>
      <c r="F304" s="652">
        <v>50</v>
      </c>
      <c r="G304" s="748">
        <f t="shared" si="28"/>
        <v>2.375E-2</v>
      </c>
      <c r="H304" s="618">
        <v>0.71</v>
      </c>
      <c r="I304" s="652">
        <v>4</v>
      </c>
      <c r="J304" s="216">
        <f t="shared" si="29"/>
        <v>0.59833333333333327</v>
      </c>
    </row>
    <row r="305" spans="1:10" x14ac:dyDescent="0.25">
      <c r="A305" s="29">
        <v>4071</v>
      </c>
      <c r="B305" s="618">
        <v>0.56000000000000005</v>
      </c>
      <c r="C305" s="652">
        <v>225</v>
      </c>
      <c r="D305" s="747">
        <f t="shared" si="27"/>
        <v>3.9000000000000003E-3</v>
      </c>
      <c r="E305" s="618">
        <v>0.96</v>
      </c>
      <c r="F305" s="652">
        <v>50</v>
      </c>
      <c r="G305" s="748">
        <f t="shared" si="28"/>
        <v>3.075E-2</v>
      </c>
      <c r="H305" s="618">
        <v>0.6</v>
      </c>
      <c r="I305" s="652">
        <v>4.75</v>
      </c>
      <c r="J305" s="216">
        <f t="shared" si="29"/>
        <v>0.58916666666666662</v>
      </c>
    </row>
    <row r="306" spans="1:10" x14ac:dyDescent="0.25">
      <c r="A306" s="29">
        <v>4093</v>
      </c>
      <c r="B306" s="618">
        <v>0.43</v>
      </c>
      <c r="C306" s="652">
        <v>200</v>
      </c>
      <c r="D306" s="747">
        <f t="shared" si="27"/>
        <v>3.2500000000000003E-3</v>
      </c>
      <c r="E306" s="618">
        <v>4.38</v>
      </c>
      <c r="F306" s="652">
        <v>40</v>
      </c>
      <c r="G306" s="748">
        <f t="shared" si="28"/>
        <v>0.11625000000000001</v>
      </c>
      <c r="H306" s="618">
        <v>3.38</v>
      </c>
      <c r="I306" s="652">
        <v>3.25</v>
      </c>
      <c r="J306" s="216">
        <f t="shared" si="29"/>
        <v>0.8208333333333333</v>
      </c>
    </row>
    <row r="307" spans="1:10" x14ac:dyDescent="0.25">
      <c r="A307" s="29">
        <v>4145</v>
      </c>
      <c r="B307" s="618">
        <v>0.43</v>
      </c>
      <c r="C307" s="652">
        <v>200</v>
      </c>
      <c r="D307" s="747">
        <f t="shared" si="27"/>
        <v>3.2500000000000003E-3</v>
      </c>
      <c r="E307" s="618">
        <v>0.68</v>
      </c>
      <c r="F307" s="652">
        <v>50</v>
      </c>
      <c r="G307" s="748">
        <f t="shared" si="28"/>
        <v>2.375E-2</v>
      </c>
      <c r="H307" s="618">
        <v>0.71</v>
      </c>
      <c r="I307" s="652">
        <v>4</v>
      </c>
      <c r="J307" s="216">
        <f t="shared" si="29"/>
        <v>0.59833333333333327</v>
      </c>
    </row>
    <row r="308" spans="1:10" x14ac:dyDescent="0.25">
      <c r="A308" s="29">
        <v>4148</v>
      </c>
      <c r="B308" s="618">
        <v>0.5</v>
      </c>
      <c r="C308" s="652">
        <v>212.5</v>
      </c>
      <c r="D308" s="747">
        <f t="shared" si="27"/>
        <v>3.5999999999999999E-3</v>
      </c>
      <c r="E308" s="618">
        <v>1.1499999999999999</v>
      </c>
      <c r="F308" s="652">
        <v>48.75</v>
      </c>
      <c r="G308" s="748">
        <f t="shared" si="28"/>
        <v>3.5499999999999997E-2</v>
      </c>
      <c r="H308" s="618">
        <v>0.71</v>
      </c>
      <c r="I308" s="652">
        <v>4</v>
      </c>
      <c r="J308" s="216">
        <f t="shared" si="29"/>
        <v>0.59833333333333327</v>
      </c>
    </row>
    <row r="309" spans="1:10" x14ac:dyDescent="0.25">
      <c r="A309" s="29">
        <v>4183</v>
      </c>
      <c r="B309" s="618">
        <v>0.2</v>
      </c>
      <c r="C309" s="652">
        <v>143.75</v>
      </c>
      <c r="D309" s="747">
        <f t="shared" si="27"/>
        <v>2.1000000000000003E-3</v>
      </c>
      <c r="E309" s="618">
        <v>0.68</v>
      </c>
      <c r="F309" s="652">
        <v>50</v>
      </c>
      <c r="G309" s="748">
        <f t="shared" si="28"/>
        <v>2.375E-2</v>
      </c>
      <c r="H309" s="618">
        <v>0.47</v>
      </c>
      <c r="I309" s="652">
        <v>4.75</v>
      </c>
      <c r="J309" s="216">
        <f t="shared" si="29"/>
        <v>0.57833333333333325</v>
      </c>
    </row>
    <row r="310" spans="1:10" x14ac:dyDescent="0.25">
      <c r="A310" s="29">
        <v>4207</v>
      </c>
      <c r="B310" s="618">
        <v>0.32</v>
      </c>
      <c r="C310" s="652">
        <v>168.75</v>
      </c>
      <c r="D310" s="747">
        <f t="shared" si="27"/>
        <v>2.7000000000000001E-3</v>
      </c>
      <c r="E310" s="618">
        <v>0.68</v>
      </c>
      <c r="F310" s="652">
        <v>50</v>
      </c>
      <c r="G310" s="748">
        <f t="shared" si="28"/>
        <v>2.375E-2</v>
      </c>
      <c r="H310" s="618">
        <v>0.71</v>
      </c>
      <c r="I310" s="652">
        <v>4</v>
      </c>
      <c r="J310" s="216">
        <f t="shared" si="29"/>
        <v>0.59833333333333327</v>
      </c>
    </row>
    <row r="311" spans="1:10" x14ac:dyDescent="0.25">
      <c r="A311" s="29">
        <v>4229</v>
      </c>
      <c r="B311" s="618">
        <v>0.43</v>
      </c>
      <c r="C311" s="652">
        <v>200</v>
      </c>
      <c r="D311" s="747">
        <f t="shared" si="27"/>
        <v>3.2500000000000003E-3</v>
      </c>
      <c r="E311" s="618">
        <v>0.68</v>
      </c>
      <c r="F311" s="652">
        <v>50</v>
      </c>
      <c r="G311" s="748">
        <f t="shared" si="28"/>
        <v>2.375E-2</v>
      </c>
      <c r="H311" s="618">
        <v>0.71</v>
      </c>
      <c r="I311" s="652">
        <v>4</v>
      </c>
      <c r="J311" s="216">
        <f t="shared" si="29"/>
        <v>0.59833333333333327</v>
      </c>
    </row>
    <row r="312" spans="1:10" x14ac:dyDescent="0.25">
      <c r="A312" s="29">
        <v>4231</v>
      </c>
      <c r="B312" s="618">
        <v>0.43</v>
      </c>
      <c r="C312" s="652">
        <v>200</v>
      </c>
      <c r="D312" s="747">
        <f t="shared" si="27"/>
        <v>3.2500000000000003E-3</v>
      </c>
      <c r="E312" s="618">
        <v>0.08</v>
      </c>
      <c r="F312" s="652">
        <v>60</v>
      </c>
      <c r="G312" s="748">
        <f t="shared" si="28"/>
        <v>8.7500000000000008E-3</v>
      </c>
      <c r="H312" s="618">
        <v>0.71</v>
      </c>
      <c r="I312" s="652">
        <v>4</v>
      </c>
      <c r="J312" s="216">
        <f t="shared" si="29"/>
        <v>0.59833333333333327</v>
      </c>
    </row>
    <row r="313" spans="1:10" x14ac:dyDescent="0.25">
      <c r="A313" s="29">
        <v>4234</v>
      </c>
      <c r="B313" s="618">
        <v>0.4</v>
      </c>
      <c r="C313" s="652">
        <v>193.75</v>
      </c>
      <c r="D313" s="747">
        <f t="shared" si="27"/>
        <v>3.0999999999999999E-3</v>
      </c>
      <c r="E313" s="618">
        <v>0.68</v>
      </c>
      <c r="F313" s="652">
        <v>50</v>
      </c>
      <c r="G313" s="748">
        <f t="shared" si="28"/>
        <v>2.375E-2</v>
      </c>
      <c r="H313" s="618">
        <v>0.71</v>
      </c>
      <c r="I313" s="652">
        <v>4</v>
      </c>
      <c r="J313" s="216">
        <f t="shared" si="29"/>
        <v>0.59833333333333327</v>
      </c>
    </row>
    <row r="314" spans="1:10" x14ac:dyDescent="0.25">
      <c r="A314" s="29">
        <v>4244</v>
      </c>
      <c r="B314" s="618">
        <v>0.46</v>
      </c>
      <c r="C314" s="652">
        <v>206.25</v>
      </c>
      <c r="D314" s="747">
        <f t="shared" si="27"/>
        <v>3.4000000000000002E-3</v>
      </c>
      <c r="E314" s="618">
        <v>1.64</v>
      </c>
      <c r="F314" s="652">
        <v>47.5</v>
      </c>
      <c r="G314" s="748">
        <f t="shared" si="28"/>
        <v>4.7750000000000001E-2</v>
      </c>
      <c r="H314" s="618">
        <v>0.86</v>
      </c>
      <c r="I314" s="652">
        <v>4</v>
      </c>
      <c r="J314" s="216">
        <f t="shared" si="29"/>
        <v>0.61083333333333334</v>
      </c>
    </row>
    <row r="315" spans="1:10" x14ac:dyDescent="0.25">
      <c r="A315" s="29">
        <v>4249</v>
      </c>
      <c r="B315" s="618">
        <v>0.52</v>
      </c>
      <c r="C315" s="652">
        <v>218.75</v>
      </c>
      <c r="D315" s="747">
        <f t="shared" si="27"/>
        <v>3.7000000000000002E-3</v>
      </c>
      <c r="E315" s="618">
        <v>0.68</v>
      </c>
      <c r="F315" s="652">
        <v>50</v>
      </c>
      <c r="G315" s="748">
        <f t="shared" si="28"/>
        <v>2.375E-2</v>
      </c>
      <c r="H315" s="618">
        <v>0.71</v>
      </c>
      <c r="I315" s="652">
        <v>4</v>
      </c>
      <c r="J315" s="216">
        <f t="shared" si="29"/>
        <v>0.59833333333333327</v>
      </c>
    </row>
    <row r="316" spans="1:10" x14ac:dyDescent="0.25">
      <c r="A316" s="29">
        <v>4252</v>
      </c>
      <c r="B316" s="618">
        <v>0.43</v>
      </c>
      <c r="C316" s="652">
        <v>200</v>
      </c>
      <c r="D316" s="747">
        <f t="shared" si="27"/>
        <v>3.2500000000000003E-3</v>
      </c>
      <c r="E316" s="618">
        <v>0.68</v>
      </c>
      <c r="F316" s="652">
        <v>50</v>
      </c>
      <c r="G316" s="748">
        <f t="shared" si="28"/>
        <v>2.375E-2</v>
      </c>
      <c r="H316" s="618">
        <v>0.71</v>
      </c>
      <c r="I316" s="652">
        <v>4</v>
      </c>
      <c r="J316" s="216">
        <f t="shared" si="29"/>
        <v>0.59833333333333327</v>
      </c>
    </row>
    <row r="317" spans="1:10" x14ac:dyDescent="0.25">
      <c r="A317" s="29">
        <v>4259</v>
      </c>
      <c r="B317" s="618">
        <v>0.65</v>
      </c>
      <c r="C317" s="652">
        <v>250</v>
      </c>
      <c r="D317" s="747">
        <f t="shared" si="27"/>
        <v>4.3499999999999997E-3</v>
      </c>
      <c r="E317" s="618">
        <v>1.06</v>
      </c>
      <c r="F317" s="652">
        <v>50</v>
      </c>
      <c r="G317" s="748">
        <f t="shared" si="28"/>
        <v>3.3250000000000002E-2</v>
      </c>
      <c r="H317" s="618">
        <v>0.11</v>
      </c>
      <c r="I317" s="652">
        <v>5.75</v>
      </c>
      <c r="J317" s="216">
        <f t="shared" si="29"/>
        <v>0.54833333333333334</v>
      </c>
    </row>
    <row r="318" spans="1:10" x14ac:dyDescent="0.25">
      <c r="A318" s="29">
        <v>4262</v>
      </c>
      <c r="B318" s="618">
        <v>0.31</v>
      </c>
      <c r="C318" s="652">
        <v>168.75</v>
      </c>
      <c r="D318" s="747">
        <f t="shared" si="27"/>
        <v>2.65E-3</v>
      </c>
      <c r="E318" s="618">
        <v>2.02</v>
      </c>
      <c r="F318" s="652">
        <v>47.5</v>
      </c>
      <c r="G318" s="748">
        <f t="shared" si="28"/>
        <v>5.7250000000000002E-2</v>
      </c>
      <c r="H318" s="618">
        <v>0.71</v>
      </c>
      <c r="I318" s="652">
        <v>4</v>
      </c>
      <c r="J318" s="216">
        <f t="shared" si="29"/>
        <v>0.59833333333333327</v>
      </c>
    </row>
    <row r="319" spans="1:10" x14ac:dyDescent="0.25">
      <c r="A319" s="29">
        <v>4265</v>
      </c>
      <c r="B319" s="618">
        <v>0.43</v>
      </c>
      <c r="C319" s="652">
        <v>200</v>
      </c>
      <c r="D319" s="747">
        <f t="shared" si="27"/>
        <v>3.2500000000000003E-3</v>
      </c>
      <c r="E319" s="618">
        <v>0.68</v>
      </c>
      <c r="F319" s="652">
        <v>50</v>
      </c>
      <c r="G319" s="748">
        <f t="shared" si="28"/>
        <v>2.375E-2</v>
      </c>
      <c r="H319" s="618">
        <v>0.71</v>
      </c>
      <c r="I319" s="652">
        <v>4</v>
      </c>
      <c r="J319" s="216">
        <f t="shared" si="29"/>
        <v>0.59833333333333327</v>
      </c>
    </row>
    <row r="320" spans="1:10" x14ac:dyDescent="0.25">
      <c r="A320" s="29">
        <v>4292</v>
      </c>
      <c r="B320" s="618">
        <v>0.27</v>
      </c>
      <c r="C320" s="652">
        <v>162.5</v>
      </c>
      <c r="D320" s="747">
        <f t="shared" si="27"/>
        <v>2.4499999999999999E-3</v>
      </c>
      <c r="E320" s="618">
        <v>1.81</v>
      </c>
      <c r="F320" s="652">
        <v>47.5</v>
      </c>
      <c r="G320" s="748">
        <f t="shared" si="28"/>
        <v>5.2000000000000005E-2</v>
      </c>
      <c r="H320" s="618">
        <v>0.67</v>
      </c>
      <c r="I320" s="652">
        <v>4.25</v>
      </c>
      <c r="J320" s="216">
        <f t="shared" si="29"/>
        <v>0.59499999999999997</v>
      </c>
    </row>
    <row r="321" spans="1:25" x14ac:dyDescent="0.25">
      <c r="A321" s="29">
        <v>4298</v>
      </c>
      <c r="B321" s="618">
        <v>0.43</v>
      </c>
      <c r="C321" s="652">
        <v>200</v>
      </c>
      <c r="D321" s="747">
        <f t="shared" si="27"/>
        <v>3.2500000000000003E-3</v>
      </c>
      <c r="E321" s="618">
        <v>1.81</v>
      </c>
      <c r="F321" s="652">
        <v>47.5</v>
      </c>
      <c r="G321" s="748">
        <f t="shared" si="28"/>
        <v>5.2000000000000005E-2</v>
      </c>
      <c r="H321" s="618">
        <v>1.9</v>
      </c>
      <c r="I321" s="652">
        <v>3.75</v>
      </c>
      <c r="J321" s="216">
        <f t="shared" si="29"/>
        <v>0.6974999999999999</v>
      </c>
    </row>
    <row r="322" spans="1:25" x14ac:dyDescent="0.25">
      <c r="A322" s="29">
        <v>4300</v>
      </c>
      <c r="B322" s="618">
        <v>0.43</v>
      </c>
      <c r="C322" s="652">
        <v>200</v>
      </c>
      <c r="D322" s="747">
        <f t="shared" si="27"/>
        <v>3.2500000000000003E-3</v>
      </c>
      <c r="E322" s="618">
        <v>2.58</v>
      </c>
      <c r="F322" s="652">
        <v>45</v>
      </c>
      <c r="G322" s="748">
        <f t="shared" si="28"/>
        <v>7.1250000000000008E-2</v>
      </c>
      <c r="H322" s="618">
        <v>-6.47</v>
      </c>
      <c r="I322" s="652">
        <v>14</v>
      </c>
      <c r="J322" s="216">
        <f t="shared" si="29"/>
        <v>0</v>
      </c>
    </row>
    <row r="323" spans="1:25" x14ac:dyDescent="0.25">
      <c r="A323" s="29">
        <v>4414</v>
      </c>
      <c r="B323" s="618">
        <v>0.34</v>
      </c>
      <c r="C323" s="652">
        <v>175</v>
      </c>
      <c r="D323" s="747">
        <f t="shared" si="27"/>
        <v>2.8000000000000004E-3</v>
      </c>
      <c r="E323" s="618">
        <v>0.68</v>
      </c>
      <c r="F323" s="652">
        <v>50</v>
      </c>
      <c r="G323" s="748">
        <f t="shared" si="28"/>
        <v>2.375E-2</v>
      </c>
      <c r="H323" s="618">
        <v>0.71</v>
      </c>
      <c r="I323" s="652">
        <v>4</v>
      </c>
      <c r="J323" s="216">
        <f t="shared" si="29"/>
        <v>0.59833333333333327</v>
      </c>
    </row>
    <row r="324" spans="1:25" x14ac:dyDescent="0.25">
      <c r="A324" s="29">
        <v>4425</v>
      </c>
      <c r="B324" s="618">
        <v>0.37</v>
      </c>
      <c r="C324" s="652">
        <v>181.25</v>
      </c>
      <c r="D324" s="747">
        <f t="shared" si="27"/>
        <v>2.9499999999999999E-3</v>
      </c>
      <c r="E324" s="618">
        <v>0.68</v>
      </c>
      <c r="F324" s="652">
        <v>50</v>
      </c>
      <c r="G324" s="748">
        <f t="shared" si="28"/>
        <v>2.375E-2</v>
      </c>
      <c r="H324" s="618">
        <v>0.71</v>
      </c>
      <c r="I324" s="652">
        <v>4</v>
      </c>
      <c r="J324" s="216">
        <f t="shared" si="29"/>
        <v>0.59833333333333327</v>
      </c>
    </row>
    <row r="325" spans="1:25" x14ac:dyDescent="0.25">
      <c r="A325" s="29">
        <v>4426</v>
      </c>
      <c r="B325" s="618">
        <v>0.43</v>
      </c>
      <c r="C325" s="652">
        <v>200</v>
      </c>
      <c r="D325" s="747">
        <f t="shared" si="27"/>
        <v>3.2500000000000003E-3</v>
      </c>
      <c r="E325" s="618">
        <v>2.0499999999999998</v>
      </c>
      <c r="F325" s="652">
        <v>47.5</v>
      </c>
      <c r="G325" s="748">
        <f t="shared" si="28"/>
        <v>5.7999999999999996E-2</v>
      </c>
      <c r="H325" s="618">
        <v>0.71</v>
      </c>
      <c r="I325" s="652">
        <v>4</v>
      </c>
      <c r="J325" s="216">
        <f t="shared" si="29"/>
        <v>0.59833333333333327</v>
      </c>
    </row>
    <row r="326" spans="1:25" x14ac:dyDescent="0.25">
      <c r="A326" s="29">
        <v>4430</v>
      </c>
      <c r="B326" s="618">
        <v>0.43</v>
      </c>
      <c r="C326" s="652">
        <v>200</v>
      </c>
      <c r="D326" s="747">
        <f t="shared" si="27"/>
        <v>3.2500000000000003E-3</v>
      </c>
      <c r="E326" s="618">
        <v>0.68</v>
      </c>
      <c r="F326" s="652">
        <v>50</v>
      </c>
      <c r="G326" s="748">
        <f t="shared" si="28"/>
        <v>2.375E-2</v>
      </c>
      <c r="H326" s="618">
        <v>0.71</v>
      </c>
      <c r="I326" s="652">
        <v>4</v>
      </c>
      <c r="J326" s="216">
        <f t="shared" si="29"/>
        <v>0.59833333333333327</v>
      </c>
    </row>
    <row r="327" spans="1:25" x14ac:dyDescent="0.25">
      <c r="A327" s="29">
        <v>4449</v>
      </c>
      <c r="B327" s="618">
        <v>0.46</v>
      </c>
      <c r="C327" s="652">
        <v>206.25</v>
      </c>
      <c r="D327" s="747">
        <f t="shared" si="27"/>
        <v>3.4000000000000002E-3</v>
      </c>
      <c r="E327" s="618">
        <v>0.68</v>
      </c>
      <c r="F327" s="652">
        <v>50</v>
      </c>
      <c r="G327" s="748">
        <f t="shared" si="28"/>
        <v>2.375E-2</v>
      </c>
      <c r="H327" s="618">
        <v>0.71</v>
      </c>
      <c r="I327" s="652">
        <v>4</v>
      </c>
      <c r="J327" s="216">
        <f t="shared" si="29"/>
        <v>0.59833333333333327</v>
      </c>
    </row>
    <row r="328" spans="1:25" x14ac:dyDescent="0.25">
      <c r="A328" s="29">
        <v>4450</v>
      </c>
      <c r="B328" s="618">
        <v>0.43</v>
      </c>
      <c r="C328" s="652">
        <v>200</v>
      </c>
      <c r="D328" s="747">
        <f t="shared" si="27"/>
        <v>3.2500000000000003E-3</v>
      </c>
      <c r="E328" s="618">
        <v>1.94</v>
      </c>
      <c r="F328" s="652">
        <v>47.5</v>
      </c>
      <c r="G328" s="748">
        <f t="shared" si="28"/>
        <v>5.525E-2</v>
      </c>
      <c r="H328" s="618">
        <v>2.87</v>
      </c>
      <c r="I328" s="652">
        <v>3.25</v>
      </c>
      <c r="J328" s="216">
        <f t="shared" si="29"/>
        <v>0.77833333333333332</v>
      </c>
    </row>
    <row r="329" spans="1:25" x14ac:dyDescent="0.25">
      <c r="A329" s="29">
        <v>4457</v>
      </c>
      <c r="B329" s="618">
        <v>0.43</v>
      </c>
      <c r="C329" s="652">
        <v>200</v>
      </c>
      <c r="D329" s="747">
        <f t="shared" si="27"/>
        <v>3.2500000000000003E-3</v>
      </c>
      <c r="E329" s="618">
        <v>1.67</v>
      </c>
      <c r="F329" s="652">
        <v>47.5</v>
      </c>
      <c r="G329" s="748">
        <f t="shared" si="28"/>
        <v>4.8500000000000001E-2</v>
      </c>
      <c r="H329" s="618">
        <v>2.39</v>
      </c>
      <c r="I329" s="652">
        <v>3.75</v>
      </c>
      <c r="J329" s="216">
        <f t="shared" si="29"/>
        <v>0.73833333333333329</v>
      </c>
    </row>
    <row r="330" spans="1:25" x14ac:dyDescent="0.25">
      <c r="A330" s="29">
        <v>4474</v>
      </c>
      <c r="B330" s="618">
        <v>0.36</v>
      </c>
      <c r="C330" s="652">
        <v>181.25</v>
      </c>
      <c r="D330" s="747">
        <f t="shared" si="27"/>
        <v>2.8999999999999998E-3</v>
      </c>
      <c r="E330" s="618">
        <v>0.68</v>
      </c>
      <c r="F330" s="652">
        <v>50</v>
      </c>
      <c r="G330" s="748">
        <f t="shared" si="28"/>
        <v>2.375E-2</v>
      </c>
      <c r="H330" s="618">
        <v>0.71</v>
      </c>
      <c r="I330" s="652">
        <v>4</v>
      </c>
      <c r="J330" s="216">
        <f t="shared" si="29"/>
        <v>0.59833333333333327</v>
      </c>
    </row>
    <row r="331" spans="1:25" x14ac:dyDescent="0.25">
      <c r="A331" s="29">
        <v>4477</v>
      </c>
      <c r="B331" s="618">
        <v>0.43</v>
      </c>
      <c r="C331" s="652">
        <v>200</v>
      </c>
      <c r="D331" s="747">
        <f t="shared" si="27"/>
        <v>3.2500000000000003E-3</v>
      </c>
      <c r="E331" s="618">
        <v>0.59</v>
      </c>
      <c r="F331" s="652">
        <v>52.5</v>
      </c>
      <c r="G331" s="748">
        <f t="shared" si="28"/>
        <v>2.1499999999999998E-2</v>
      </c>
      <c r="H331" s="618">
        <v>1.9</v>
      </c>
      <c r="I331" s="652">
        <v>3.75</v>
      </c>
      <c r="J331" s="216">
        <f t="shared" si="29"/>
        <v>0.6974999999999999</v>
      </c>
    </row>
    <row r="332" spans="1:25" x14ac:dyDescent="0.25">
      <c r="A332" s="29">
        <v>4478</v>
      </c>
      <c r="B332" s="618">
        <v>0.43</v>
      </c>
      <c r="C332" s="652">
        <v>200</v>
      </c>
      <c r="D332" s="747">
        <f t="shared" si="27"/>
        <v>3.2500000000000003E-3</v>
      </c>
      <c r="E332" s="618">
        <v>0.68</v>
      </c>
      <c r="F332" s="652">
        <v>50</v>
      </c>
      <c r="G332" s="748">
        <f t="shared" si="28"/>
        <v>2.375E-2</v>
      </c>
      <c r="H332" s="618">
        <v>0.71</v>
      </c>
      <c r="I332" s="652">
        <v>4</v>
      </c>
      <c r="J332" s="216">
        <f t="shared" si="29"/>
        <v>0.59833333333333327</v>
      </c>
    </row>
    <row r="333" spans="1:25" x14ac:dyDescent="0.25">
      <c r="A333" s="29">
        <v>4479</v>
      </c>
      <c r="B333" s="618">
        <v>0.43</v>
      </c>
      <c r="C333" s="652">
        <v>200</v>
      </c>
      <c r="D333" s="747">
        <f t="shared" si="27"/>
        <v>3.2500000000000003E-3</v>
      </c>
      <c r="E333" s="618">
        <v>1.69</v>
      </c>
      <c r="F333" s="652">
        <v>47.5</v>
      </c>
      <c r="G333" s="748">
        <f t="shared" si="28"/>
        <v>4.9000000000000002E-2</v>
      </c>
      <c r="H333" s="618">
        <v>1.88</v>
      </c>
      <c r="I333" s="652">
        <v>3.75</v>
      </c>
      <c r="J333" s="216">
        <f t="shared" si="29"/>
        <v>0.6958333333333333</v>
      </c>
    </row>
    <row r="334" spans="1:25" x14ac:dyDescent="0.25">
      <c r="A334" s="29">
        <v>4481</v>
      </c>
      <c r="B334" s="618">
        <v>0.36</v>
      </c>
      <c r="C334" s="652">
        <v>181.25</v>
      </c>
      <c r="D334" s="747">
        <f t="shared" si="27"/>
        <v>2.8999999999999998E-3</v>
      </c>
      <c r="E334" s="618">
        <v>0.34</v>
      </c>
      <c r="F334" s="652">
        <v>55</v>
      </c>
      <c r="G334" s="748">
        <f t="shared" si="28"/>
        <v>1.5250000000000003E-2</v>
      </c>
      <c r="H334" s="618">
        <v>0.71</v>
      </c>
      <c r="I334" s="652">
        <v>4</v>
      </c>
      <c r="J334" s="216">
        <f t="shared" si="29"/>
        <v>0.59833333333333327</v>
      </c>
    </row>
    <row r="335" spans="1:25" x14ac:dyDescent="0.25">
      <c r="A335" s="29">
        <v>4482</v>
      </c>
      <c r="B335" s="618">
        <v>0.43</v>
      </c>
      <c r="C335" s="652">
        <v>200</v>
      </c>
      <c r="D335" s="747">
        <f t="shared" si="27"/>
        <v>3.2500000000000003E-3</v>
      </c>
      <c r="E335" s="618">
        <v>1.56</v>
      </c>
      <c r="F335" s="652">
        <v>48.75</v>
      </c>
      <c r="G335" s="748">
        <f t="shared" si="28"/>
        <v>4.5749999999999999E-2</v>
      </c>
      <c r="H335" s="618">
        <v>0.71</v>
      </c>
      <c r="I335" s="652">
        <v>4</v>
      </c>
      <c r="J335" s="216">
        <f t="shared" si="29"/>
        <v>0.59833333333333327</v>
      </c>
    </row>
    <row r="336" spans="1:25" s="5" customFormat="1" x14ac:dyDescent="0.25">
      <c r="A336" s="6" t="s">
        <v>942</v>
      </c>
      <c r="B336" s="45"/>
      <c r="C336" s="45"/>
      <c r="D336" s="735">
        <f>AVERAGE(D17:D335)</f>
        <v>3.1269592476488983E-3</v>
      </c>
      <c r="E336" s="44"/>
      <c r="F336" s="44"/>
      <c r="G336" s="736">
        <f>AVERAGE(G17:G335)</f>
        <v>3.5471003134796175E-2</v>
      </c>
      <c r="H336" s="45"/>
      <c r="I336" s="737"/>
      <c r="J336" s="738">
        <f>AVERAGE(J17:J335)</f>
        <v>0.59172936259143039</v>
      </c>
      <c r="P336" s="15"/>
      <c r="Q336" s="45"/>
      <c r="R336" s="45"/>
      <c r="S336" s="735">
        <f>AVERAGE(S17:S335)</f>
        <v>3.1280575539568306E-3</v>
      </c>
      <c r="T336" s="739"/>
      <c r="U336" s="739"/>
      <c r="V336" s="735">
        <f>AVERAGE(V17:V335)</f>
        <v>0.13713257965056522</v>
      </c>
      <c r="W336" s="739"/>
      <c r="X336" s="739"/>
      <c r="Y336" s="735">
        <f>AVERAGE(Y17:Y335)</f>
        <v>0.55057553956834482</v>
      </c>
    </row>
    <row r="337" spans="1:42" x14ac:dyDescent="0.25">
      <c r="A337" s="648"/>
      <c r="B337" s="649"/>
      <c r="C337" s="649"/>
      <c r="D337" s="654"/>
      <c r="E337" s="655"/>
      <c r="F337" s="655"/>
      <c r="G337" s="654"/>
      <c r="H337" s="613"/>
      <c r="I337" s="613"/>
      <c r="J337" s="656"/>
      <c r="P337" s="648"/>
      <c r="Q337" s="648"/>
      <c r="R337" s="648"/>
      <c r="S337" s="648"/>
      <c r="T337" s="648"/>
      <c r="U337" s="648"/>
      <c r="V337" s="648"/>
      <c r="W337" s="648"/>
      <c r="X337" s="648"/>
      <c r="Y337" s="648"/>
    </row>
    <row r="340" spans="1:42" x14ac:dyDescent="0.25">
      <c r="A340" s="651" t="s">
        <v>882</v>
      </c>
    </row>
    <row r="343" spans="1:42" s="9" customFormat="1" x14ac:dyDescent="0.25">
      <c r="A343" s="60"/>
      <c r="B343" s="60"/>
      <c r="C343" s="60"/>
      <c r="D343" s="110"/>
      <c r="E343" s="110"/>
      <c r="F343" s="110"/>
      <c r="G343" s="110"/>
      <c r="H343" s="110"/>
      <c r="I343" s="110"/>
      <c r="J343" s="111"/>
      <c r="K343" s="110"/>
      <c r="L343" s="110"/>
      <c r="M343" s="110"/>
      <c r="N343" s="110"/>
      <c r="O343" s="110"/>
      <c r="P343" s="110"/>
      <c r="Q343" s="110"/>
      <c r="R343" s="110"/>
      <c r="S343" s="111"/>
      <c r="T343" s="110"/>
      <c r="U343" s="110"/>
      <c r="V343" s="110"/>
      <c r="W343" s="110"/>
      <c r="X343" s="110"/>
      <c r="Y343" s="111"/>
      <c r="Z343" s="110"/>
      <c r="AA343" s="110"/>
      <c r="AB343" s="110"/>
      <c r="AC343" s="110"/>
      <c r="AD343" s="110"/>
      <c r="AE343" s="110"/>
      <c r="AF343" s="110"/>
      <c r="AG343" s="110"/>
    </row>
    <row r="344" spans="1:42" s="9" customFormat="1" ht="19.5" x14ac:dyDescent="0.3">
      <c r="A344" s="112" t="s">
        <v>362</v>
      </c>
      <c r="B344" s="60"/>
      <c r="C344" s="60"/>
      <c r="D344" s="242"/>
      <c r="E344" s="241"/>
      <c r="F344" s="241"/>
      <c r="G344" s="241"/>
      <c r="H344" s="241"/>
      <c r="I344" s="241"/>
      <c r="J344" s="243"/>
      <c r="K344" s="110"/>
      <c r="L344" s="110"/>
      <c r="M344" s="110"/>
      <c r="N344" s="110"/>
      <c r="O344" s="110"/>
      <c r="P344" s="110"/>
      <c r="Q344" s="110"/>
      <c r="R344" s="110"/>
      <c r="S344" s="111"/>
      <c r="T344" s="110"/>
      <c r="U344" s="110"/>
      <c r="V344" s="110"/>
      <c r="W344" s="110"/>
      <c r="X344" s="110"/>
      <c r="Y344" s="243"/>
      <c r="Z344" s="110"/>
      <c r="AA344" s="110"/>
      <c r="AB344" s="110"/>
      <c r="AC344" s="110"/>
      <c r="AD344" s="110"/>
      <c r="AE344" s="110"/>
      <c r="AF344" s="110"/>
      <c r="AG344" s="110"/>
    </row>
    <row r="345" spans="1:42" s="9" customFormat="1" ht="15.75" customHeight="1" thickBot="1" x14ac:dyDescent="0.3">
      <c r="A345" s="60"/>
      <c r="B345" s="63"/>
      <c r="C345" s="245"/>
      <c r="D345" s="129" t="s">
        <v>988</v>
      </c>
      <c r="E345" s="193"/>
      <c r="F345" s="193"/>
      <c r="G345" s="129" t="s">
        <v>987</v>
      </c>
      <c r="H345" s="129"/>
      <c r="I345" s="130"/>
      <c r="J345" s="1014" t="s">
        <v>943</v>
      </c>
      <c r="K345" s="1013" t="s">
        <v>953</v>
      </c>
      <c r="L345" s="812"/>
      <c r="M345" s="812"/>
      <c r="N345" s="812"/>
      <c r="O345" s="734"/>
      <c r="P345" s="1013" t="s">
        <v>333</v>
      </c>
      <c r="Q345" s="60"/>
      <c r="R345" s="60"/>
      <c r="S345" s="129" t="s">
        <v>988</v>
      </c>
      <c r="T345" s="193"/>
      <c r="U345" s="193"/>
      <c r="V345" s="129" t="s">
        <v>987</v>
      </c>
      <c r="W345" s="129"/>
      <c r="X345" s="130"/>
      <c r="Y345" s="1014" t="s">
        <v>943</v>
      </c>
      <c r="Z345" s="1013" t="s">
        <v>953</v>
      </c>
      <c r="AA345" s="812"/>
      <c r="AB345" s="812"/>
      <c r="AC345" s="812"/>
      <c r="AD345" s="812"/>
      <c r="AE345" s="1013" t="s">
        <v>333</v>
      </c>
      <c r="AF345" s="60"/>
      <c r="AG345" s="60"/>
    </row>
    <row r="346" spans="1:42" s="65" customFormat="1" ht="30" customHeight="1" x14ac:dyDescent="0.25">
      <c r="A346" s="66" t="s">
        <v>382</v>
      </c>
      <c r="B346" s="66" t="s">
        <v>425</v>
      </c>
      <c r="C346" s="66" t="s">
        <v>450</v>
      </c>
      <c r="D346" s="647" t="s">
        <v>259</v>
      </c>
      <c r="E346" s="647" t="s">
        <v>260</v>
      </c>
      <c r="F346" s="647" t="s">
        <v>261</v>
      </c>
      <c r="G346" s="647" t="s">
        <v>313</v>
      </c>
      <c r="H346" s="647" t="s">
        <v>312</v>
      </c>
      <c r="I346" s="647" t="s">
        <v>311</v>
      </c>
      <c r="J346" s="1014"/>
      <c r="K346" s="1013"/>
      <c r="L346" s="808" t="s">
        <v>989</v>
      </c>
      <c r="M346" s="808" t="s">
        <v>990</v>
      </c>
      <c r="N346" s="808" t="s">
        <v>991</v>
      </c>
      <c r="O346" s="808" t="s">
        <v>992</v>
      </c>
      <c r="P346" s="1013"/>
      <c r="Q346" s="246" t="s">
        <v>368</v>
      </c>
      <c r="R346" s="372" t="s">
        <v>367</v>
      </c>
      <c r="S346" s="647" t="s">
        <v>259</v>
      </c>
      <c r="T346" s="647" t="s">
        <v>260</v>
      </c>
      <c r="U346" s="647" t="s">
        <v>261</v>
      </c>
      <c r="V346" s="647" t="s">
        <v>313</v>
      </c>
      <c r="W346" s="647" t="s">
        <v>312</v>
      </c>
      <c r="X346" s="647" t="s">
        <v>311</v>
      </c>
      <c r="Y346" s="1014"/>
      <c r="Z346" s="1013"/>
      <c r="AA346" s="808" t="s">
        <v>989</v>
      </c>
      <c r="AB346" s="808" t="s">
        <v>990</v>
      </c>
      <c r="AC346" s="808" t="s">
        <v>991</v>
      </c>
      <c r="AD346" s="808" t="s">
        <v>992</v>
      </c>
      <c r="AE346" s="1013"/>
      <c r="AF346" s="246" t="s">
        <v>368</v>
      </c>
      <c r="AG346" s="372" t="s">
        <v>367</v>
      </c>
    </row>
    <row r="347" spans="1:42" s="176" customFormat="1" x14ac:dyDescent="0.25">
      <c r="A347" s="9" t="s">
        <v>669</v>
      </c>
      <c r="B347" s="9" t="s">
        <v>88</v>
      </c>
      <c r="C347" s="9" t="s">
        <v>315</v>
      </c>
      <c r="D347" s="247">
        <f ca="1">INDEX(INDIRECT("SSW_WTPCore2_"&amp;$C347&amp;"_Levels"),1,MATCH(D$346,WTPCore2_AttLevels,0))</f>
        <v>0</v>
      </c>
      <c r="E347" s="247"/>
      <c r="F347" s="247">
        <f ca="1">INDEX(INDIRECT("SSW_WTPCore2_"&amp;$C347&amp;"_Levels"),1,MATCH(F$346,WTPCore2_AttLevels,0))</f>
        <v>50</v>
      </c>
      <c r="G347" s="117">
        <f ca="1">INDEX(INDIRECT("SSW_WTPCore2_"&amp;$C347&amp;"_LevelValues"),1,MATCH("S1 MEAN",WTPCore2_LevelValues,0))</f>
        <v>0.31132700138064179</v>
      </c>
      <c r="H347" s="117">
        <f ca="1">INDEX(INDIRECT("SSW_WTPCore2_"&amp;$C347&amp;"_LevelValues"),1,MATCH("S2 MEAN",WTPCore2_LevelValues,0))</f>
        <v>0.13284027031511708</v>
      </c>
      <c r="I347" s="117">
        <f ca="1">SUM(G347:H347)</f>
        <v>0.44416727169575887</v>
      </c>
      <c r="J347" s="589">
        <f>D336</f>
        <v>3.1269592476488983E-3</v>
      </c>
      <c r="K347" s="370">
        <f ca="1">-J347*(D347-F347)</f>
        <v>0.15634796238244492</v>
      </c>
      <c r="L347" s="820">
        <f t="shared" ref="L347:L349" ca="1" si="30">INDEX(INDIRECT("SSW_WTPCore_DCE_"&amp;$C347&amp;"_UnitValues"),MATCH("COMBINED-HH",WTPCore_Group,0),MATCH("MEAN",LMH,0))</f>
        <v>10488</v>
      </c>
      <c r="M347" s="579">
        <f ca="1">-L347*(D347-F347)/HHProps_SSW</f>
        <v>0.95</v>
      </c>
      <c r="N347" s="343">
        <f ca="1">INDEX(INDIRECT("SSW_WTPCore2_"&amp;$C347&amp;"_UnitValues"),1,MATCH("MEAN",LMH,0))</f>
        <v>4903.6066795211782</v>
      </c>
      <c r="O347" s="579">
        <f ca="1">-N347*(D347-F347)/HHProps_SSW</f>
        <v>0.44416727169575887</v>
      </c>
      <c r="P347" s="14">
        <f ca="1">K347*N$351/K$350</f>
        <v>0.12639591434899458</v>
      </c>
      <c r="Q347" s="29" t="s">
        <v>397</v>
      </c>
      <c r="R347" s="669">
        <f ca="1">-(P347*HHProps_SSW)/((D347-F347))</f>
        <v>1395.4108944129</v>
      </c>
      <c r="S347" s="247">
        <f ca="1">INDEX(INDIRECT("CAM_WTPCore2_"&amp;$C347&amp;"_Levels"),1,MATCH(S$346,WTPCore2_AttLevels,0))</f>
        <v>0</v>
      </c>
      <c r="T347" s="247"/>
      <c r="U347" s="247">
        <f ca="1">INDEX(INDIRECT("CAM_WTPCore2_"&amp;$C347&amp;"_Levels"),1,MATCH(U$346,WTPCore2_AttLevels,0))</f>
        <v>9</v>
      </c>
      <c r="V347" s="117">
        <f ca="1">INDEX(INDIRECT("CAM_WTPCore2_"&amp;$C347&amp;"_LevelValues"),1,MATCH("S1 MEAN",WTPCore2_LevelValues,0))</f>
        <v>0.16524275196632074</v>
      </c>
      <c r="W347" s="117">
        <f ca="1">INDEX(INDIRECT("CAM_WTPCore2_"&amp;$C347&amp;"_LevelValues"),1,MATCH("S2 MEAN",WTPCore2_LevelValues,0))</f>
        <v>2.2165878650139109E-2</v>
      </c>
      <c r="X347" s="117">
        <f ca="1">SUM(V347:W347)</f>
        <v>0.18740863061645985</v>
      </c>
      <c r="Y347" s="589">
        <f>S336</f>
        <v>3.1280575539568306E-3</v>
      </c>
      <c r="Z347" s="370">
        <f ca="1">-Y347*(S347-U347)</f>
        <v>2.8152517985611476E-2</v>
      </c>
      <c r="AA347" s="579">
        <f ca="1">INDEX(INDIRECT("CAM_WTPCore_"&amp;$C347&amp;"_UnitValues"),MATCH("COMBINED-HH",WTPCore_Group,0),MATCH("MEAN",LMH,0))</f>
        <v>14803.000000000004</v>
      </c>
      <c r="AB347" s="579">
        <f ca="1">-AA347*(S347-U347)/HHProps_CAM</f>
        <v>1.0170000000000001</v>
      </c>
      <c r="AC347" s="117">
        <f t="shared" ref="AC347:AC349" ca="1" si="31">INDEX(INDIRECT("CAM_WTPCore2_"&amp;$C347&amp;"_UnitValues"),1,MATCH("MEAN",LMH,0))</f>
        <v>2727.836734528471</v>
      </c>
      <c r="AD347" s="579">
        <f ca="1">-AC347*(S347-U347)/HHProps_CAM</f>
        <v>0.18740863061645985</v>
      </c>
      <c r="AE347" s="667">
        <f ca="1">Z347*AD$351/Z$350</f>
        <v>9.2734678736059076E-2</v>
      </c>
      <c r="AF347" s="29" t="s">
        <v>397</v>
      </c>
      <c r="AG347" s="669">
        <f ca="1">-(AE347*HHProps_CAM)/((S347-U347))</f>
        <v>1349.8047682693043</v>
      </c>
    </row>
    <row r="348" spans="1:42" s="176" customFormat="1" x14ac:dyDescent="0.25">
      <c r="A348" s="9" t="s">
        <v>884</v>
      </c>
      <c r="B348" s="9" t="s">
        <v>3</v>
      </c>
      <c r="C348" s="9" t="s">
        <v>3</v>
      </c>
      <c r="D348" s="247">
        <f ca="1">INDEX(INDIRECT("SSW_WTPCore2_"&amp;$C348&amp;"_Levels"),1,MATCH(D$346,WTPCore2_AttLevels,0))</f>
        <v>70.5</v>
      </c>
      <c r="E348" s="192"/>
      <c r="F348" s="192">
        <f ca="1">INDEX(INDIRECT("SSW_WTPCore2_"&amp;$C348&amp;"_Levels"),1,MATCH(F$346,WTPCore2_AttLevels,0))</f>
        <v>35.25</v>
      </c>
      <c r="G348" s="117">
        <f ca="1">INDEX(INDIRECT("SSW_WTPCore2_"&amp;$C348&amp;"_LevelValues"),1,MATCH("S1 MEAN",WTPCore2_LevelValues,0))</f>
        <v>1.2301339708448666</v>
      </c>
      <c r="H348" s="117">
        <f ca="1">INDEX(INDIRECT("SSW_WTPCore2_"&amp;$C348&amp;"_LevelValues"),1,MATCH("S2 MEAN",WTPCore2_LevelValues,0))</f>
        <v>0.44133293088857806</v>
      </c>
      <c r="I348" s="117">
        <f ca="1">SUM(G348:H348)</f>
        <v>1.6714669017334447</v>
      </c>
      <c r="J348" s="589">
        <f>G336</f>
        <v>3.5471003134796175E-2</v>
      </c>
      <c r="K348" s="370">
        <f ca="1">J348*(D348-F348)</f>
        <v>1.2503528605015652</v>
      </c>
      <c r="L348" s="820">
        <f t="shared" ca="1" si="30"/>
        <v>31319.148936170212</v>
      </c>
      <c r="M348" s="579">
        <f ca="1">L348*(D348-F348)/HHProps_SSW</f>
        <v>2</v>
      </c>
      <c r="N348" s="343">
        <f t="shared" ref="N348:N349" ca="1" si="32">INDEX(INDIRECT("SSW_WTPCore2_"&amp;$C348&amp;"_UnitValues"),1,MATCH("MEAN",LMH,0))</f>
        <v>26174.460418634368</v>
      </c>
      <c r="O348" s="579">
        <f ca="1">N348*($D348-$F348)/HHProps_SSW</f>
        <v>1.6714669017334447</v>
      </c>
      <c r="P348" s="14">
        <f t="shared" ref="P348:P349" ca="1" si="33">K348*N$351/K$350</f>
        <v>1.0108190132685813</v>
      </c>
      <c r="Q348" s="29" t="s">
        <v>875</v>
      </c>
      <c r="R348" s="669">
        <f ca="1">(P348*HHProps_SSW)/((D348-F348))</f>
        <v>15828.995612035655</v>
      </c>
      <c r="S348" s="247">
        <f ca="1">INDEX(INDIRECT("CAM_WTPCore2_"&amp;$C348&amp;"_Levels"),1,MATCH(S$346,WTPCore2_AttLevels,0))</f>
        <v>13.5</v>
      </c>
      <c r="T348" s="192"/>
      <c r="U348" s="247">
        <f ca="1">INDEX(INDIRECT("CAM_WTPCore2_"&amp;$C348&amp;"_Levels"),1,MATCH(U$346,WTPCore2_AttLevels,0))</f>
        <v>6.75</v>
      </c>
      <c r="V348" s="117">
        <f ca="1">INDEX(INDIRECT("CAM_WTPCore2_"&amp;$C348&amp;"_LevelValues"),1,MATCH("S1 MEAN",WTPCore2_LevelValues,0))</f>
        <v>3.1349723048319831</v>
      </c>
      <c r="W348" s="117">
        <f ca="1">INDEX(INDIRECT("CAM_WTPCore2_"&amp;$C348&amp;"_LevelValues"),1,MATCH("S2 MEAN",WTPCore2_LevelValues,0))</f>
        <v>5.1405797633106154E-3</v>
      </c>
      <c r="X348" s="117">
        <f ca="1">SUM(V348:W348)</f>
        <v>3.1401128845952937</v>
      </c>
      <c r="Y348" s="192">
        <f>V336</f>
        <v>0.13713257965056522</v>
      </c>
      <c r="Z348" s="370">
        <f ca="1">Y348*(S348-U348)</f>
        <v>0.92564491264131521</v>
      </c>
      <c r="AA348" s="579">
        <f t="shared" ref="AA348:AA349" ca="1" si="34">INDEX(INDIRECT("CAM_WTPCore_"&amp;$C348&amp;"_UnitValues"),MATCH("COMBINED-HH",WTPCore_Group,0),MATCH("MEAN",LMH,0))</f>
        <v>140121.48148148149</v>
      </c>
      <c r="AB348" s="579">
        <f ca="1">AA348*($S348-$U348)/HHProps_CAM</f>
        <v>7.22</v>
      </c>
      <c r="AC348" s="117">
        <f t="shared" ca="1" si="31"/>
        <v>60941.450056590147</v>
      </c>
      <c r="AD348" s="579">
        <f ca="1">AC348*($S348-$U348)/HHProps_CAM</f>
        <v>3.1401128845952937</v>
      </c>
      <c r="AE348" s="667">
        <f t="shared" ref="AE348:AE349" ca="1" si="35">Z348*AD$351/Z$350</f>
        <v>3.0490836962197001</v>
      </c>
      <c r="AF348" s="29" t="s">
        <v>875</v>
      </c>
      <c r="AG348" s="669">
        <f ca="1">(AE348*HHProps_CAM)/((S348-U348))</f>
        <v>59174.80951181936</v>
      </c>
    </row>
    <row r="349" spans="1:42" s="176" customFormat="1" ht="15.75" thickBot="1" x14ac:dyDescent="0.3">
      <c r="A349" s="9" t="s">
        <v>885</v>
      </c>
      <c r="B349" s="9" t="s">
        <v>83</v>
      </c>
      <c r="C349" s="9" t="s">
        <v>269</v>
      </c>
      <c r="D349" s="570">
        <f ca="1">INDEX(INDIRECT("SSW_WTPCore2_"&amp;$C349&amp;"_Levels"),1,MATCH(D$346,WTPCore2_AttLevels,0))</f>
        <v>1.4285714285714285E-2</v>
      </c>
      <c r="E349" s="42"/>
      <c r="F349" s="570">
        <f ca="1">INDEX(INDIRECT("SSW_WTPCore2_"&amp;$C349&amp;"_Levels"),1,MATCH(F$346,WTPCore2_AttLevels,0))</f>
        <v>9.5238095238095247E-3</v>
      </c>
      <c r="G349" s="117">
        <f ca="1">INDEX(INDIRECT("SSW_WTPCore2_"&amp;$C349&amp;"_LevelValues"),1,MATCH("S1 MEAN",WTPCore2_LevelValues,0))</f>
        <v>0.39718669024665654</v>
      </c>
      <c r="H349" s="117">
        <f ca="1">INDEX(INDIRECT("SSW_WTPCore2_"&amp;$C349&amp;"_LevelValues"),1,MATCH("S2 MEAN",WTPCore2_LevelValues,0))</f>
        <v>0.53859352958370721</v>
      </c>
      <c r="I349" s="117">
        <f ca="1">SUM(G349:H349)</f>
        <v>0.93578021983036375</v>
      </c>
      <c r="J349" s="192">
        <f>J336*AllProps_SSW/720</f>
        <v>484.06749245326733</v>
      </c>
      <c r="K349" s="370">
        <f ca="1">J349*(D349-F349)</f>
        <v>2.3050832973965103</v>
      </c>
      <c r="L349" s="820">
        <f t="shared" ca="1" si="30"/>
        <v>160.37052631578945</v>
      </c>
      <c r="M349" s="579">
        <f ca="1">-L349*(D349-F349)/HHProps_SSW</f>
        <v>-1.3834586466165408E-6</v>
      </c>
      <c r="N349" s="343">
        <f t="shared" ca="1" si="32"/>
        <v>184.16917331534088</v>
      </c>
      <c r="O349" s="579">
        <f ca="1">N349*($D349-$F349)*(AllProps_SSW/HHProps_SSW)</f>
        <v>0.93578021983036364</v>
      </c>
      <c r="P349" s="14">
        <f t="shared" ca="1" si="33"/>
        <v>1.8634915772828844</v>
      </c>
      <c r="Q349" s="29" t="s">
        <v>369</v>
      </c>
      <c r="R349" s="670">
        <f ca="1">(P349*HHProps_SSW)/((D349-F349)*AllProps_SSW)</f>
        <v>366.75032875828862</v>
      </c>
      <c r="S349" s="570">
        <f ca="1">INDEX(INDIRECT("CAM_WTPCore2_"&amp;$C349&amp;"_Levels"),1,MATCH(S$346,WTPCore2_AttLevels,0))</f>
        <v>2.5000000000000001E-2</v>
      </c>
      <c r="T349" s="42"/>
      <c r="U349" s="570">
        <f ca="1">INDEX(INDIRECT("CAM_WTPCore2_"&amp;$C349&amp;"_Levels"),1,MATCH(U$346,WTPCore2_AttLevels,0))</f>
        <v>1.6666666666666666E-2</v>
      </c>
      <c r="V349" s="117">
        <f ca="1">INDEX(INDIRECT("CAM_WTPCore2_"&amp;$C349&amp;"_LevelValues"),1,MATCH("S1 MEAN",WTPCore2_LevelValues,0))</f>
        <v>5.3490671066612649E-2</v>
      </c>
      <c r="W349" s="117">
        <f ca="1">INDEX(INDIRECT("CAM_WTPCore2_"&amp;$C349&amp;"_LevelValues"),1,MATCH("S2 MEAN",WTPCore2_LevelValues,0))</f>
        <v>0.33457681646237136</v>
      </c>
      <c r="X349" s="117">
        <f ca="1">SUM(V349:W349)</f>
        <v>0.38806748752898401</v>
      </c>
      <c r="Y349" s="192">
        <f>Y336*AllProps_CAM/720</f>
        <v>107.82104316546753</v>
      </c>
      <c r="Z349" s="370">
        <f ca="1">Y349*(S349-U349)</f>
        <v>0.89850869304556291</v>
      </c>
      <c r="AA349" s="579">
        <f t="shared" ca="1" si="34"/>
        <v>27.921526908635794</v>
      </c>
      <c r="AB349" s="579">
        <f ca="1">AA349*($S349-$U349)*(AllProps_CAM/HHProps_CAM)</f>
        <v>0.25044117647058822</v>
      </c>
      <c r="AC349" s="117">
        <f t="shared" ca="1" si="31"/>
        <v>43.265396481954809</v>
      </c>
      <c r="AD349" s="579">
        <f ca="1">AC349*($S349-$U349)*(AllProps_CAM/HHProps_CAM)</f>
        <v>0.38806748752898401</v>
      </c>
      <c r="AE349" s="667">
        <f t="shared" ca="1" si="35"/>
        <v>2.9596967146499029</v>
      </c>
      <c r="AF349" s="29" t="s">
        <v>369</v>
      </c>
      <c r="AG349" s="670">
        <f ca="1">(AE349*HHProps_CAM)/((S349-U349)*AllProps_CAM)</f>
        <v>329.9746975482019</v>
      </c>
    </row>
    <row r="350" spans="1:42" x14ac:dyDescent="0.25">
      <c r="A350" s="9"/>
      <c r="B350" s="9"/>
      <c r="C350" s="9"/>
      <c r="D350" s="9"/>
      <c r="E350" s="9"/>
      <c r="F350" s="9"/>
      <c r="G350" s="9"/>
      <c r="H350" s="9"/>
      <c r="I350" s="297">
        <f ca="1">SUM(I347:I349)</f>
        <v>3.0514143932595674</v>
      </c>
      <c r="J350" s="299">
        <f>SUM(J347:J349)</f>
        <v>484.10609041564976</v>
      </c>
      <c r="K350" s="299">
        <f ca="1">SUM(K347:K349)</f>
        <v>3.7117841202805204</v>
      </c>
      <c r="L350" s="299"/>
      <c r="M350" s="297">
        <f ca="1">SUM(M347:M349)</f>
        <v>2.9499986165413534</v>
      </c>
      <c r="N350" s="299"/>
      <c r="O350" s="297">
        <f ca="1">SUM(O347:O349)</f>
        <v>3.051414393259567</v>
      </c>
      <c r="P350" s="297">
        <f ca="1">SUM(P347:P349)</f>
        <v>3.0007065049004602</v>
      </c>
      <c r="Q350" s="64"/>
      <c r="R350" s="64"/>
      <c r="S350" s="9"/>
      <c r="T350" s="64"/>
      <c r="U350" s="64"/>
      <c r="V350" s="64"/>
      <c r="W350" s="9"/>
      <c r="X350" s="297">
        <f ca="1">SUM(X347:X349)</f>
        <v>3.7155890027407379</v>
      </c>
      <c r="Y350" s="299">
        <f>SUM(Y347:Y349)</f>
        <v>107.96130380267205</v>
      </c>
      <c r="Z350" s="299">
        <f ca="1">SUM(Z347:Z349)</f>
        <v>1.8523061236724896</v>
      </c>
      <c r="AA350" s="299"/>
      <c r="AB350" s="297">
        <f ca="1">SUM(AB347:AB349)</f>
        <v>8.4874411764705879</v>
      </c>
      <c r="AC350" s="299"/>
      <c r="AD350" s="297">
        <f ca="1">SUM(AD347:AD349)</f>
        <v>3.7155890027407379</v>
      </c>
      <c r="AE350" s="297">
        <f ca="1">SUM(AE347:AE349)</f>
        <v>6.1015150896056625</v>
      </c>
      <c r="AF350" s="9"/>
      <c r="AG350" s="9"/>
      <c r="AH350" s="9"/>
      <c r="AI350" s="9"/>
      <c r="AJ350" s="9"/>
      <c r="AK350" s="9"/>
      <c r="AL350" s="9"/>
      <c r="AM350" s="9"/>
      <c r="AN350" s="9"/>
      <c r="AO350" s="9"/>
      <c r="AP350" s="9"/>
    </row>
    <row r="351" spans="1:42" s="176" customFormat="1" x14ac:dyDescent="0.25">
      <c r="A351" s="177"/>
      <c r="B351" s="177"/>
      <c r="C351" s="177"/>
      <c r="D351" s="120"/>
      <c r="E351" s="120"/>
      <c r="F351" s="120"/>
      <c r="G351" s="121"/>
      <c r="H351" s="121"/>
      <c r="I351" s="120"/>
      <c r="J351" s="371"/>
      <c r="K351" s="371"/>
      <c r="L351" s="371"/>
      <c r="M351" s="817" t="s">
        <v>986</v>
      </c>
      <c r="N351" s="120">
        <f ca="1">AVERAGE(M350,O350)</f>
        <v>3.0007065049004602</v>
      </c>
      <c r="O351" s="371"/>
      <c r="P351" s="120"/>
      <c r="Q351" s="39"/>
      <c r="R351" s="39"/>
      <c r="S351" s="38"/>
      <c r="T351" s="39"/>
      <c r="U351" s="39"/>
      <c r="V351" s="39"/>
      <c r="W351" s="40"/>
      <c r="X351" s="120"/>
      <c r="Y351" s="371"/>
      <c r="Z351" s="371"/>
      <c r="AA351" s="371"/>
      <c r="AB351" s="371"/>
      <c r="AC351" s="817" t="s">
        <v>986</v>
      </c>
      <c r="AD351" s="120">
        <f ca="1">AVERAGE(AB350,AD350)</f>
        <v>6.1015150896056625</v>
      </c>
      <c r="AE351" s="120"/>
      <c r="AF351" s="39"/>
      <c r="AG351" s="39"/>
    </row>
    <row r="352" spans="1:42" x14ac:dyDescent="0.25">
      <c r="A352" s="9"/>
      <c r="B352" s="9"/>
      <c r="C352" s="9"/>
      <c r="D352" s="9"/>
      <c r="E352" s="9"/>
      <c r="F352" s="9"/>
      <c r="G352" s="9"/>
      <c r="H352" s="9"/>
      <c r="I352" s="9"/>
      <c r="J352" s="7"/>
      <c r="K352" s="9"/>
      <c r="L352" s="9"/>
      <c r="M352" s="9"/>
      <c r="N352" s="9"/>
      <c r="O352" s="9"/>
      <c r="P352" s="9"/>
      <c r="Q352" s="64"/>
      <c r="R352" s="64"/>
      <c r="S352" s="9"/>
      <c r="T352" s="64"/>
      <c r="U352" s="64"/>
      <c r="V352" s="64"/>
      <c r="W352" s="9"/>
      <c r="X352" s="9"/>
      <c r="Y352" s="9"/>
      <c r="Z352" s="9"/>
      <c r="AA352" s="9"/>
      <c r="AB352" s="9"/>
      <c r="AC352" s="9"/>
      <c r="AD352" s="9"/>
      <c r="AE352" s="9"/>
      <c r="AF352" s="9"/>
      <c r="AG352" s="9"/>
      <c r="AH352" s="9"/>
      <c r="AI352" s="9"/>
      <c r="AJ352" s="9"/>
      <c r="AK352" s="9"/>
      <c r="AL352" s="9"/>
      <c r="AM352" s="9"/>
      <c r="AN352" s="9"/>
      <c r="AO352" s="9"/>
      <c r="AP352" s="9"/>
    </row>
    <row r="353" spans="1:42" x14ac:dyDescent="0.25">
      <c r="A353" s="61" t="s">
        <v>886</v>
      </c>
      <c r="B353" s="658" t="s">
        <v>887</v>
      </c>
      <c r="C353" s="61" t="s">
        <v>263</v>
      </c>
      <c r="D353" s="9"/>
      <c r="E353" s="9"/>
      <c r="F353" s="9"/>
      <c r="G353" s="9"/>
      <c r="H353" s="9"/>
      <c r="I353" s="9"/>
      <c r="J353" s="9"/>
      <c r="K353" s="9"/>
      <c r="L353" s="9"/>
      <c r="M353" s="9"/>
      <c r="N353" s="9"/>
      <c r="O353" s="9"/>
      <c r="P353" s="9"/>
      <c r="Q353" s="64"/>
      <c r="R353" s="64"/>
      <c r="S353" s="9"/>
      <c r="T353" s="64"/>
      <c r="U353" s="64"/>
      <c r="V353" s="64"/>
      <c r="W353" s="9"/>
      <c r="X353" s="9"/>
      <c r="Y353" s="64"/>
      <c r="Z353" s="64"/>
      <c r="AA353" s="64"/>
      <c r="AB353" s="64"/>
      <c r="AC353" s="64"/>
      <c r="AD353" s="64"/>
      <c r="AE353" s="64"/>
      <c r="AF353" s="9"/>
      <c r="AG353" s="9"/>
      <c r="AH353" s="9"/>
      <c r="AI353" s="9"/>
      <c r="AJ353" s="9"/>
      <c r="AK353" s="9"/>
      <c r="AL353" s="9"/>
      <c r="AM353" s="9"/>
      <c r="AN353" s="9"/>
      <c r="AO353" s="9"/>
      <c r="AP353" s="9"/>
    </row>
    <row r="354" spans="1:42" x14ac:dyDescent="0.25">
      <c r="A354" s="9" t="str">
        <f>A347</f>
        <v>Protecting wildlife</v>
      </c>
      <c r="B354" s="668" t="s">
        <v>889</v>
      </c>
      <c r="C354" s="9" t="s">
        <v>99</v>
      </c>
      <c r="D354" s="9"/>
      <c r="E354" s="9"/>
      <c r="F354" s="9"/>
      <c r="G354" s="9"/>
      <c r="H354" s="9"/>
      <c r="I354" s="9"/>
      <c r="J354" s="9"/>
      <c r="K354" s="9"/>
      <c r="L354" s="9"/>
      <c r="M354" s="9"/>
      <c r="N354" s="9"/>
      <c r="O354" s="9"/>
      <c r="P354" s="9"/>
      <c r="Q354" s="64"/>
      <c r="R354" s="64"/>
      <c r="S354" s="9"/>
      <c r="T354" s="64"/>
      <c r="U354" s="64"/>
      <c r="V354" s="64"/>
      <c r="W354" s="9"/>
      <c r="X354" s="9"/>
      <c r="Y354" s="64"/>
      <c r="Z354" s="64"/>
      <c r="AA354" s="64"/>
      <c r="AB354" s="64"/>
      <c r="AC354" s="64"/>
      <c r="AD354" s="64"/>
      <c r="AE354" s="64"/>
      <c r="AF354" s="9"/>
      <c r="AG354" s="9"/>
      <c r="AH354" s="9"/>
      <c r="AI354" s="9"/>
      <c r="AJ354" s="9"/>
      <c r="AK354" s="9"/>
      <c r="AL354" s="9"/>
      <c r="AM354" s="9"/>
      <c r="AN354" s="9"/>
      <c r="AO354" s="9"/>
      <c r="AP354" s="9"/>
    </row>
    <row r="355" spans="1:42" x14ac:dyDescent="0.25">
      <c r="A355" s="9" t="str">
        <f>A348</f>
        <v>Leakage levels</v>
      </c>
      <c r="B355" s="668" t="s">
        <v>888</v>
      </c>
      <c r="C355" s="9" t="s">
        <v>254</v>
      </c>
      <c r="D355" s="9"/>
      <c r="E355" s="9"/>
      <c r="F355" s="9"/>
      <c r="G355" s="9"/>
      <c r="H355" s="9"/>
      <c r="I355" s="9"/>
      <c r="J355" s="9"/>
      <c r="K355" s="9"/>
      <c r="L355" s="9"/>
      <c r="M355" s="9"/>
      <c r="N355" s="9"/>
      <c r="O355" s="9"/>
      <c r="P355" s="9"/>
      <c r="Q355" s="64"/>
      <c r="R355" s="64"/>
      <c r="S355" s="9"/>
      <c r="T355" s="64"/>
      <c r="U355" s="64"/>
      <c r="V355" s="64"/>
      <c r="W355" s="9"/>
      <c r="X355" s="9"/>
      <c r="Y355" s="64"/>
      <c r="Z355" s="64"/>
      <c r="AA355" s="64"/>
      <c r="AB355" s="64"/>
      <c r="AC355" s="64"/>
      <c r="AD355" s="64"/>
      <c r="AE355" s="64"/>
      <c r="AF355" s="9"/>
      <c r="AG355" s="9"/>
      <c r="AH355" s="9"/>
      <c r="AI355" s="9"/>
      <c r="AJ355" s="9"/>
      <c r="AK355" s="9"/>
      <c r="AL355" s="9"/>
      <c r="AM355" s="9"/>
      <c r="AN355" s="9"/>
      <c r="AO355" s="9"/>
      <c r="AP355" s="9"/>
    </row>
    <row r="356" spans="1:42" x14ac:dyDescent="0.25">
      <c r="A356" s="9" t="str">
        <f>A349</f>
        <v>Interruptions to water supply</v>
      </c>
      <c r="B356" s="29" t="s">
        <v>890</v>
      </c>
      <c r="C356" s="9" t="s">
        <v>94</v>
      </c>
      <c r="D356" s="9"/>
      <c r="E356" s="9"/>
      <c r="F356" s="9"/>
      <c r="G356" s="9"/>
      <c r="H356" s="9"/>
      <c r="I356" s="9"/>
      <c r="J356" s="9"/>
      <c r="K356" s="9"/>
      <c r="L356" s="9"/>
      <c r="M356" s="9"/>
      <c r="N356" s="9"/>
      <c r="O356" s="9"/>
      <c r="P356" s="9"/>
      <c r="Q356" s="64"/>
      <c r="R356" s="64"/>
      <c r="S356" s="9"/>
      <c r="T356" s="64"/>
      <c r="U356" s="64"/>
      <c r="V356" s="64"/>
      <c r="W356" s="9"/>
      <c r="X356" s="9"/>
      <c r="Y356" s="64"/>
      <c r="Z356" s="64"/>
      <c r="AA356" s="64"/>
      <c r="AB356" s="64"/>
      <c r="AC356" s="64"/>
      <c r="AD356" s="64"/>
      <c r="AE356" s="64"/>
      <c r="AF356" s="9"/>
      <c r="AG356" s="9"/>
      <c r="AH356" s="9"/>
      <c r="AI356" s="9"/>
      <c r="AJ356" s="9"/>
      <c r="AK356" s="9"/>
      <c r="AL356" s="9"/>
      <c r="AM356" s="9"/>
      <c r="AN356" s="9"/>
      <c r="AO356" s="9"/>
      <c r="AP356" s="9"/>
    </row>
  </sheetData>
  <mergeCells count="6">
    <mergeCell ref="AE345:AE346"/>
    <mergeCell ref="J345:J346"/>
    <mergeCell ref="K345:K346"/>
    <mergeCell ref="P345:P346"/>
    <mergeCell ref="Y345:Y346"/>
    <mergeCell ref="Z345:Z346"/>
  </mergeCells>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E316"/>
  <sheetViews>
    <sheetView zoomScale="70" zoomScaleNormal="70" workbookViewId="0">
      <pane xSplit="1" ySplit="4" topLeftCell="B32" activePane="bottomRight" state="frozen"/>
      <selection pane="topRight"/>
      <selection pane="bottomLeft"/>
      <selection pane="bottomRight" activeCell="Y66" sqref="Y66"/>
    </sheetView>
  </sheetViews>
  <sheetFormatPr defaultColWidth="0" defaultRowHeight="15" zeroHeight="1" x14ac:dyDescent="0.25"/>
  <cols>
    <col min="1" max="1" width="59.140625" style="5" bestFit="1" customWidth="1"/>
    <col min="2" max="2" width="100.5703125" style="5" customWidth="1"/>
    <col min="3" max="3" width="50.7109375" style="5" customWidth="1"/>
    <col min="4" max="7" width="15.7109375" style="5" customWidth="1"/>
    <col min="8" max="13" width="14.140625" style="5" customWidth="1"/>
    <col min="14" max="14" width="21.28515625" style="5" customWidth="1"/>
    <col min="15" max="15" width="15.7109375" style="5" customWidth="1"/>
    <col min="16" max="17" width="17.42578125" style="5" customWidth="1"/>
    <col min="18" max="18" width="20.7109375" style="5" customWidth="1"/>
    <col min="19" max="19" width="13.42578125" style="10" customWidth="1"/>
    <col min="20" max="30" width="9.140625" style="10" customWidth="1"/>
    <col min="31" max="31" width="0" style="10" hidden="1" customWidth="1"/>
    <col min="32" max="16384" width="9.140625" style="10" hidden="1"/>
  </cols>
  <sheetData>
    <row r="1" spans="1:18" ht="28.5" x14ac:dyDescent="0.45">
      <c r="A1" s="102" t="s">
        <v>316</v>
      </c>
      <c r="B1" s="102"/>
      <c r="C1" s="102"/>
      <c r="D1" s="102"/>
      <c r="E1" s="102"/>
      <c r="F1" s="102"/>
      <c r="G1" s="102"/>
      <c r="H1" s="102"/>
      <c r="I1" s="102"/>
      <c r="J1" s="102"/>
      <c r="K1" s="102"/>
      <c r="L1" s="102"/>
      <c r="M1" s="102"/>
      <c r="N1" s="102"/>
      <c r="O1" s="102"/>
      <c r="P1" s="102"/>
      <c r="Q1" s="102"/>
      <c r="R1" s="10"/>
    </row>
    <row r="2" spans="1:18" ht="19.5" x14ac:dyDescent="0.3">
      <c r="A2" s="112" t="s">
        <v>392</v>
      </c>
      <c r="B2" s="63"/>
      <c r="C2" s="63"/>
      <c r="D2" s="63"/>
      <c r="E2" s="63" t="s">
        <v>5</v>
      </c>
      <c r="F2" s="63"/>
      <c r="G2" s="63"/>
      <c r="H2" s="129" t="s">
        <v>377</v>
      </c>
      <c r="I2" s="129"/>
      <c r="J2" s="129"/>
      <c r="K2" s="129"/>
      <c r="L2" s="129"/>
      <c r="M2" s="129"/>
      <c r="N2" s="63"/>
      <c r="O2" s="63" t="s">
        <v>289</v>
      </c>
      <c r="P2" s="63"/>
      <c r="Q2" s="63"/>
      <c r="R2" s="10"/>
    </row>
    <row r="3" spans="1:18" x14ac:dyDescent="0.25">
      <c r="A3" s="63" t="s">
        <v>187</v>
      </c>
      <c r="B3" s="63" t="s">
        <v>7</v>
      </c>
      <c r="C3" s="63" t="s">
        <v>4</v>
      </c>
      <c r="D3" s="63" t="s">
        <v>204</v>
      </c>
      <c r="E3" s="263" t="s">
        <v>259</v>
      </c>
      <c r="F3" s="263" t="s">
        <v>260</v>
      </c>
      <c r="G3" s="263" t="s">
        <v>261</v>
      </c>
      <c r="H3" s="63" t="s">
        <v>190</v>
      </c>
      <c r="I3" s="63" t="s">
        <v>191</v>
      </c>
      <c r="J3" s="63" t="s">
        <v>192</v>
      </c>
      <c r="K3" s="63" t="s">
        <v>193</v>
      </c>
      <c r="L3" s="63" t="s">
        <v>194</v>
      </c>
      <c r="M3" s="63" t="s">
        <v>195</v>
      </c>
      <c r="N3" s="63" t="s">
        <v>8</v>
      </c>
      <c r="O3" s="63" t="s">
        <v>196</v>
      </c>
      <c r="P3" s="63" t="s">
        <v>197</v>
      </c>
      <c r="Q3" s="63" t="s">
        <v>198</v>
      </c>
      <c r="R3" s="10"/>
    </row>
    <row r="4" spans="1:18" x14ac:dyDescent="0.25">
      <c r="A4" s="108" t="s">
        <v>29</v>
      </c>
      <c r="B4" s="108"/>
      <c r="C4" s="63"/>
      <c r="D4" s="63"/>
      <c r="E4" s="108"/>
      <c r="F4" s="108"/>
      <c r="G4" s="108"/>
      <c r="H4" s="108"/>
      <c r="I4" s="108"/>
      <c r="J4" s="108" t="s">
        <v>159</v>
      </c>
      <c r="K4" s="108"/>
      <c r="L4" s="108"/>
      <c r="M4" s="108"/>
      <c r="N4" s="108" t="s">
        <v>30</v>
      </c>
      <c r="O4" s="108"/>
      <c r="P4" s="108"/>
      <c r="Q4" s="108"/>
      <c r="R4" s="10"/>
    </row>
    <row r="5" spans="1:18" x14ac:dyDescent="0.25">
      <c r="A5" s="485"/>
      <c r="B5" s="457"/>
      <c r="C5" s="457"/>
      <c r="D5" s="457"/>
      <c r="E5" s="457"/>
      <c r="F5" s="457"/>
      <c r="G5" s="486"/>
      <c r="H5" s="486"/>
      <c r="I5" s="457"/>
      <c r="J5" s="487"/>
      <c r="K5" s="457"/>
      <c r="L5" s="486"/>
      <c r="M5" s="486" t="s">
        <v>222</v>
      </c>
      <c r="N5" s="486"/>
      <c r="O5" s="467"/>
      <c r="P5" s="467"/>
      <c r="Q5" s="467"/>
      <c r="R5" s="10"/>
    </row>
    <row r="6" spans="1:18" ht="14.25" customHeight="1" x14ac:dyDescent="0.25">
      <c r="A6" s="456" t="s">
        <v>11</v>
      </c>
      <c r="B6" s="9" t="s">
        <v>18</v>
      </c>
      <c r="C6" s="458" t="s">
        <v>23</v>
      </c>
      <c r="D6" s="64" t="s">
        <v>9</v>
      </c>
      <c r="E6" s="468">
        <v>1000</v>
      </c>
      <c r="F6" s="468">
        <v>750</v>
      </c>
      <c r="G6" s="468">
        <v>500</v>
      </c>
      <c r="H6" s="64"/>
      <c r="I6" s="51">
        <v>0.74</v>
      </c>
      <c r="J6" s="64"/>
      <c r="K6" s="64"/>
      <c r="L6" s="51">
        <v>1.47</v>
      </c>
      <c r="M6" s="64"/>
      <c r="N6" s="458" t="s">
        <v>20</v>
      </c>
      <c r="O6" s="469">
        <v>60</v>
      </c>
      <c r="P6" s="469">
        <v>1570</v>
      </c>
      <c r="Q6" s="469">
        <v>3080</v>
      </c>
      <c r="R6" s="10"/>
    </row>
    <row r="7" spans="1:18" x14ac:dyDescent="0.25">
      <c r="A7" s="21"/>
      <c r="B7" s="9"/>
      <c r="C7" s="458"/>
      <c r="D7" s="64" t="s">
        <v>199</v>
      </c>
      <c r="E7" s="468">
        <v>1000</v>
      </c>
      <c r="F7" s="468">
        <v>750</v>
      </c>
      <c r="G7" s="468">
        <v>500</v>
      </c>
      <c r="H7" s="156"/>
      <c r="I7" s="470">
        <v>9.2999999999999992E-3</v>
      </c>
      <c r="J7" s="248"/>
      <c r="K7" s="64"/>
      <c r="L7" s="36">
        <v>1.8599999999999998E-2</v>
      </c>
      <c r="M7" s="64"/>
      <c r="N7" s="458"/>
      <c r="O7" s="469">
        <v>0</v>
      </c>
      <c r="P7" s="469">
        <v>820</v>
      </c>
      <c r="Q7" s="469">
        <v>1650</v>
      </c>
      <c r="R7" s="10"/>
    </row>
    <row r="8" spans="1:18" x14ac:dyDescent="0.25">
      <c r="A8" s="21"/>
      <c r="B8" s="9"/>
      <c r="C8" s="458"/>
      <c r="D8" s="64" t="s">
        <v>207</v>
      </c>
      <c r="E8" s="468"/>
      <c r="F8" s="468"/>
      <c r="G8" s="468"/>
      <c r="H8" s="156"/>
      <c r="I8" s="470"/>
      <c r="J8" s="248"/>
      <c r="K8" s="64"/>
      <c r="L8" s="51"/>
      <c r="M8" s="64"/>
      <c r="N8" s="459"/>
      <c r="O8" s="469">
        <v>70</v>
      </c>
      <c r="P8" s="469">
        <v>2400</v>
      </c>
      <c r="Q8" s="469">
        <v>4730</v>
      </c>
      <c r="R8" s="10"/>
    </row>
    <row r="9" spans="1:18" ht="15" customHeight="1" x14ac:dyDescent="0.25">
      <c r="A9" s="22" t="s">
        <v>10</v>
      </c>
      <c r="B9" s="9" t="s">
        <v>17</v>
      </c>
      <c r="C9" s="458" t="s">
        <v>23</v>
      </c>
      <c r="D9" s="64" t="s">
        <v>9</v>
      </c>
      <c r="E9" s="471">
        <v>2500</v>
      </c>
      <c r="F9" s="471">
        <v>2000</v>
      </c>
      <c r="G9" s="471">
        <v>1500</v>
      </c>
      <c r="H9" s="64"/>
      <c r="I9" s="51">
        <v>1.44</v>
      </c>
      <c r="J9" s="64"/>
      <c r="K9" s="64"/>
      <c r="L9" s="51">
        <v>2.87</v>
      </c>
      <c r="M9" s="64"/>
      <c r="N9" s="458" t="s">
        <v>20</v>
      </c>
      <c r="O9" s="469">
        <v>980</v>
      </c>
      <c r="P9" s="469">
        <v>1540</v>
      </c>
      <c r="Q9" s="469">
        <v>2090</v>
      </c>
      <c r="R9" s="10"/>
    </row>
    <row r="10" spans="1:18" x14ac:dyDescent="0.25">
      <c r="A10" s="21"/>
      <c r="B10" s="9"/>
      <c r="C10" s="458"/>
      <c r="D10" s="64" t="s">
        <v>199</v>
      </c>
      <c r="E10" s="471">
        <v>2500</v>
      </c>
      <c r="F10" s="471">
        <v>2000</v>
      </c>
      <c r="G10" s="471">
        <v>1500</v>
      </c>
      <c r="H10" s="156"/>
      <c r="I10" s="470">
        <v>1.6899999999999998E-2</v>
      </c>
      <c r="J10" s="248"/>
      <c r="K10" s="64"/>
      <c r="L10" s="36">
        <v>3.3799999999999997E-2</v>
      </c>
      <c r="M10" s="64"/>
      <c r="N10" s="458"/>
      <c r="O10" s="469">
        <v>380</v>
      </c>
      <c r="P10" s="469">
        <v>750</v>
      </c>
      <c r="Q10" s="469">
        <v>1110</v>
      </c>
      <c r="R10" s="10"/>
    </row>
    <row r="11" spans="1:18" x14ac:dyDescent="0.25">
      <c r="A11" s="21"/>
      <c r="B11" s="9"/>
      <c r="C11" s="458"/>
      <c r="D11" s="64" t="s">
        <v>207</v>
      </c>
      <c r="E11" s="471"/>
      <c r="F11" s="471"/>
      <c r="G11" s="471"/>
      <c r="H11" s="156"/>
      <c r="I11" s="470"/>
      <c r="J11" s="248"/>
      <c r="K11" s="64"/>
      <c r="L11" s="51"/>
      <c r="M11" s="64"/>
      <c r="N11" s="459"/>
      <c r="O11" s="469">
        <v>1360</v>
      </c>
      <c r="P11" s="469">
        <v>2290</v>
      </c>
      <c r="Q11" s="469">
        <v>3210</v>
      </c>
      <c r="R11" s="10"/>
    </row>
    <row r="12" spans="1:18" ht="13.5" customHeight="1" x14ac:dyDescent="0.25">
      <c r="A12" s="23" t="s">
        <v>156</v>
      </c>
      <c r="B12" s="62" t="s">
        <v>116</v>
      </c>
      <c r="C12" s="458" t="s">
        <v>23</v>
      </c>
      <c r="D12" s="64" t="s">
        <v>9</v>
      </c>
      <c r="E12" s="468">
        <v>12000</v>
      </c>
      <c r="F12" s="468">
        <v>0</v>
      </c>
      <c r="G12" s="468">
        <v>0</v>
      </c>
      <c r="H12" s="64"/>
      <c r="I12" s="472">
        <v>3.51</v>
      </c>
      <c r="J12" s="473"/>
      <c r="K12" s="64"/>
      <c r="L12" s="474">
        <v>7.28</v>
      </c>
      <c r="M12" s="64"/>
      <c r="N12" s="458" t="s">
        <v>160</v>
      </c>
      <c r="O12" s="469">
        <v>232000</v>
      </c>
      <c r="P12" s="469">
        <v>1879000</v>
      </c>
      <c r="Q12" s="469">
        <v>3525000</v>
      </c>
      <c r="R12" s="10"/>
    </row>
    <row r="13" spans="1:18" x14ac:dyDescent="0.25">
      <c r="A13" s="21"/>
      <c r="B13" s="62"/>
      <c r="C13" s="458"/>
      <c r="D13" s="64" t="s">
        <v>199</v>
      </c>
      <c r="E13" s="468">
        <v>12000</v>
      </c>
      <c r="F13" s="468">
        <v>0</v>
      </c>
      <c r="G13" s="468">
        <v>0</v>
      </c>
      <c r="H13" s="64"/>
      <c r="I13" s="475">
        <v>3.2000000000000001E-2</v>
      </c>
      <c r="J13" s="473"/>
      <c r="K13" s="64"/>
      <c r="L13" s="476">
        <v>2.5700000000000001E-2</v>
      </c>
      <c r="M13" s="64"/>
      <c r="N13" s="458"/>
      <c r="O13" s="469">
        <v>0</v>
      </c>
      <c r="P13" s="469">
        <v>699000</v>
      </c>
      <c r="Q13" s="469">
        <v>1470000</v>
      </c>
      <c r="R13" s="10"/>
    </row>
    <row r="14" spans="1:18" x14ac:dyDescent="0.25">
      <c r="A14" s="21"/>
      <c r="B14" s="62"/>
      <c r="C14" s="458"/>
      <c r="D14" s="64" t="s">
        <v>207</v>
      </c>
      <c r="E14" s="468"/>
      <c r="F14" s="468"/>
      <c r="G14" s="468"/>
      <c r="H14" s="64"/>
      <c r="I14" s="475"/>
      <c r="J14" s="473"/>
      <c r="K14" s="64"/>
      <c r="L14" s="474"/>
      <c r="M14" s="64"/>
      <c r="N14" s="459"/>
      <c r="O14" s="469">
        <v>232000</v>
      </c>
      <c r="P14" s="469">
        <v>2578000</v>
      </c>
      <c r="Q14" s="469">
        <v>5107000</v>
      </c>
      <c r="R14" s="10"/>
    </row>
    <row r="15" spans="1:18" x14ac:dyDescent="0.25">
      <c r="A15" s="22" t="s">
        <v>157</v>
      </c>
      <c r="B15" s="9"/>
      <c r="C15" s="458" t="s">
        <v>23</v>
      </c>
      <c r="D15" s="64" t="s">
        <v>9</v>
      </c>
      <c r="E15" s="477">
        <v>558000</v>
      </c>
      <c r="F15" s="468">
        <v>570000</v>
      </c>
      <c r="G15" s="468">
        <v>0</v>
      </c>
      <c r="H15" s="64"/>
      <c r="I15" s="472">
        <v>3.51</v>
      </c>
      <c r="J15" s="473"/>
      <c r="K15" s="64"/>
      <c r="L15" s="474">
        <v>7.28</v>
      </c>
      <c r="M15" s="64"/>
      <c r="N15" s="458" t="s">
        <v>161</v>
      </c>
      <c r="O15" s="469">
        <v>2259000</v>
      </c>
      <c r="P15" s="469">
        <v>3894000</v>
      </c>
      <c r="Q15" s="469">
        <v>5529000</v>
      </c>
      <c r="R15" s="10"/>
    </row>
    <row r="16" spans="1:18" x14ac:dyDescent="0.25">
      <c r="A16" s="21"/>
      <c r="B16" s="9"/>
      <c r="C16" s="458"/>
      <c r="D16" s="64" t="s">
        <v>199</v>
      </c>
      <c r="E16" s="477">
        <v>558000</v>
      </c>
      <c r="F16" s="468">
        <v>570000</v>
      </c>
      <c r="G16" s="468">
        <v>0</v>
      </c>
      <c r="H16" s="478"/>
      <c r="I16" s="475">
        <v>3.2000000000000001E-2</v>
      </c>
      <c r="J16" s="473"/>
      <c r="K16" s="64"/>
      <c r="L16" s="476">
        <v>2.5700000000000001E-2</v>
      </c>
      <c r="M16" s="64"/>
      <c r="N16" s="458"/>
      <c r="O16" s="469">
        <v>0</v>
      </c>
      <c r="P16" s="469">
        <v>569000</v>
      </c>
      <c r="Q16" s="469">
        <v>1471000</v>
      </c>
      <c r="R16" s="10"/>
    </row>
    <row r="17" spans="1:18" x14ac:dyDescent="0.25">
      <c r="A17" s="21"/>
      <c r="B17" s="9"/>
      <c r="C17" s="458"/>
      <c r="D17" s="64" t="s">
        <v>207</v>
      </c>
      <c r="E17" s="477"/>
      <c r="F17" s="468"/>
      <c r="G17" s="468"/>
      <c r="H17" s="478"/>
      <c r="I17" s="475"/>
      <c r="J17" s="473"/>
      <c r="K17" s="64"/>
      <c r="L17" s="428"/>
      <c r="M17" s="64"/>
      <c r="N17" s="459"/>
      <c r="O17" s="469">
        <v>2259000</v>
      </c>
      <c r="P17" s="469">
        <v>4463000</v>
      </c>
      <c r="Q17" s="469">
        <v>7000000</v>
      </c>
      <c r="R17" s="10"/>
    </row>
    <row r="18" spans="1:18" x14ac:dyDescent="0.25">
      <c r="A18" s="460" t="s">
        <v>12</v>
      </c>
      <c r="B18" s="64" t="s">
        <v>208</v>
      </c>
      <c r="C18" s="458" t="s">
        <v>23</v>
      </c>
      <c r="D18" s="64" t="s">
        <v>9</v>
      </c>
      <c r="E18" s="468">
        <v>2660</v>
      </c>
      <c r="F18" s="468">
        <v>2000</v>
      </c>
      <c r="G18" s="468">
        <v>1500</v>
      </c>
      <c r="H18" s="64"/>
      <c r="I18" s="156">
        <v>2.06</v>
      </c>
      <c r="J18" s="64"/>
      <c r="K18" s="64"/>
      <c r="L18" s="156">
        <v>3.62</v>
      </c>
      <c r="M18" s="64"/>
      <c r="N18" s="194" t="s">
        <v>20</v>
      </c>
      <c r="O18" s="469">
        <v>1080</v>
      </c>
      <c r="P18" s="469">
        <v>1670</v>
      </c>
      <c r="Q18" s="469">
        <v>2260</v>
      </c>
      <c r="R18" s="10"/>
    </row>
    <row r="19" spans="1:18" x14ac:dyDescent="0.25">
      <c r="A19" s="461"/>
      <c r="B19" s="64" t="s">
        <v>209</v>
      </c>
      <c r="C19" s="458"/>
      <c r="D19" s="64" t="s">
        <v>199</v>
      </c>
      <c r="E19" s="468">
        <v>2660</v>
      </c>
      <c r="F19" s="468">
        <v>2000</v>
      </c>
      <c r="G19" s="468">
        <v>1500</v>
      </c>
      <c r="H19" s="156"/>
      <c r="I19" s="248">
        <v>2.2800000000000001E-2</v>
      </c>
      <c r="J19" s="248"/>
      <c r="K19" s="64"/>
      <c r="L19" s="479">
        <v>4.0099999999999997E-2</v>
      </c>
      <c r="M19" s="64"/>
      <c r="N19" s="194"/>
      <c r="O19" s="469">
        <v>420</v>
      </c>
      <c r="P19" s="469">
        <v>770</v>
      </c>
      <c r="Q19" s="469">
        <v>1110</v>
      </c>
      <c r="R19" s="10"/>
    </row>
    <row r="20" spans="1:18" x14ac:dyDescent="0.25">
      <c r="A20" s="461"/>
      <c r="B20" s="64" t="s">
        <v>210</v>
      </c>
      <c r="C20" s="458"/>
      <c r="D20" s="64" t="s">
        <v>207</v>
      </c>
      <c r="E20" s="468"/>
      <c r="F20" s="468"/>
      <c r="G20" s="468"/>
      <c r="H20" s="156"/>
      <c r="I20" s="248"/>
      <c r="J20" s="248"/>
      <c r="K20" s="64"/>
      <c r="L20" s="156"/>
      <c r="M20" s="64"/>
      <c r="N20" s="462"/>
      <c r="O20" s="469">
        <v>1510</v>
      </c>
      <c r="P20" s="469">
        <v>2440</v>
      </c>
      <c r="Q20" s="469">
        <v>3370</v>
      </c>
      <c r="R20" s="10"/>
    </row>
    <row r="21" spans="1:18" x14ac:dyDescent="0.25">
      <c r="A21" s="128" t="s">
        <v>13</v>
      </c>
      <c r="B21" s="64" t="s">
        <v>211</v>
      </c>
      <c r="C21" s="128"/>
      <c r="D21" s="64" t="s">
        <v>9</v>
      </c>
      <c r="E21" s="128"/>
      <c r="F21" s="128"/>
      <c r="G21" s="128"/>
      <c r="H21" s="156"/>
      <c r="I21" s="64"/>
      <c r="J21" s="64"/>
      <c r="K21" s="64"/>
      <c r="L21" s="156"/>
      <c r="M21" s="64"/>
      <c r="N21" s="194" t="s">
        <v>20</v>
      </c>
      <c r="O21" s="469"/>
      <c r="P21" s="469">
        <v>930</v>
      </c>
      <c r="Q21" s="469"/>
      <c r="R21" s="10"/>
    </row>
    <row r="22" spans="1:18" x14ac:dyDescent="0.25">
      <c r="A22" s="128"/>
      <c r="B22" s="64"/>
      <c r="C22" s="128"/>
      <c r="D22" s="64" t="s">
        <v>199</v>
      </c>
      <c r="E22" s="128"/>
      <c r="F22" s="128"/>
      <c r="G22" s="128"/>
      <c r="H22" s="156"/>
      <c r="I22" s="64"/>
      <c r="J22" s="64"/>
      <c r="K22" s="64"/>
      <c r="L22" s="156"/>
      <c r="M22" s="64"/>
      <c r="N22" s="194"/>
      <c r="O22" s="469"/>
      <c r="P22" s="469">
        <v>350</v>
      </c>
      <c r="Q22" s="469"/>
      <c r="R22" s="10"/>
    </row>
    <row r="23" spans="1:18" x14ac:dyDescent="0.25">
      <c r="A23" s="128" t="s">
        <v>14</v>
      </c>
      <c r="B23" s="64"/>
      <c r="C23" s="128"/>
      <c r="D23" s="64" t="s">
        <v>9</v>
      </c>
      <c r="E23" s="128"/>
      <c r="F23" s="128"/>
      <c r="G23" s="128"/>
      <c r="H23" s="156"/>
      <c r="I23" s="64"/>
      <c r="J23" s="64"/>
      <c r="K23" s="64"/>
      <c r="L23" s="156"/>
      <c r="M23" s="64"/>
      <c r="N23" s="194" t="s">
        <v>20</v>
      </c>
      <c r="O23" s="469"/>
      <c r="P23" s="469">
        <v>2400</v>
      </c>
      <c r="Q23" s="469"/>
      <c r="R23" s="10"/>
    </row>
    <row r="24" spans="1:18" x14ac:dyDescent="0.25">
      <c r="A24" s="128"/>
      <c r="B24" s="64"/>
      <c r="C24" s="128"/>
      <c r="D24" s="64" t="s">
        <v>199</v>
      </c>
      <c r="E24" s="128"/>
      <c r="F24" s="128"/>
      <c r="G24" s="128"/>
      <c r="H24" s="156"/>
      <c r="I24" s="64"/>
      <c r="J24" s="64"/>
      <c r="K24" s="64"/>
      <c r="L24" s="156"/>
      <c r="M24" s="64"/>
      <c r="N24" s="194"/>
      <c r="O24" s="469"/>
      <c r="P24" s="469">
        <v>1620</v>
      </c>
      <c r="Q24" s="469"/>
      <c r="R24" s="10"/>
    </row>
    <row r="25" spans="1:18" x14ac:dyDescent="0.25">
      <c r="A25" s="128" t="s">
        <v>15</v>
      </c>
      <c r="B25" s="64"/>
      <c r="C25" s="128"/>
      <c r="D25" s="64" t="s">
        <v>9</v>
      </c>
      <c r="E25" s="128"/>
      <c r="F25" s="128"/>
      <c r="G25" s="128"/>
      <c r="H25" s="156"/>
      <c r="I25" s="64"/>
      <c r="J25" s="64"/>
      <c r="K25" s="64"/>
      <c r="L25" s="156"/>
      <c r="M25" s="64"/>
      <c r="N25" s="194" t="s">
        <v>20</v>
      </c>
      <c r="O25" s="469"/>
      <c r="P25" s="469">
        <v>2970</v>
      </c>
      <c r="Q25" s="469"/>
      <c r="R25" s="10"/>
    </row>
    <row r="26" spans="1:18" x14ac:dyDescent="0.25">
      <c r="A26" s="128"/>
      <c r="B26" s="64"/>
      <c r="C26" s="128"/>
      <c r="D26" s="64" t="s">
        <v>199</v>
      </c>
      <c r="E26" s="128"/>
      <c r="F26" s="128"/>
      <c r="G26" s="128"/>
      <c r="H26" s="156"/>
      <c r="I26" s="64"/>
      <c r="J26" s="64"/>
      <c r="K26" s="64"/>
      <c r="L26" s="156"/>
      <c r="M26" s="64"/>
      <c r="N26" s="194"/>
      <c r="O26" s="469"/>
      <c r="P26" s="469">
        <v>2560</v>
      </c>
      <c r="Q26" s="469"/>
      <c r="R26" s="10"/>
    </row>
    <row r="27" spans="1:18" x14ac:dyDescent="0.25">
      <c r="A27" s="128" t="s">
        <v>16</v>
      </c>
      <c r="B27" s="64"/>
      <c r="C27" s="128"/>
      <c r="D27" s="64" t="s">
        <v>9</v>
      </c>
      <c r="E27" s="128"/>
      <c r="F27" s="128"/>
      <c r="G27" s="128"/>
      <c r="H27" s="156"/>
      <c r="I27" s="64"/>
      <c r="J27" s="64"/>
      <c r="K27" s="64"/>
      <c r="L27" s="156"/>
      <c r="M27" s="64"/>
      <c r="N27" s="194" t="s">
        <v>20</v>
      </c>
      <c r="O27" s="469"/>
      <c r="P27" s="469">
        <v>3040</v>
      </c>
      <c r="Q27" s="469"/>
      <c r="R27" s="10"/>
    </row>
    <row r="28" spans="1:18" x14ac:dyDescent="0.25">
      <c r="A28" s="128"/>
      <c r="B28" s="64"/>
      <c r="C28" s="128"/>
      <c r="D28" s="64" t="s">
        <v>199</v>
      </c>
      <c r="E28" s="128"/>
      <c r="F28" s="128"/>
      <c r="G28" s="128"/>
      <c r="H28" s="156"/>
      <c r="I28" s="64"/>
      <c r="J28" s="64"/>
      <c r="K28" s="64"/>
      <c r="L28" s="156"/>
      <c r="M28" s="64"/>
      <c r="N28" s="194"/>
      <c r="O28" s="469"/>
      <c r="P28" s="469">
        <v>2740</v>
      </c>
      <c r="Q28" s="469"/>
      <c r="R28" s="10"/>
    </row>
    <row r="29" spans="1:18" ht="19.5" customHeight="1" x14ac:dyDescent="0.25">
      <c r="A29" s="128" t="s">
        <v>470</v>
      </c>
      <c r="B29" s="236" t="s">
        <v>212</v>
      </c>
      <c r="C29" s="463" t="s">
        <v>103</v>
      </c>
      <c r="D29" s="64" t="s">
        <v>9</v>
      </c>
      <c r="E29" s="128">
        <f>1/40</f>
        <v>2.5000000000000001E-2</v>
      </c>
      <c r="F29" s="488">
        <f>1/90</f>
        <v>1.1111111111111112E-2</v>
      </c>
      <c r="G29" s="128">
        <f>1/1000</f>
        <v>1E-3</v>
      </c>
      <c r="H29" s="64"/>
      <c r="I29" s="156">
        <v>1.85</v>
      </c>
      <c r="J29" s="64"/>
      <c r="K29" s="64"/>
      <c r="L29" s="156">
        <v>3.08</v>
      </c>
      <c r="M29" s="64"/>
      <c r="N29" s="463" t="s">
        <v>109</v>
      </c>
      <c r="O29" s="469">
        <v>385000</v>
      </c>
      <c r="P29" s="481">
        <v>659000</v>
      </c>
      <c r="Q29" s="469">
        <v>932000</v>
      </c>
      <c r="R29" s="10"/>
    </row>
    <row r="30" spans="1:18" ht="15" customHeight="1" x14ac:dyDescent="0.25">
      <c r="A30" s="128" t="s">
        <v>102</v>
      </c>
      <c r="B30" s="62" t="s">
        <v>213</v>
      </c>
      <c r="C30" s="463" t="s">
        <v>103</v>
      </c>
      <c r="D30" s="64" t="s">
        <v>199</v>
      </c>
      <c r="E30" s="488">
        <f>1/60</f>
        <v>1.6666666666666666E-2</v>
      </c>
      <c r="F30" s="488">
        <f>1/90</f>
        <v>1.1111111111111112E-2</v>
      </c>
      <c r="G30" s="128">
        <f>1/1000</f>
        <v>1E-3</v>
      </c>
      <c r="H30" s="156"/>
      <c r="I30" s="36">
        <v>1.03E-2</v>
      </c>
      <c r="J30" s="248"/>
      <c r="K30" s="64"/>
      <c r="L30" s="479">
        <v>3.0800000000000001E-2</v>
      </c>
      <c r="M30" s="64"/>
      <c r="N30" s="463" t="s">
        <v>109</v>
      </c>
      <c r="O30" s="469">
        <v>241000</v>
      </c>
      <c r="P30" s="483">
        <v>455000</v>
      </c>
      <c r="Q30" s="469">
        <v>669000</v>
      </c>
      <c r="R30" s="10"/>
    </row>
    <row r="31" spans="1:18" x14ac:dyDescent="0.25">
      <c r="A31" s="128" t="s">
        <v>85</v>
      </c>
      <c r="B31" s="236" t="s">
        <v>214</v>
      </c>
      <c r="C31" s="463" t="s">
        <v>23</v>
      </c>
      <c r="D31" s="64" t="s">
        <v>9</v>
      </c>
      <c r="E31" s="128">
        <v>0</v>
      </c>
      <c r="F31" s="128" t="s">
        <v>158</v>
      </c>
      <c r="G31" s="128" t="s">
        <v>206</v>
      </c>
      <c r="H31" s="156"/>
      <c r="I31" s="64" t="s">
        <v>77</v>
      </c>
      <c r="J31" s="64"/>
      <c r="K31" s="64"/>
      <c r="L31" s="156" t="s">
        <v>77</v>
      </c>
      <c r="M31" s="64"/>
      <c r="N31" s="463" t="s">
        <v>35</v>
      </c>
      <c r="O31" s="469" t="s">
        <v>77</v>
      </c>
      <c r="P31" s="482" t="s">
        <v>36</v>
      </c>
      <c r="Q31" s="482"/>
      <c r="R31" s="10"/>
    </row>
    <row r="32" spans="1:18" x14ac:dyDescent="0.25">
      <c r="A32" s="128"/>
      <c r="B32" s="9"/>
      <c r="C32" s="463"/>
      <c r="D32" s="64" t="s">
        <v>199</v>
      </c>
      <c r="E32" s="128">
        <v>0</v>
      </c>
      <c r="F32" s="128" t="s">
        <v>158</v>
      </c>
      <c r="G32" s="128" t="s">
        <v>206</v>
      </c>
      <c r="H32" s="156"/>
      <c r="I32" s="64" t="s">
        <v>77</v>
      </c>
      <c r="J32" s="64"/>
      <c r="K32" s="64"/>
      <c r="L32" s="156" t="s">
        <v>77</v>
      </c>
      <c r="M32" s="64"/>
      <c r="N32" s="463"/>
      <c r="O32" s="469" t="s">
        <v>77</v>
      </c>
      <c r="P32" s="482" t="s">
        <v>36</v>
      </c>
      <c r="Q32" s="482"/>
      <c r="R32" s="10"/>
    </row>
    <row r="33" spans="1:21" x14ac:dyDescent="0.25">
      <c r="A33" s="128"/>
      <c r="B33" s="62" t="s">
        <v>215</v>
      </c>
      <c r="C33" s="461"/>
      <c r="D33" s="64" t="s">
        <v>207</v>
      </c>
      <c r="E33" s="128"/>
      <c r="F33" s="128"/>
      <c r="G33" s="128"/>
      <c r="H33" s="156"/>
      <c r="I33" s="64"/>
      <c r="J33" s="64"/>
      <c r="K33" s="64"/>
      <c r="L33" s="156"/>
      <c r="M33" s="64"/>
      <c r="N33" s="464"/>
      <c r="O33" s="469" t="s">
        <v>77</v>
      </c>
      <c r="P33" s="482" t="s">
        <v>36</v>
      </c>
      <c r="Q33" s="482"/>
      <c r="R33" s="10"/>
    </row>
    <row r="34" spans="1:21" x14ac:dyDescent="0.25">
      <c r="A34" s="128" t="s">
        <v>31</v>
      </c>
      <c r="B34" s="9"/>
      <c r="C34" s="463" t="s">
        <v>23</v>
      </c>
      <c r="D34" s="64" t="s">
        <v>9</v>
      </c>
      <c r="E34" s="9">
        <v>50</v>
      </c>
      <c r="F34" s="9">
        <v>25</v>
      </c>
      <c r="G34" s="9">
        <v>5</v>
      </c>
      <c r="H34" s="64"/>
      <c r="I34" s="51">
        <v>1.53</v>
      </c>
      <c r="J34" s="64"/>
      <c r="K34" s="64"/>
      <c r="L34" s="51">
        <v>2.76</v>
      </c>
      <c r="M34" s="64"/>
      <c r="N34" s="463" t="s">
        <v>35</v>
      </c>
      <c r="O34" s="469">
        <v>21720</v>
      </c>
      <c r="P34" s="481">
        <v>32840</v>
      </c>
      <c r="Q34" s="469">
        <v>43960</v>
      </c>
      <c r="R34" s="10"/>
    </row>
    <row r="35" spans="1:21" x14ac:dyDescent="0.25">
      <c r="A35" s="128"/>
      <c r="B35" s="9"/>
      <c r="C35" s="463"/>
      <c r="D35" s="64" t="s">
        <v>199</v>
      </c>
      <c r="E35" s="9">
        <v>50</v>
      </c>
      <c r="F35" s="9">
        <v>25</v>
      </c>
      <c r="G35" s="9">
        <v>5</v>
      </c>
      <c r="H35" s="156"/>
      <c r="I35" s="470">
        <v>1.34E-2</v>
      </c>
      <c r="J35" s="248"/>
      <c r="K35" s="64"/>
      <c r="L35" s="36">
        <v>2.41E-2</v>
      </c>
      <c r="M35" s="64"/>
      <c r="N35" s="463"/>
      <c r="O35" s="469">
        <v>6350</v>
      </c>
      <c r="P35" s="481">
        <v>11840</v>
      </c>
      <c r="Q35" s="469">
        <v>17330</v>
      </c>
      <c r="R35" s="10"/>
    </row>
    <row r="36" spans="1:21" x14ac:dyDescent="0.25">
      <c r="A36" s="128"/>
      <c r="B36" s="9"/>
      <c r="C36" s="463"/>
      <c r="D36" s="64" t="s">
        <v>207</v>
      </c>
      <c r="E36" s="9"/>
      <c r="F36" s="9"/>
      <c r="G36" s="9"/>
      <c r="H36" s="156"/>
      <c r="I36" s="470"/>
      <c r="J36" s="248"/>
      <c r="K36" s="64"/>
      <c r="L36" s="51"/>
      <c r="M36" s="64"/>
      <c r="N36" s="464"/>
      <c r="O36" s="469">
        <v>28070</v>
      </c>
      <c r="P36" s="481">
        <v>44680</v>
      </c>
      <c r="Q36" s="469">
        <v>61290</v>
      </c>
      <c r="R36" s="10"/>
    </row>
    <row r="37" spans="1:21" ht="15" customHeight="1" x14ac:dyDescent="0.25">
      <c r="A37" s="9" t="s">
        <v>3</v>
      </c>
      <c r="B37" s="9" t="s">
        <v>19</v>
      </c>
      <c r="C37" s="463" t="s">
        <v>115</v>
      </c>
      <c r="D37" s="64" t="s">
        <v>9</v>
      </c>
      <c r="E37" s="9">
        <v>69000</v>
      </c>
      <c r="F37" s="9">
        <v>64000</v>
      </c>
      <c r="G37" s="9">
        <v>59000</v>
      </c>
      <c r="H37" s="64"/>
      <c r="I37" s="51">
        <v>2.35</v>
      </c>
      <c r="J37" s="64"/>
      <c r="K37" s="64"/>
      <c r="L37" s="51">
        <v>4.7</v>
      </c>
      <c r="M37" s="64"/>
      <c r="N37" s="458" t="s">
        <v>22</v>
      </c>
      <c r="O37" s="469">
        <v>110</v>
      </c>
      <c r="P37" s="469">
        <v>250</v>
      </c>
      <c r="Q37" s="469">
        <v>400</v>
      </c>
      <c r="R37" s="10"/>
    </row>
    <row r="38" spans="1:21" x14ac:dyDescent="0.25">
      <c r="A38" s="9"/>
      <c r="B38" s="9"/>
      <c r="C38" s="463"/>
      <c r="D38" s="64" t="s">
        <v>199</v>
      </c>
      <c r="E38" s="9">
        <v>69000</v>
      </c>
      <c r="F38" s="9">
        <v>64000</v>
      </c>
      <c r="G38" s="9">
        <v>59000</v>
      </c>
      <c r="H38" s="156"/>
      <c r="I38" s="470">
        <v>2.8000000000000001E-2</v>
      </c>
      <c r="J38" s="248"/>
      <c r="K38" s="64"/>
      <c r="L38" s="36">
        <v>5.6000000000000001E-2</v>
      </c>
      <c r="M38" s="64"/>
      <c r="N38" s="458"/>
      <c r="O38" s="469">
        <v>50</v>
      </c>
      <c r="P38" s="469">
        <v>120</v>
      </c>
      <c r="Q38" s="469">
        <v>200</v>
      </c>
      <c r="R38" s="10"/>
    </row>
    <row r="39" spans="1:21" x14ac:dyDescent="0.25">
      <c r="A39" s="9"/>
      <c r="B39" s="9"/>
      <c r="C39" s="463"/>
      <c r="D39" s="64" t="s">
        <v>207</v>
      </c>
      <c r="E39" s="9"/>
      <c r="F39" s="9"/>
      <c r="G39" s="9"/>
      <c r="H39" s="156"/>
      <c r="I39" s="470"/>
      <c r="J39" s="248"/>
      <c r="K39" s="64"/>
      <c r="L39" s="51"/>
      <c r="M39" s="64"/>
      <c r="N39" s="459"/>
      <c r="O39" s="469">
        <v>160</v>
      </c>
      <c r="P39" s="469">
        <v>380</v>
      </c>
      <c r="Q39" s="469">
        <v>600</v>
      </c>
      <c r="R39" s="10"/>
    </row>
    <row r="40" spans="1:21" x14ac:dyDescent="0.25">
      <c r="A40" s="128" t="s">
        <v>107</v>
      </c>
      <c r="B40" s="62" t="s">
        <v>216</v>
      </c>
      <c r="C40" s="463" t="s">
        <v>104</v>
      </c>
      <c r="D40" s="64" t="s">
        <v>9</v>
      </c>
      <c r="E40" s="9" t="s">
        <v>32</v>
      </c>
      <c r="F40" s="9" t="s">
        <v>33</v>
      </c>
      <c r="G40" s="9" t="s">
        <v>34</v>
      </c>
      <c r="H40" s="64"/>
      <c r="I40" s="51">
        <v>3.03</v>
      </c>
      <c r="J40" s="64"/>
      <c r="K40" s="64"/>
      <c r="L40" s="51">
        <v>5.05</v>
      </c>
      <c r="M40" s="64"/>
      <c r="N40" s="463" t="s">
        <v>110</v>
      </c>
      <c r="O40" s="469">
        <v>396000</v>
      </c>
      <c r="P40" s="481">
        <v>541000</v>
      </c>
      <c r="Q40" s="469">
        <v>685000</v>
      </c>
      <c r="R40" s="10"/>
    </row>
    <row r="41" spans="1:21" x14ac:dyDescent="0.25">
      <c r="A41" s="128"/>
      <c r="B41" s="9"/>
      <c r="C41" s="463"/>
      <c r="D41" s="64" t="s">
        <v>199</v>
      </c>
      <c r="E41" s="9" t="s">
        <v>32</v>
      </c>
      <c r="F41" s="9" t="s">
        <v>33</v>
      </c>
      <c r="G41" s="9" t="s">
        <v>34</v>
      </c>
      <c r="H41" s="156"/>
      <c r="I41" s="470">
        <v>3.3700000000000001E-2</v>
      </c>
      <c r="J41" s="248"/>
      <c r="K41" s="64"/>
      <c r="L41" s="36">
        <v>5.6099999999999997E-2</v>
      </c>
      <c r="M41" s="64"/>
      <c r="N41" s="463"/>
      <c r="O41" s="469">
        <v>156000</v>
      </c>
      <c r="P41" s="481">
        <v>249000</v>
      </c>
      <c r="Q41" s="469">
        <v>341000</v>
      </c>
      <c r="R41" s="10"/>
    </row>
    <row r="42" spans="1:21" x14ac:dyDescent="0.25">
      <c r="A42" s="128"/>
      <c r="B42" s="9"/>
      <c r="C42" s="463"/>
      <c r="D42" s="64" t="s">
        <v>207</v>
      </c>
      <c r="E42" s="9"/>
      <c r="F42" s="9"/>
      <c r="G42" s="9"/>
      <c r="H42" s="156"/>
      <c r="I42" s="470"/>
      <c r="J42" s="248"/>
      <c r="K42" s="64"/>
      <c r="L42" s="51"/>
      <c r="M42" s="64"/>
      <c r="N42" s="464"/>
      <c r="O42" s="469">
        <v>552000</v>
      </c>
      <c r="P42" s="481">
        <v>789000</v>
      </c>
      <c r="Q42" s="469">
        <v>1027000</v>
      </c>
      <c r="R42" s="10"/>
    </row>
    <row r="43" spans="1:21" x14ac:dyDescent="0.25">
      <c r="A43" s="128" t="s">
        <v>108</v>
      </c>
      <c r="B43" s="9"/>
      <c r="C43" s="463" t="s">
        <v>105</v>
      </c>
      <c r="D43" s="64" t="s">
        <v>9</v>
      </c>
      <c r="E43" s="484" t="s">
        <v>218</v>
      </c>
      <c r="F43" s="484" t="s">
        <v>219</v>
      </c>
      <c r="G43" s="233" t="s">
        <v>220</v>
      </c>
      <c r="H43" s="156"/>
      <c r="I43" s="51">
        <v>1.33</v>
      </c>
      <c r="J43" s="248"/>
      <c r="K43" s="64"/>
      <c r="L43" s="51">
        <v>3.89</v>
      </c>
      <c r="M43" s="64"/>
      <c r="N43" s="463" t="s">
        <v>110</v>
      </c>
      <c r="O43" s="469">
        <v>98000</v>
      </c>
      <c r="P43" s="481">
        <v>229000</v>
      </c>
      <c r="Q43" s="469">
        <v>360000</v>
      </c>
      <c r="R43" s="10"/>
    </row>
    <row r="44" spans="1:21" x14ac:dyDescent="0.25">
      <c r="A44" s="9"/>
      <c r="B44" s="62" t="s">
        <v>217</v>
      </c>
      <c r="C44" s="463"/>
      <c r="D44" s="64" t="s">
        <v>199</v>
      </c>
      <c r="E44" s="484" t="s">
        <v>218</v>
      </c>
      <c r="F44" s="484" t="s">
        <v>219</v>
      </c>
      <c r="G44" s="233" t="s">
        <v>220</v>
      </c>
      <c r="H44" s="64"/>
      <c r="I44" s="470">
        <v>1.35E-2</v>
      </c>
      <c r="J44" s="64"/>
      <c r="K44" s="64"/>
      <c r="L44" s="36">
        <v>3.9600000000000003E-2</v>
      </c>
      <c r="M44" s="64"/>
      <c r="N44" s="463"/>
      <c r="O44" s="469">
        <v>30000</v>
      </c>
      <c r="P44" s="481">
        <v>96000</v>
      </c>
      <c r="Q44" s="469">
        <v>163000</v>
      </c>
      <c r="R44" s="10"/>
    </row>
    <row r="45" spans="1:21" x14ac:dyDescent="0.25">
      <c r="A45" s="128"/>
      <c r="B45" s="9"/>
      <c r="C45" s="463"/>
      <c r="D45" s="64" t="s">
        <v>207</v>
      </c>
      <c r="E45" s="484"/>
      <c r="F45" s="484"/>
      <c r="G45" s="233"/>
      <c r="H45" s="156"/>
      <c r="I45" s="64"/>
      <c r="J45" s="248"/>
      <c r="K45" s="64"/>
      <c r="L45" s="51"/>
      <c r="M45" s="64"/>
      <c r="N45" s="463"/>
      <c r="O45" s="341">
        <v>128000</v>
      </c>
      <c r="P45" s="341">
        <v>325000</v>
      </c>
      <c r="Q45" s="341">
        <v>522000</v>
      </c>
      <c r="R45" s="10"/>
    </row>
    <row r="46" spans="1:21" x14ac:dyDescent="0.25">
      <c r="B46" s="9"/>
      <c r="F46" s="9"/>
      <c r="G46" s="9"/>
      <c r="H46" s="9"/>
      <c r="I46" s="9"/>
      <c r="J46" s="9"/>
      <c r="K46" s="9"/>
      <c r="L46" s="9"/>
      <c r="M46" s="9"/>
      <c r="N46" s="9"/>
      <c r="O46" s="9"/>
      <c r="P46" s="9"/>
      <c r="Q46" s="9"/>
      <c r="R46" s="10"/>
    </row>
    <row r="47" spans="1:21" x14ac:dyDescent="0.25">
      <c r="A47" s="60"/>
      <c r="B47" s="110"/>
      <c r="C47" s="60"/>
      <c r="D47" s="60"/>
      <c r="E47" s="60"/>
      <c r="F47" s="110"/>
      <c r="G47" s="110"/>
      <c r="H47" s="110"/>
      <c r="I47" s="110"/>
      <c r="J47" s="110"/>
      <c r="K47" s="110"/>
      <c r="L47" s="110"/>
      <c r="M47" s="110"/>
      <c r="N47" s="110"/>
      <c r="O47" s="110"/>
      <c r="P47" s="110"/>
      <c r="Q47" s="110"/>
      <c r="R47" s="110"/>
      <c r="S47" s="110"/>
      <c r="T47" s="110"/>
      <c r="U47" s="110"/>
    </row>
    <row r="48" spans="1:21" ht="20.25" thickBot="1" x14ac:dyDescent="0.35">
      <c r="A48" s="112" t="s">
        <v>362</v>
      </c>
      <c r="B48" s="110"/>
      <c r="C48" s="60"/>
      <c r="D48" s="60"/>
      <c r="E48" s="60"/>
      <c r="F48" s="465"/>
      <c r="G48" s="466"/>
      <c r="H48" s="466"/>
      <c r="I48" s="466"/>
      <c r="J48" s="466"/>
      <c r="K48" s="466"/>
      <c r="L48" s="466"/>
      <c r="M48" s="466"/>
      <c r="N48" s="466"/>
      <c r="O48" s="466"/>
      <c r="P48" s="466"/>
      <c r="Q48" s="466"/>
      <c r="R48" s="466"/>
      <c r="S48" s="466"/>
      <c r="T48" s="466"/>
      <c r="U48" s="466"/>
    </row>
    <row r="49" spans="1:21" ht="56.25" customHeight="1" x14ac:dyDescent="0.25">
      <c r="A49" s="60"/>
      <c r="B49" s="66"/>
      <c r="C49" s="63"/>
      <c r="D49" s="245"/>
      <c r="E49" s="245"/>
      <c r="F49" s="113" t="s">
        <v>988</v>
      </c>
      <c r="G49" s="424"/>
      <c r="H49" s="424"/>
      <c r="I49" s="113" t="s">
        <v>987</v>
      </c>
      <c r="J49" s="113"/>
      <c r="K49" s="351" t="s">
        <v>463</v>
      </c>
      <c r="L49" s="352" t="s">
        <v>454</v>
      </c>
      <c r="M49" s="808" t="s">
        <v>989</v>
      </c>
      <c r="N49" s="808" t="s">
        <v>990</v>
      </c>
      <c r="O49" s="808" t="s">
        <v>991</v>
      </c>
      <c r="P49" s="808" t="s">
        <v>992</v>
      </c>
      <c r="Q49" s="352" t="s">
        <v>333</v>
      </c>
      <c r="R49" s="246" t="s">
        <v>368</v>
      </c>
      <c r="S49" s="372" t="s">
        <v>462</v>
      </c>
      <c r="T49" s="466"/>
      <c r="U49" s="466"/>
    </row>
    <row r="50" spans="1:21" x14ac:dyDescent="0.25">
      <c r="A50" s="66" t="s">
        <v>382</v>
      </c>
      <c r="B50" s="66" t="s">
        <v>425</v>
      </c>
      <c r="C50" s="246" t="s">
        <v>264</v>
      </c>
      <c r="D50" s="246" t="s">
        <v>204</v>
      </c>
      <c r="E50" s="352" t="s">
        <v>259</v>
      </c>
      <c r="F50" s="352" t="s">
        <v>260</v>
      </c>
      <c r="G50" s="352" t="s">
        <v>261</v>
      </c>
      <c r="H50" s="352" t="s">
        <v>313</v>
      </c>
      <c r="I50" s="352" t="s">
        <v>312</v>
      </c>
      <c r="J50" s="352" t="s">
        <v>311</v>
      </c>
      <c r="K50" s="244"/>
      <c r="L50" s="66"/>
      <c r="M50" s="15"/>
      <c r="N50" s="15"/>
      <c r="O50" s="15"/>
      <c r="P50" s="466"/>
      <c r="Q50" s="66"/>
      <c r="R50" s="246"/>
      <c r="S50" s="450"/>
      <c r="T50" s="466"/>
      <c r="U50" s="466"/>
    </row>
    <row r="51" spans="1:21" x14ac:dyDescent="0.25">
      <c r="A51" s="456" t="s">
        <v>11</v>
      </c>
      <c r="B51" s="9" t="s">
        <v>117</v>
      </c>
      <c r="C51" s="9" t="s">
        <v>265</v>
      </c>
      <c r="D51" s="495" t="s">
        <v>9</v>
      </c>
      <c r="E51" s="42">
        <f ca="1">INDEX(INDIRECT("SSW_WTPCore2_"&amp;$C51&amp;"_Levels"),1,MATCH(E$50,WTPCore2_AttLevels,0))</f>
        <v>1.6666666666666666E-2</v>
      </c>
      <c r="F51" s="42"/>
      <c r="G51" s="42">
        <f ca="1">INDEX(INDIRECT("SSW_WTPCore2_"&amp;$C51&amp;"_Levels"),1,MATCH(G$50,WTPCore2_AttLevels,0))</f>
        <v>1.1111111111111112E-2</v>
      </c>
      <c r="H51" s="118">
        <f ca="1">INDEX(INDIRECT("SSW_WTPCore2_"&amp;$C51&amp;"_LevelValues"),1,MATCH("S1 MEAN",WTPCore2_LevelValues,0))</f>
        <v>0.30818609087835352</v>
      </c>
      <c r="I51" s="118">
        <f ca="1">INDEX(INDIRECT("SSW_WTPCore2_"&amp;$C51&amp;"_LevelValues"),1,MATCH("S2 MEAN",WTPCore2_LevelValues,0))</f>
        <v>0.18578205633963885</v>
      </c>
      <c r="J51" s="118">
        <f ca="1">H51+I51</f>
        <v>0.49396814721799237</v>
      </c>
      <c r="K51" s="362">
        <f>VLOOKUP($A51,$A$6:$Q$45,COLUMN($P$3),0)</f>
        <v>1570</v>
      </c>
      <c r="L51" s="362">
        <f ca="1">K51*(E51-G51)</f>
        <v>8.7222222222222214</v>
      </c>
      <c r="M51" s="579">
        <f t="shared" ref="M51:M55" ca="1" si="0">INDEX(INDIRECT("SSW_WTPCore_DCE_"&amp;$C51&amp;"_UnitValues"),MATCH("COMBINED-HH",WTPCore_Group,0),MATCH("MEAN",LMH,0))</f>
        <v>171.97536823750744</v>
      </c>
      <c r="N51" s="579">
        <f ca="1">M51*(E51-G51)*(AllProps_SSW/HHProps_SSW)</f>
        <v>1.0194594594594593</v>
      </c>
      <c r="O51" s="117">
        <f t="shared" ref="O51:O55" ca="1" si="1">INDEX(INDIRECT("SSW_WTPCore2_"&amp;$C51&amp;"_UnitValues"),1,MATCH("MEAN",LMH,0))</f>
        <v>83.328820216603944</v>
      </c>
      <c r="P51" s="579">
        <f ca="1">O51*($E51-$G51)*(AllProps_SSW/HHProps_SSW)</f>
        <v>0.49396814721799231</v>
      </c>
      <c r="Q51" s="13">
        <f ca="1">L51*$O$57/$L$56</f>
        <v>1.0110510149548997</v>
      </c>
      <c r="R51" s="29" t="s">
        <v>369</v>
      </c>
      <c r="S51" s="496">
        <f ca="1">Q51*HHProps_SSW/((E51-G51)*AllProps_SSW)</f>
        <v>170.55692503551589</v>
      </c>
    </row>
    <row r="52" spans="1:21" x14ac:dyDescent="0.25">
      <c r="A52" s="22" t="s">
        <v>10</v>
      </c>
      <c r="B52" s="9" t="s">
        <v>25</v>
      </c>
      <c r="C52" s="9" t="s">
        <v>266</v>
      </c>
      <c r="D52" s="495" t="s">
        <v>9</v>
      </c>
      <c r="E52" s="42">
        <f ca="1">INDEX(INDIRECT("SSW_WTPCore2_"&amp;$C52&amp;"_Levels"),1,MATCH(E$50,WTPCore2_AttLevels,0))</f>
        <v>6.6666666666666666E-2</v>
      </c>
      <c r="F52" s="42"/>
      <c r="G52" s="42">
        <f ca="1">INDEX(INDIRECT("SSW_WTPCore2_"&amp;$C52&amp;"_Levels"),1,MATCH(G$50,WTPCore2_AttLevels,0))</f>
        <v>0.04</v>
      </c>
      <c r="H52" s="118">
        <f ca="1">INDEX(INDIRECT("SSW_WTPCore2_"&amp;$C52&amp;"_LevelValues"),1,MATCH("S1 MEAN",WTPCore2_LevelValues,0))</f>
        <v>3.3679929677046498</v>
      </c>
      <c r="I52" s="118">
        <f ca="1">INDEX(INDIRECT("SSW_WTPCore2_"&amp;$C52&amp;"_LevelValues"),1,MATCH("S2 MEAN",WTPCore2_LevelValues,0))</f>
        <v>0.60669022375558512</v>
      </c>
      <c r="J52" s="118">
        <f ca="1">H52+I52</f>
        <v>3.974683191460235</v>
      </c>
      <c r="K52" s="362">
        <f>VLOOKUP($A52,$A$6:$Q$45,COLUMN($P$3),0)</f>
        <v>1540</v>
      </c>
      <c r="L52" s="362">
        <f ca="1">K52*(E52-G52)</f>
        <v>41.066666666666663</v>
      </c>
      <c r="M52" s="579">
        <f t="shared" ca="1" si="0"/>
        <v>27.809917858229387</v>
      </c>
      <c r="N52" s="579">
        <f ca="1">M52*(E52-G52)*(AllProps_SSW/HHProps_SSW)</f>
        <v>0.79130635838150276</v>
      </c>
      <c r="O52" s="117">
        <f t="shared" ca="1" si="1"/>
        <v>139.68750774741403</v>
      </c>
      <c r="P52" s="579">
        <f ca="1">O52*($E52-$G52)*(AllProps_SSW/HHProps_SSW)</f>
        <v>3.974683191460235</v>
      </c>
      <c r="Q52" s="13">
        <f t="shared" ref="Q52:Q53" ca="1" si="2">L52*$O$57/$L$56</f>
        <v>4.7603115302844703</v>
      </c>
      <c r="R52" s="29" t="s">
        <v>369</v>
      </c>
      <c r="S52" s="496">
        <f ca="1">Q52*HHProps_SSW/((E52-G52)*AllProps_SSW)</f>
        <v>167.29787551254421</v>
      </c>
    </row>
    <row r="53" spans="1:21" x14ac:dyDescent="0.25">
      <c r="A53" s="9" t="s">
        <v>15</v>
      </c>
      <c r="B53" s="9" t="s">
        <v>83</v>
      </c>
      <c r="C53" s="9" t="s">
        <v>269</v>
      </c>
      <c r="D53" s="495" t="s">
        <v>9</v>
      </c>
      <c r="E53" s="42">
        <f ca="1">INDEX(INDIRECT("SSW_WTPCore2_"&amp;$C53&amp;"_Levels"),1,MATCH(E$50,WTPCore2_AttLevels,0))</f>
        <v>1.4285714285714285E-2</v>
      </c>
      <c r="F53" s="42"/>
      <c r="G53" s="42">
        <f ca="1">INDEX(INDIRECT("SSW_WTPCore2_"&amp;$C53&amp;"_Levels"),1,MATCH(G$50,WTPCore2_AttLevels,0))</f>
        <v>9.5238095238095247E-3</v>
      </c>
      <c r="H53" s="118">
        <f ca="1">INDEX(INDIRECT("SSW_WTPCore2_"&amp;$C53&amp;"_LevelValues"),1,MATCH("S1 MEAN",WTPCore2_LevelValues,0))</f>
        <v>0.39718669024665654</v>
      </c>
      <c r="I53" s="118">
        <f ca="1">INDEX(INDIRECT("SSW_WTPCore2_"&amp;$C53&amp;"_LevelValues"),1,MATCH("S2 MEAN",WTPCore2_LevelValues,0))</f>
        <v>0.53859352958370721</v>
      </c>
      <c r="J53" s="118">
        <f ca="1">H53+I53</f>
        <v>0.93578021983036375</v>
      </c>
      <c r="K53" s="362">
        <f>VLOOKUP($A53,$A$6:$Q$45,COLUMN($P$3),0)</f>
        <v>2970</v>
      </c>
      <c r="L53" s="362">
        <f ca="1">K53*(E53-G53)</f>
        <v>14.142857142857139</v>
      </c>
      <c r="M53" s="579">
        <f t="shared" ca="1" si="0"/>
        <v>160.37052631578945</v>
      </c>
      <c r="N53" s="579">
        <f ca="1">M53*($E53-$G53)*(AllProps_SSW/HHProps_SSW)</f>
        <v>0.8148571428571425</v>
      </c>
      <c r="O53" s="117">
        <f t="shared" ca="1" si="1"/>
        <v>184.16917331534088</v>
      </c>
      <c r="P53" s="579">
        <f ca="1">O53*($E53-$G53)*(AllProps_SSW/HHProps_SSW)</f>
        <v>0.93578021983036364</v>
      </c>
      <c r="Q53" s="13">
        <f t="shared" ca="1" si="2"/>
        <v>1.6393930015010287</v>
      </c>
      <c r="R53" s="29" t="s">
        <v>369</v>
      </c>
      <c r="S53" s="496">
        <f ca="1">Q53*HHProps_SSW/((E53-G53)*AllProps_SSW)</f>
        <v>322.64590277419234</v>
      </c>
    </row>
    <row r="54" spans="1:21" x14ac:dyDescent="0.25">
      <c r="A54" s="22" t="s">
        <v>157</v>
      </c>
      <c r="B54" s="9" t="s">
        <v>82</v>
      </c>
      <c r="C54" s="9" t="s">
        <v>268</v>
      </c>
      <c r="D54" s="495" t="s">
        <v>9</v>
      </c>
      <c r="E54" s="43">
        <f ca="1">INDEX(INDIRECT("SSW_WTPCore2_"&amp;$C54&amp;"_Levels"),1,MATCH(E$50,WTPCore2_AttLevels,0))</f>
        <v>0</v>
      </c>
      <c r="F54" s="42"/>
      <c r="G54" s="43">
        <f ca="1">INDEX(INDIRECT("SSW_WTPCore2_"&amp;$C54&amp;"_Levels"),1,MATCH(G$50,WTPCore2_AttLevels,0))</f>
        <v>4000</v>
      </c>
      <c r="H54" s="118">
        <f ca="1">INDEX(INDIRECT("SSW_WTPCore2_"&amp;$C54&amp;"_LevelValues"),1,MATCH("S1 MEAN",WTPCore2_LevelValues,0))</f>
        <v>5.2894480160712298</v>
      </c>
      <c r="I54" s="118">
        <f ca="1">INDEX(INDIRECT("SSW_WTPCore2_"&amp;$C54&amp;"_LevelValues"),1,MATCH("S2 MEAN",WTPCore2_LevelValues,0))</f>
        <v>0.60625599239311434</v>
      </c>
      <c r="J54" s="118">
        <f ca="1">H54+I54</f>
        <v>5.8957040084643442</v>
      </c>
      <c r="K54" s="221">
        <f>VLOOKUP($A54,$A$6:$Q$45,COLUMN($P$3),0)/HHProps_SSW</f>
        <v>7.0543478260869561</v>
      </c>
      <c r="L54" s="221">
        <f ca="1">-K54*(E54-G54)/HHProps_SSW</f>
        <v>5.1118462507876494E-2</v>
      </c>
      <c r="M54" s="579">
        <f t="shared" ca="1" si="0"/>
        <v>6.1197962648556876</v>
      </c>
      <c r="N54" s="579">
        <f ca="1">-M54*(E54-G54)/HHProps_SSW</f>
        <v>4.4346349745331068E-2</v>
      </c>
      <c r="O54" s="117">
        <f t="shared" ca="1" si="1"/>
        <v>813.60715316807944</v>
      </c>
      <c r="P54" s="579">
        <f ca="1">-O54*(E54-G54)/HHProps_SSW</f>
        <v>5.8957040084643442</v>
      </c>
      <c r="Q54" s="13">
        <f ca="1">L54*$O$57/$L$56</f>
        <v>5.9254823008114991E-3</v>
      </c>
      <c r="R54" s="29" t="s">
        <v>369</v>
      </c>
      <c r="S54" s="669">
        <f ca="1">-Q54*HHProps_SSW/((E54-G54))</f>
        <v>0.81771655751198691</v>
      </c>
    </row>
    <row r="55" spans="1:21" ht="15.75" thickBot="1" x14ac:dyDescent="0.3">
      <c r="A55" s="128" t="s">
        <v>470</v>
      </c>
      <c r="B55" s="9" t="s">
        <v>28</v>
      </c>
      <c r="C55" s="9" t="s">
        <v>319</v>
      </c>
      <c r="D55" s="495" t="s">
        <v>9</v>
      </c>
      <c r="E55" s="42">
        <f ca="1">INDEX(INDIRECT("SSW_WTPCore2_"&amp;$C55&amp;"_Levels"),1,MATCH(E$50,WTPCore2_AttLevels,0))</f>
        <v>2.5000000000000001E-2</v>
      </c>
      <c r="F55" s="42"/>
      <c r="G55" s="42">
        <f ca="1">INDEX(INDIRECT("SSW_WTPCore2_"&amp;$C55&amp;"_Levels"),1,MATCH(G$50,WTPCore2_AttLevels,0))</f>
        <v>1.5384615384615385E-2</v>
      </c>
      <c r="H55" s="118">
        <f ca="1">INDEX(INDIRECT("SSW_WTPCore2_"&amp;$C55&amp;"_LevelValues"),1,MATCH("S1 MEAN",WTPCore2_LevelValues,0))</f>
        <v>0.4084226191643695</v>
      </c>
      <c r="I55" s="118">
        <f ca="1">INDEX(INDIRECT("SSW_WTPCore2_"&amp;$C55&amp;"_LevelValues"),1,MATCH("S2 MEAN",WTPCore2_LevelValues,0))</f>
        <v>0.28250000903457151</v>
      </c>
      <c r="J55" s="118">
        <f ca="1">H55+I55</f>
        <v>0.69092262819894101</v>
      </c>
      <c r="K55" s="221">
        <f>VLOOKUP($A55,$A$6:$Q$45,COLUMN($P$3),0)*100/HHProps_SSW</f>
        <v>119.3840579710145</v>
      </c>
      <c r="L55" s="494">
        <f ca="1">K55*(E55-G55)</f>
        <v>1.1479236343366779</v>
      </c>
      <c r="M55" s="820">
        <f t="shared" ca="1" si="0"/>
        <v>251711.99999999994</v>
      </c>
      <c r="N55" s="579">
        <f ca="1">M55*(E55-G55)/HHProps_SSW*100</f>
        <v>0.43846153846153835</v>
      </c>
      <c r="O55" s="343">
        <f t="shared" ca="1" si="1"/>
        <v>396644.86239644804</v>
      </c>
      <c r="P55" s="579">
        <f ca="1">O55*(E55-G55)/HHProps_SSW*100</f>
        <v>0.69092262819894101</v>
      </c>
      <c r="Q55" s="13">
        <f ca="1">L55*$O$57/$L$56</f>
        <v>0.13306349299721448</v>
      </c>
      <c r="R55" s="29" t="s">
        <v>422</v>
      </c>
      <c r="S55" s="821">
        <f ca="1">Q55*HHProps_SSW/((E55-G55)*100)</f>
        <v>76389.090059840892</v>
      </c>
    </row>
    <row r="56" spans="1:21" x14ac:dyDescent="0.25">
      <c r="A56" s="128"/>
      <c r="B56" s="9"/>
      <c r="C56" s="9"/>
      <c r="D56" s="495"/>
      <c r="E56" s="42"/>
      <c r="F56" s="42"/>
      <c r="G56" s="42"/>
      <c r="H56" s="118"/>
      <c r="I56" s="118"/>
      <c r="J56" s="251">
        <f ca="1">SUM(J51:J55)</f>
        <v>11.991058195171876</v>
      </c>
      <c r="K56" s="35">
        <f>SUM(K51:K55)</f>
        <v>6206.438405797102</v>
      </c>
      <c r="L56" s="35">
        <f ca="1">SUM(L51:L55)</f>
        <v>65.130788128590581</v>
      </c>
      <c r="N56" s="251">
        <f ca="1">SUM(N51:N55)</f>
        <v>3.1084308489049737</v>
      </c>
      <c r="P56" s="251">
        <f ca="1">SUM(P51:P55)</f>
        <v>11.991058195171876</v>
      </c>
      <c r="Q56" s="251">
        <f ca="1">SUM(Q51:Q55)</f>
        <v>7.5497445220384245</v>
      </c>
      <c r="R56" s="29"/>
      <c r="S56" s="576"/>
    </row>
    <row r="57" spans="1:21" x14ac:dyDescent="0.25">
      <c r="A57" s="128"/>
      <c r="B57" s="9"/>
      <c r="C57" s="9"/>
      <c r="D57" s="495"/>
      <c r="E57" s="42"/>
      <c r="F57" s="42"/>
      <c r="G57" s="42"/>
      <c r="H57" s="118"/>
      <c r="I57" s="118"/>
      <c r="J57" s="251"/>
      <c r="K57" s="35"/>
      <c r="L57" s="35"/>
      <c r="N57" s="817" t="s">
        <v>986</v>
      </c>
      <c r="O57" s="120">
        <f ca="1">AVERAGE(N56,P56)</f>
        <v>7.5497445220384245</v>
      </c>
      <c r="P57" s="251"/>
      <c r="Q57" s="251"/>
      <c r="R57" s="29"/>
      <c r="S57" s="576"/>
    </row>
    <row r="58" spans="1:21" x14ac:dyDescent="0.25">
      <c r="A58" s="128"/>
      <c r="B58" s="9"/>
      <c r="C58" s="9"/>
      <c r="D58" s="495"/>
      <c r="E58" s="42"/>
      <c r="F58" s="42"/>
      <c r="G58" s="42"/>
      <c r="H58" s="577" t="s">
        <v>502</v>
      </c>
      <c r="I58" s="577"/>
      <c r="J58" s="577"/>
      <c r="K58" s="221"/>
      <c r="L58" s="494"/>
      <c r="Q58" s="13"/>
      <c r="R58" s="29"/>
      <c r="S58" s="576"/>
    </row>
    <row r="59" spans="1:21" ht="15.75" thickBot="1" x14ac:dyDescent="0.3">
      <c r="B59" s="9"/>
      <c r="H59" s="573" t="s">
        <v>313</v>
      </c>
      <c r="I59" s="573" t="s">
        <v>312</v>
      </c>
      <c r="J59" s="573" t="s">
        <v>311</v>
      </c>
      <c r="K59" s="313"/>
      <c r="L59" s="313"/>
      <c r="Q59" s="251"/>
      <c r="S59" s="5"/>
    </row>
    <row r="60" spans="1:21" x14ac:dyDescent="0.25">
      <c r="A60" s="456" t="s">
        <v>11</v>
      </c>
      <c r="B60" s="9" t="s">
        <v>117</v>
      </c>
      <c r="C60" s="9" t="s">
        <v>265</v>
      </c>
      <c r="D60" s="495" t="s">
        <v>199</v>
      </c>
      <c r="E60" s="42">
        <f ca="1">INDEX(INDIRECT("SSW_WTPCore2_"&amp;$C60&amp;"_Levels"),2,MATCH(E$50,WTPCore2_AttLevels,0))</f>
        <v>1.6666666666666666E-2</v>
      </c>
      <c r="F60" s="42"/>
      <c r="G60" s="42">
        <f ca="1">INDEX(INDIRECT("SSW_WTPCore2_"&amp;$C60&amp;"_Levels"),2,MATCH(G$50,WTPCore2_AttLevels,0))</f>
        <v>1.1111111111111112E-2</v>
      </c>
      <c r="H60" s="42">
        <f ca="1">INDEX(INDIRECT("SSW_WTPCore2_"&amp;$C60&amp;"_LevelValues"),2,MATCH("S1 MEAN",WTPCore2_LevelValues,0))</f>
        <v>3.6865032727528453E-3</v>
      </c>
      <c r="I60" s="42">
        <f ca="1">INDEX(INDIRECT("SSW_WTPCore2_"&amp;$C60&amp;"_LevelValues"),2,MATCH("S2 MEAN",WTPCore2_LevelValues,0))</f>
        <v>5.1592292451456759E-6</v>
      </c>
      <c r="J60" s="42">
        <f ca="1">SUM(H60:I60)</f>
        <v>3.691662501997991E-3</v>
      </c>
      <c r="K60" s="362">
        <f ca="1">INDEX(INDIRECT("SSW_PR14_WTP_"&amp;$C60&amp;"_UnitValues"),MATCH("NHH",SSW_PR14_WTPCore_Group,0),MATCH("MEAN",SSW_PR14_LMH,0))</f>
        <v>820</v>
      </c>
      <c r="L60" s="362">
        <f ca="1">K60*(E60-G60)</f>
        <v>4.5555555555555554</v>
      </c>
      <c r="M60" s="579">
        <f ca="1">INDEX(INDIRECT("SSW_WTPCore_DCE_"&amp;$C60&amp;"_UnitValues"),MATCH("COMBINED-NHH",WTPCore_Group,0),MATCH("MEAN",LMH,0))</f>
        <v>70.914536619635854</v>
      </c>
      <c r="N60" s="579">
        <f ca="1">M60*(E60-G60)*(AllProps_SSW/NHHProps_SSW)</f>
        <v>6.2715708812260527</v>
      </c>
      <c r="O60" s="117">
        <f ca="1">INDEX(INDIRECT("SSW_WTPCore2_"&amp;$C60&amp;"_UnitValues"),2,MATCH("MEAN",LMH,0))</f>
        <v>184.66986976717914</v>
      </c>
      <c r="P60" s="579">
        <f ca="1">O60*($E60-$G60)*(AllProps_SSW/NHHProps_SSW)</f>
        <v>16.331914908839117</v>
      </c>
      <c r="Q60" s="579">
        <f ca="1">L60*$O$66/$L$65</f>
        <v>11.473772959888045</v>
      </c>
      <c r="R60" s="29" t="s">
        <v>369</v>
      </c>
      <c r="S60" s="822">
        <f ca="1">Q60*NHHProps_SSW/((E60-G60)*AllProps_SSW)</f>
        <v>129.73739883336907</v>
      </c>
    </row>
    <row r="61" spans="1:21" x14ac:dyDescent="0.25">
      <c r="A61" s="22" t="s">
        <v>10</v>
      </c>
      <c r="B61" s="9" t="s">
        <v>25</v>
      </c>
      <c r="C61" s="9" t="s">
        <v>266</v>
      </c>
      <c r="D61" s="495" t="s">
        <v>199</v>
      </c>
      <c r="E61" s="42">
        <f ca="1">INDEX(INDIRECT("SSW_WTPCore2_"&amp;$C61&amp;"_Levels"),2,MATCH(E$50,WTPCore2_AttLevels,0))</f>
        <v>6.6666666666666666E-2</v>
      </c>
      <c r="F61" s="42"/>
      <c r="G61" s="42">
        <f ca="1">INDEX(INDIRECT("SSW_WTPCore2_"&amp;$C61&amp;"_Levels"),2,MATCH(G$50,WTPCore2_AttLevels,0))</f>
        <v>0.04</v>
      </c>
      <c r="H61" s="42">
        <f ca="1">INDEX(INDIRECT("SSW_WTPCore2_"&amp;$C61&amp;"_LevelValues"),2,MATCH("S1 MEAN",WTPCore2_LevelValues,0))</f>
        <v>1.9376915692789636E-2</v>
      </c>
      <c r="I61" s="42">
        <f ca="1">INDEX(INDIRECT("SSW_WTPCore2_"&amp;$C61&amp;"_LevelValues"),2,MATCH("S2 MEAN",WTPCore2_LevelValues,0))</f>
        <v>4.9841954334050795E-4</v>
      </c>
      <c r="J61" s="42">
        <f t="shared" ref="J61:J64" ca="1" si="3">SUM(H61:I61)</f>
        <v>1.9875335236130144E-2</v>
      </c>
      <c r="K61" s="362">
        <f ca="1">INDEX(INDIRECT("SSW_PR14_WTP_"&amp;$C61&amp;"_UnitValues"),MATCH("NHH",SSW_PR14_WTPCore_Group,0),MATCH("MEAN",SSW_PR14_LMH,0))</f>
        <v>750</v>
      </c>
      <c r="L61" s="362">
        <f ca="1">K61*(E61-G61)</f>
        <v>20</v>
      </c>
      <c r="M61" s="579">
        <f ca="1">INDEX(INDIRECT("SSW_WTPCore_DCE_"&amp;$C61&amp;"_UnitValues"),MATCH("COMBINED-NHH",WTPCore_Group,0),MATCH("MEAN",LMH,0))</f>
        <v>44.321585387272407</v>
      </c>
      <c r="N61" s="579">
        <f ca="1">M61*(E61-G61)*(AllProps_SSW/NHHProps_SSW)</f>
        <v>18.81471264367816</v>
      </c>
      <c r="O61" s="117">
        <f ca="1">INDEX(INDIRECT("SSW_WTPCore2_"&amp;$C61&amp;"_UnitValues"),2,MATCH("MEAN",LMH,0))</f>
        <v>207.13203782671931</v>
      </c>
      <c r="P61" s="579">
        <f ca="1">O61*($E61-$G61)*(AllProps_SSW/NHHProps_SSW)</f>
        <v>87.928483084639765</v>
      </c>
      <c r="Q61" s="579">
        <f t="shared" ref="Q61:Q64" ca="1" si="4">L61*$O$66/$L$65</f>
        <v>50.372661775118246</v>
      </c>
      <c r="R61" s="29" t="s">
        <v>369</v>
      </c>
      <c r="S61" s="669">
        <f ca="1">Q61*NHHProps_SSW/((E61-G61)*AllProps_SSW)</f>
        <v>118.66225503052048</v>
      </c>
    </row>
    <row r="62" spans="1:21" x14ac:dyDescent="0.25">
      <c r="A62" s="9" t="s">
        <v>15</v>
      </c>
      <c r="B62" s="9" t="s">
        <v>83</v>
      </c>
      <c r="C62" s="9" t="s">
        <v>269</v>
      </c>
      <c r="D62" s="495" t="s">
        <v>199</v>
      </c>
      <c r="E62" s="42">
        <f ca="1">INDEX(INDIRECT("SSW_WTPCore2_"&amp;$C62&amp;"_Levels"),2,MATCH(E$50,WTPCore2_AttLevels,0))</f>
        <v>1.2500000000000001E-2</v>
      </c>
      <c r="F62" s="42"/>
      <c r="G62" s="42">
        <f ca="1">INDEX(INDIRECT("SSW_WTPCore2_"&amp;$C62&amp;"_Levels"),2,MATCH(G$50,WTPCore2_AttLevels,0))</f>
        <v>8.3333333333333332E-3</v>
      </c>
      <c r="H62" s="42">
        <f ca="1">INDEX(INDIRECT("SSW_WTPCore2_"&amp;$C62&amp;"_LevelValues"),2,MATCH("S1 MEAN",WTPCore2_LevelValues,0))</f>
        <v>2.3562800507588295E-4</v>
      </c>
      <c r="I62" s="42">
        <f ca="1">INDEX(INDIRECT("SSW_WTPCore2_"&amp;$C62&amp;"_LevelValues"),2,MATCH("S2 MEAN",WTPCore2_LevelValues,0))</f>
        <v>4.1117889914467278E-4</v>
      </c>
      <c r="J62" s="42">
        <f t="shared" ca="1" si="3"/>
        <v>6.4680690422055573E-4</v>
      </c>
      <c r="K62" s="362">
        <f ca="1">INDEX(INDIRECT("SSW_PR14_WTP_"&amp;$C62&amp;"_UnitValues"),MATCH("NHH",SSW_PR14_WTPCore_Group,0),MATCH("MEAN",SSW_PR14_LMH,0))</f>
        <v>2560</v>
      </c>
      <c r="L62" s="362">
        <f ca="1">K62*(E62-G62)</f>
        <v>10.666666666666668</v>
      </c>
      <c r="M62" s="579">
        <f ca="1">INDEX(INDIRECT("SSW_WTPCore_DCE_"&amp;$C62&amp;"_UnitValues"),MATCH("COMBINED-NHH",WTPCore_Group,0),MATCH("MEAN",LMH,0))</f>
        <v>310.41834897651921</v>
      </c>
      <c r="N62" s="579">
        <f ca="1">M62*(E62-G62)*(AllProps_SSW/NHHProps_SSW)</f>
        <v>20.589685534591201</v>
      </c>
      <c r="O62" s="117">
        <f ca="1">INDEX(INDIRECT("SSW_WTPCore2_"&amp;$C62&amp;"_UnitValues"),2,MATCH("MEAN",LMH,0))</f>
        <v>43.140724701414321</v>
      </c>
      <c r="P62" s="579">
        <f ca="1">O62*($E62-$G62)*(AllProps_SSW/NHHProps_SSW)</f>
        <v>2.8614737442717391</v>
      </c>
      <c r="Q62" s="579">
        <f t="shared" ca="1" si="4"/>
        <v>26.865419613396401</v>
      </c>
      <c r="R62" s="29" t="s">
        <v>369</v>
      </c>
      <c r="S62" s="669">
        <f ca="1">Q62*NHHProps_SSW/((E62-G62)*AllProps_SSW)</f>
        <v>405.03383050417659</v>
      </c>
    </row>
    <row r="63" spans="1:21" x14ac:dyDescent="0.25">
      <c r="A63" s="22" t="s">
        <v>157</v>
      </c>
      <c r="B63" s="9" t="s">
        <v>82</v>
      </c>
      <c r="C63" s="9" t="s">
        <v>268</v>
      </c>
      <c r="D63" s="495" t="s">
        <v>199</v>
      </c>
      <c r="E63" s="43">
        <f ca="1">INDEX(INDIRECT("SSW_WTPCore2_"&amp;$C63&amp;"_Levels"),2,MATCH(E$50,WTPCore2_AttLevels,0))</f>
        <v>0</v>
      </c>
      <c r="F63" s="42"/>
      <c r="G63" s="43">
        <f ca="1">INDEX(INDIRECT("SSW_WTPCore2_"&amp;$C63&amp;"_Levels"),2,MATCH(G$50,WTPCore2_AttLevels,0))</f>
        <v>4000</v>
      </c>
      <c r="H63" s="42">
        <f ca="1">INDEX(INDIRECT("SSW_WTPCore2_"&amp;$C63&amp;"_LevelValues"),2,MATCH("S1 MEAN",WTPCore2_LevelValues,0))</f>
        <v>4.1590321254674992E-3</v>
      </c>
      <c r="I63" s="42">
        <f ca="1">INDEX(INDIRECT("SSW_WTPCore2_"&amp;$C63&amp;"_LevelValues"),2,MATCH("S2 MEAN",WTPCore2_LevelValues,0))</f>
        <v>5.1578958405461544E-4</v>
      </c>
      <c r="J63" s="42">
        <f t="shared" ca="1" si="3"/>
        <v>4.6748217095221147E-3</v>
      </c>
      <c r="K63" s="221">
        <f ca="1">INDEX(INDIRECT("SSW_PR14_WTP_"&amp;$C63&amp;"_UnitValues"),MATCH("NHH",SSW_PR14_WTPCore_Group,0),MATCH("MEAN",SSW_PR14_LMH,0))/NHHProps_SSW</f>
        <v>15.378378378378379</v>
      </c>
      <c r="L63" s="362">
        <f ca="1">-K63*(E63-G63)/NHHProps_SSW</f>
        <v>1.662527392257122</v>
      </c>
      <c r="M63" s="579">
        <f ca="1">INDEX(INDIRECT("SSW_WTPCore_DCE_"&amp;$C63&amp;"_UnitValues"),MATCH("COMBINED-NHH",WTPCore_Group,0),MATCH("MEAN",LMH,0))</f>
        <v>9.7267911714770818</v>
      </c>
      <c r="N63" s="579">
        <f ca="1">-M63*(E63-G63)/NHHProps_SSW</f>
        <v>1.0515449915110358</v>
      </c>
      <c r="O63" s="117">
        <f ca="1">INDEX(INDIRECT("SSW_WTPCore2_"&amp;$C63&amp;"_UnitValues"),2,MATCH("MEAN",LMH,0))</f>
        <v>191.30305399706398</v>
      </c>
      <c r="P63" s="579">
        <f ca="1">-O63*(E63-G63)/NHHProps_SSW</f>
        <v>20.681411242925837</v>
      </c>
      <c r="Q63" s="579">
        <f t="shared" ca="1" si="4"/>
        <v>4.1872965011018675</v>
      </c>
      <c r="R63" s="29" t="s">
        <v>369</v>
      </c>
      <c r="S63" s="669">
        <f ca="1">-Q63*NHHProps_SSW/((E63-G63))</f>
        <v>38.73249263519228</v>
      </c>
    </row>
    <row r="64" spans="1:21" ht="15.75" thickBot="1" x14ac:dyDescent="0.3">
      <c r="A64" s="128" t="s">
        <v>470</v>
      </c>
      <c r="B64" s="9" t="s">
        <v>28</v>
      </c>
      <c r="C64" s="9" t="s">
        <v>319</v>
      </c>
      <c r="D64" s="495" t="s">
        <v>199</v>
      </c>
      <c r="E64" s="42">
        <f ca="1">INDEX(INDIRECT("SSW_WTPCore2_"&amp;$C64&amp;"_Levels"),2,MATCH(E$50,WTPCore2_AttLevels,0))</f>
        <v>2.5000000000000001E-2</v>
      </c>
      <c r="F64" s="42"/>
      <c r="G64" s="42">
        <f ca="1">INDEX(INDIRECT("SSW_WTPCore2_"&amp;$C64&amp;"_Levels"),2,MATCH(G$50,WTPCore2_AttLevels,0))</f>
        <v>1.6666666666666666E-2</v>
      </c>
      <c r="H64" s="42">
        <f ca="1">INDEX(INDIRECT("SSW_WTPCore2_"&amp;$C64&amp;"_LevelValues"),2,MATCH("S1 MEAN",WTPCore2_LevelValues,0))</f>
        <v>1.0363458862342743E-3</v>
      </c>
      <c r="I64" s="42">
        <f ca="1">INDEX(INDIRECT("SSW_WTPCore2_"&amp;$C64&amp;"_LevelValues"),2,MATCH("S2 MEAN",WTPCore2_LevelValues,0))</f>
        <v>6.2724159084084235E-4</v>
      </c>
      <c r="J64" s="42">
        <f t="shared" ca="1" si="3"/>
        <v>1.6635874770751166E-3</v>
      </c>
      <c r="K64" s="221">
        <f ca="1">INDEX(INDIRECT("SSW_PR14_WTP_"&amp;$C64&amp;"_UnitValues"),MATCH("NHH",SSW_PR14_WTPCore_Group,0),MATCH("MEAN",SSW_PR14_LMH,0))/NHHProps_SSW</f>
        <v>12.297297297297296</v>
      </c>
      <c r="L64" s="362">
        <f ca="1">K64*(E64-G64)</f>
        <v>0.10247747747747749</v>
      </c>
      <c r="M64" s="579">
        <f ca="1">INDEX(INDIRECT("SSW_WTPCore_DCE_"&amp;$C64&amp;"_UnitValues"),MATCH("COMBINED-NHH",WTPCore_Group,0),MATCH("MEAN",LMH,0))</f>
        <v>196425.59999999998</v>
      </c>
      <c r="N64" s="579">
        <f ca="1">M64*(E64-G64)/NHHProps_SSW*100</f>
        <v>4.4240000000000004</v>
      </c>
      <c r="O64" s="117">
        <f ca="1">INDEX(INDIRECT("SSW_WTPCore2_"&amp;$C64&amp;"_UnitValues"),2,MATCH("MEAN",LMH,0))</f>
        <v>326771.16833696596</v>
      </c>
      <c r="P64" s="579">
        <f ca="1">O64*(E64-G64)/NHHProps_SSW*100</f>
        <v>7.3597109985803151</v>
      </c>
      <c r="Q64" s="579">
        <f t="shared" ca="1" si="4"/>
        <v>0.25810316562701358</v>
      </c>
      <c r="R64" s="29" t="s">
        <v>422</v>
      </c>
      <c r="S64" s="670">
        <f ca="1">Q64*NHHProps_SSW/((E64-G64)*100)</f>
        <v>11459.7805538394</v>
      </c>
    </row>
    <row r="65" spans="1:19" x14ac:dyDescent="0.25">
      <c r="B65" s="9"/>
      <c r="H65" s="9"/>
      <c r="I65" s="9"/>
      <c r="J65" s="578">
        <f ca="1">(SUM(J60:J64))*AvgNHHBill_SSW</f>
        <v>135.16299397925675</v>
      </c>
      <c r="K65" s="192">
        <f ca="1">(SUM(K60:K64))</f>
        <v>4157.6756756756758</v>
      </c>
      <c r="L65" s="35">
        <f ca="1">SUM(L60:L64)</f>
        <v>36.987227091956832</v>
      </c>
      <c r="N65" s="251">
        <f ca="1">SUM(N60:N64)</f>
        <v>51.151514051006451</v>
      </c>
      <c r="P65" s="251">
        <f ca="1">SUM(P60:P64)</f>
        <v>135.16299397925675</v>
      </c>
      <c r="Q65" s="578">
        <f ca="1">SUM(Q60:Q64)</f>
        <v>93.157254015131585</v>
      </c>
      <c r="S65" s="5"/>
    </row>
    <row r="66" spans="1:19" x14ac:dyDescent="0.25">
      <c r="B66" s="9"/>
      <c r="H66" s="9"/>
      <c r="I66" s="9"/>
      <c r="K66" s="313"/>
      <c r="L66" s="313"/>
      <c r="M66" s="251"/>
      <c r="N66" s="817" t="s">
        <v>986</v>
      </c>
      <c r="O66" s="120">
        <f ca="1">AVERAGE(N65,P65)</f>
        <v>93.157254015131599</v>
      </c>
      <c r="S66" s="5"/>
    </row>
    <row r="67" spans="1:19" x14ac:dyDescent="0.25">
      <c r="B67" s="9"/>
      <c r="H67" s="9"/>
      <c r="I67" s="9"/>
      <c r="J67" s="584" t="s">
        <v>503</v>
      </c>
      <c r="K67" s="313"/>
      <c r="L67" s="313"/>
      <c r="M67" s="251"/>
      <c r="S67" s="5"/>
    </row>
    <row r="68" spans="1:19" x14ac:dyDescent="0.25">
      <c r="A68" s="493" t="s">
        <v>471</v>
      </c>
      <c r="B68" s="9"/>
      <c r="H68" s="9"/>
      <c r="I68" s="9"/>
      <c r="J68" s="9"/>
      <c r="K68" s="9"/>
      <c r="L68" s="9"/>
      <c r="M68" s="9"/>
      <c r="N68" s="9"/>
      <c r="O68" s="9"/>
      <c r="P68" s="9"/>
      <c r="Q68" s="9"/>
      <c r="R68" s="9"/>
      <c r="S68" s="9"/>
    </row>
    <row r="69" spans="1:19" x14ac:dyDescent="0.25">
      <c r="B69" s="9"/>
      <c r="G69" s="9"/>
      <c r="H69" s="9"/>
      <c r="I69" s="9"/>
      <c r="J69" s="9"/>
      <c r="K69" s="9"/>
      <c r="L69" s="9"/>
      <c r="M69" s="9"/>
      <c r="N69" s="9"/>
      <c r="O69" s="9"/>
      <c r="P69" s="9"/>
      <c r="Q69" s="9"/>
      <c r="R69" s="9"/>
    </row>
    <row r="70" spans="1:19" x14ac:dyDescent="0.25">
      <c r="B70" s="9"/>
      <c r="G70" s="9"/>
      <c r="H70" s="9"/>
      <c r="I70" s="9"/>
      <c r="J70" s="9"/>
      <c r="K70" s="9"/>
      <c r="L70" s="9"/>
      <c r="M70" s="9"/>
      <c r="N70" s="9"/>
      <c r="O70" s="9"/>
      <c r="P70" s="9"/>
      <c r="Q70" s="9"/>
      <c r="R70" s="9"/>
    </row>
    <row r="71" spans="1:19" x14ac:dyDescent="0.25">
      <c r="B71" s="9"/>
      <c r="G71" s="9"/>
      <c r="H71" s="9"/>
      <c r="I71" s="9"/>
      <c r="J71" s="9"/>
      <c r="K71" s="9"/>
      <c r="L71" s="9"/>
      <c r="M71" s="9"/>
      <c r="N71" s="9"/>
      <c r="O71" s="9"/>
      <c r="P71" s="9"/>
      <c r="Q71" s="9"/>
      <c r="R71" s="9"/>
    </row>
    <row r="72" spans="1:19" x14ac:dyDescent="0.25">
      <c r="B72" s="9"/>
      <c r="G72" s="9"/>
      <c r="H72" s="9"/>
      <c r="I72" s="9"/>
      <c r="J72" s="9"/>
      <c r="K72" s="9"/>
      <c r="L72" s="9"/>
      <c r="M72" s="9"/>
      <c r="N72" s="9"/>
      <c r="O72" s="9"/>
      <c r="P72" s="9"/>
      <c r="Q72" s="9"/>
      <c r="R72" s="9"/>
    </row>
    <row r="73" spans="1:19" x14ac:dyDescent="0.25">
      <c r="B73" s="9"/>
      <c r="G73" s="9"/>
      <c r="H73" s="9"/>
      <c r="I73" s="9"/>
      <c r="J73" s="484"/>
      <c r="K73" s="823"/>
      <c r="L73" s="9"/>
      <c r="M73" s="9"/>
      <c r="N73" s="9"/>
      <c r="O73" s="9"/>
      <c r="P73" s="9"/>
      <c r="Q73" s="9"/>
      <c r="R73" s="9"/>
    </row>
    <row r="74" spans="1:19" x14ac:dyDescent="0.25">
      <c r="B74" s="9"/>
      <c r="G74" s="9"/>
      <c r="H74" s="9"/>
      <c r="I74" s="9"/>
      <c r="J74" s="484"/>
      <c r="K74" s="823"/>
      <c r="L74" s="9"/>
      <c r="M74" s="9"/>
      <c r="N74" s="9"/>
      <c r="O74" s="9"/>
      <c r="P74" s="9"/>
      <c r="Q74" s="9"/>
      <c r="R74" s="9"/>
    </row>
    <row r="75" spans="1:19" x14ac:dyDescent="0.25">
      <c r="B75" s="9"/>
      <c r="G75" s="9"/>
      <c r="H75" s="9"/>
      <c r="I75" s="9"/>
      <c r="J75" s="484"/>
      <c r="K75" s="823"/>
      <c r="L75" s="9"/>
      <c r="M75" s="9"/>
      <c r="N75" s="9"/>
      <c r="O75" s="9"/>
      <c r="P75" s="9"/>
      <c r="Q75" s="9"/>
      <c r="R75" s="9"/>
    </row>
    <row r="76" spans="1:19" x14ac:dyDescent="0.25">
      <c r="B76" s="9"/>
      <c r="G76" s="9"/>
      <c r="H76" s="9"/>
      <c r="I76" s="9"/>
      <c r="J76" s="484"/>
      <c r="K76" s="823"/>
      <c r="L76" s="9"/>
      <c r="M76" s="9"/>
      <c r="N76" s="9"/>
      <c r="O76" s="9"/>
      <c r="P76" s="9"/>
      <c r="Q76" s="9"/>
      <c r="R76" s="9"/>
    </row>
    <row r="77" spans="1:19" x14ac:dyDescent="0.25">
      <c r="B77" s="9"/>
      <c r="G77" s="9"/>
      <c r="H77" s="9"/>
      <c r="I77" s="9"/>
      <c r="J77" s="484"/>
      <c r="K77" s="823"/>
      <c r="L77" s="9"/>
      <c r="M77" s="9"/>
      <c r="N77" s="9"/>
      <c r="O77" s="9"/>
      <c r="P77" s="9"/>
      <c r="Q77" s="9"/>
      <c r="R77" s="9"/>
    </row>
    <row r="78" spans="1:19" x14ac:dyDescent="0.25">
      <c r="B78" s="9"/>
      <c r="G78" s="9"/>
      <c r="H78" s="9"/>
      <c r="I78" s="9"/>
      <c r="J78" s="9"/>
      <c r="K78" s="9"/>
      <c r="L78" s="9"/>
      <c r="M78" s="9"/>
      <c r="N78" s="9"/>
      <c r="O78" s="9"/>
      <c r="P78" s="9"/>
      <c r="Q78" s="9"/>
      <c r="R78" s="9"/>
    </row>
    <row r="79" spans="1:19" x14ac:dyDescent="0.25">
      <c r="B79" s="9"/>
      <c r="G79" s="9"/>
      <c r="H79" s="9"/>
      <c r="I79" s="9"/>
      <c r="J79" s="9"/>
      <c r="K79" s="9"/>
      <c r="L79" s="9"/>
      <c r="M79" s="9"/>
      <c r="N79" s="9"/>
      <c r="O79" s="9"/>
      <c r="P79" s="9"/>
      <c r="Q79" s="9"/>
      <c r="R79" s="9"/>
    </row>
    <row r="80" spans="1:19" x14ac:dyDescent="0.25">
      <c r="B80" s="9"/>
      <c r="G80" s="9"/>
      <c r="H80" s="9"/>
      <c r="I80" s="9"/>
      <c r="J80" s="9"/>
      <c r="K80" s="9"/>
      <c r="L80" s="9"/>
      <c r="M80" s="9"/>
      <c r="N80" s="9"/>
      <c r="O80" s="9"/>
      <c r="P80" s="9"/>
      <c r="Q80" s="9"/>
      <c r="R80" s="9"/>
    </row>
    <row r="81" spans="2:18" x14ac:dyDescent="0.25">
      <c r="B81" s="9"/>
      <c r="G81" s="9"/>
      <c r="H81" s="9"/>
      <c r="I81" s="9"/>
      <c r="J81" s="9"/>
      <c r="K81" s="9"/>
      <c r="L81" s="9"/>
      <c r="M81" s="9"/>
      <c r="N81" s="9"/>
      <c r="O81" s="9"/>
      <c r="P81" s="9"/>
      <c r="Q81" s="9"/>
      <c r="R81" s="9"/>
    </row>
    <row r="82" spans="2:18" x14ac:dyDescent="0.25">
      <c r="B82" s="9"/>
      <c r="G82" s="9"/>
      <c r="H82" s="9"/>
      <c r="I82" s="9"/>
      <c r="J82" s="9"/>
      <c r="K82" s="9"/>
      <c r="L82" s="9"/>
      <c r="M82" s="9"/>
      <c r="N82" s="9"/>
      <c r="O82" s="9"/>
      <c r="P82" s="9"/>
      <c r="Q82" s="9"/>
      <c r="R82" s="9"/>
    </row>
    <row r="83" spans="2:18" x14ac:dyDescent="0.25">
      <c r="B83" s="9"/>
      <c r="G83" s="9"/>
      <c r="H83" s="9"/>
      <c r="I83" s="9"/>
      <c r="J83" s="9"/>
      <c r="K83" s="9"/>
      <c r="L83" s="9"/>
      <c r="M83" s="9"/>
      <c r="N83" s="9"/>
      <c r="O83" s="9"/>
      <c r="P83" s="9"/>
      <c r="Q83" s="9"/>
      <c r="R83" s="9"/>
    </row>
    <row r="84" spans="2:18" x14ac:dyDescent="0.25">
      <c r="B84" s="9"/>
      <c r="G84" s="9"/>
      <c r="H84" s="9"/>
      <c r="I84" s="9"/>
      <c r="J84" s="9"/>
      <c r="K84" s="9"/>
      <c r="L84" s="9"/>
      <c r="M84" s="9"/>
      <c r="N84" s="9"/>
      <c r="O84" s="9"/>
      <c r="P84" s="9"/>
      <c r="Q84" s="9"/>
      <c r="R84" s="9"/>
    </row>
    <row r="85" spans="2:18" x14ac:dyDescent="0.25">
      <c r="B85" s="9"/>
      <c r="G85" s="9"/>
      <c r="H85" s="9"/>
      <c r="I85" s="9"/>
      <c r="J85" s="9"/>
      <c r="K85" s="9"/>
      <c r="L85" s="9"/>
      <c r="M85" s="9"/>
      <c r="N85" s="9"/>
      <c r="O85" s="9"/>
      <c r="P85" s="9"/>
      <c r="Q85" s="9"/>
      <c r="R85" s="9"/>
    </row>
    <row r="86" spans="2:18" x14ac:dyDescent="0.25"/>
    <row r="87" spans="2:18" x14ac:dyDescent="0.25"/>
    <row r="88" spans="2:18" x14ac:dyDescent="0.25"/>
    <row r="89" spans="2:18" x14ac:dyDescent="0.25"/>
    <row r="90" spans="2:18" x14ac:dyDescent="0.25"/>
    <row r="91" spans="2:18" x14ac:dyDescent="0.25"/>
    <row r="92" spans="2:18" x14ac:dyDescent="0.25"/>
    <row r="93" spans="2:18" x14ac:dyDescent="0.25"/>
    <row r="94" spans="2:18" x14ac:dyDescent="0.25"/>
    <row r="95" spans="2:18" x14ac:dyDescent="0.25"/>
    <row r="96" spans="2:18"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G162"/>
  <sheetViews>
    <sheetView zoomScale="70" zoomScaleNormal="70" workbookViewId="0">
      <pane xSplit="1" ySplit="5" topLeftCell="B6" activePane="bottomRight" state="frozen"/>
      <selection pane="topRight" activeCell="B1" sqref="B1"/>
      <selection pane="bottomLeft" activeCell="A6" sqref="A6"/>
      <selection pane="bottomRight"/>
    </sheetView>
  </sheetViews>
  <sheetFormatPr defaultRowHeight="15" zeroHeight="1" x14ac:dyDescent="0.25"/>
  <cols>
    <col min="1" max="1" width="62.140625" bestFit="1" customWidth="1"/>
    <col min="2" max="2" width="77.42578125" customWidth="1"/>
    <col min="3" max="3" width="64.7109375" customWidth="1"/>
    <col min="4" max="4" width="13.140625" bestFit="1" customWidth="1"/>
    <col min="5" max="6" width="13.5703125" bestFit="1" customWidth="1"/>
    <col min="7" max="7" width="255.7109375" bestFit="1" customWidth="1"/>
  </cols>
  <sheetData>
    <row r="1" spans="1:7" ht="28.5" x14ac:dyDescent="0.45">
      <c r="A1" s="102" t="s">
        <v>684</v>
      </c>
      <c r="B1" s="102"/>
      <c r="C1" s="102"/>
      <c r="D1" s="102"/>
      <c r="E1" s="102"/>
      <c r="F1" s="102"/>
      <c r="G1" s="102"/>
    </row>
    <row r="2" spans="1:7" x14ac:dyDescent="0.25">
      <c r="A2" s="108" t="s">
        <v>685</v>
      </c>
      <c r="B2" s="63"/>
      <c r="C2" s="63"/>
      <c r="D2" s="63"/>
      <c r="E2" s="63"/>
      <c r="F2" s="63"/>
      <c r="G2" s="63"/>
    </row>
    <row r="3" spans="1:7" x14ac:dyDescent="0.25">
      <c r="A3" s="63"/>
      <c r="B3" s="63"/>
      <c r="C3" s="63" t="s">
        <v>685</v>
      </c>
      <c r="D3" s="63"/>
      <c r="E3" s="63"/>
      <c r="F3" s="63"/>
      <c r="G3" s="63"/>
    </row>
    <row r="4" spans="1:7" x14ac:dyDescent="0.25">
      <c r="A4" s="63" t="s">
        <v>474</v>
      </c>
      <c r="B4" s="113" t="s">
        <v>6</v>
      </c>
      <c r="C4" s="63" t="s">
        <v>4</v>
      </c>
      <c r="D4" s="505" t="s">
        <v>686</v>
      </c>
      <c r="E4" s="505"/>
      <c r="F4" s="505"/>
      <c r="G4" s="63" t="s">
        <v>7</v>
      </c>
    </row>
    <row r="5" spans="1:7" x14ac:dyDescent="0.25">
      <c r="A5" s="63"/>
      <c r="B5" s="504"/>
      <c r="C5" s="63"/>
      <c r="D5" s="504" t="s">
        <v>9</v>
      </c>
      <c r="E5" s="504" t="s">
        <v>199</v>
      </c>
      <c r="F5" s="504" t="s">
        <v>163</v>
      </c>
      <c r="G5" s="63"/>
    </row>
    <row r="6" spans="1:7" ht="18.75" x14ac:dyDescent="0.3">
      <c r="A6" s="507" t="s">
        <v>25</v>
      </c>
      <c r="B6" s="508"/>
      <c r="C6" s="165"/>
      <c r="D6" s="508"/>
      <c r="E6" s="508"/>
      <c r="F6" s="508"/>
      <c r="G6" s="509"/>
    </row>
    <row r="7" spans="1:7" x14ac:dyDescent="0.25">
      <c r="A7" s="64" t="s">
        <v>172</v>
      </c>
      <c r="B7" s="64" t="s">
        <v>687</v>
      </c>
      <c r="C7" s="64" t="s">
        <v>688</v>
      </c>
      <c r="D7" s="510">
        <v>3060</v>
      </c>
      <c r="E7" s="510">
        <v>10594</v>
      </c>
      <c r="F7" s="510">
        <v>3425</v>
      </c>
      <c r="G7" s="64" t="s">
        <v>689</v>
      </c>
    </row>
    <row r="8" spans="1:7" x14ac:dyDescent="0.25">
      <c r="A8" s="64" t="s">
        <v>173</v>
      </c>
      <c r="B8" s="64" t="s">
        <v>690</v>
      </c>
      <c r="C8" s="64" t="s">
        <v>691</v>
      </c>
      <c r="D8" s="510">
        <v>2855</v>
      </c>
      <c r="E8" s="510">
        <v>14290</v>
      </c>
      <c r="F8" s="510">
        <v>6193</v>
      </c>
      <c r="G8" s="64" t="s">
        <v>692</v>
      </c>
    </row>
    <row r="9" spans="1:7" x14ac:dyDescent="0.25">
      <c r="A9" s="64" t="s">
        <v>175</v>
      </c>
      <c r="B9" s="64" t="s">
        <v>690</v>
      </c>
      <c r="C9" s="64" t="s">
        <v>691</v>
      </c>
      <c r="D9" s="510">
        <v>15061</v>
      </c>
      <c r="E9" s="510">
        <v>27960</v>
      </c>
      <c r="F9" s="510">
        <v>18234</v>
      </c>
      <c r="G9" s="64" t="s">
        <v>693</v>
      </c>
    </row>
    <row r="10" spans="1:7" x14ac:dyDescent="0.25">
      <c r="A10" s="64" t="s">
        <v>164</v>
      </c>
      <c r="B10" s="64" t="s">
        <v>690</v>
      </c>
      <c r="C10" s="642" t="s">
        <v>691</v>
      </c>
      <c r="D10" s="510">
        <v>126</v>
      </c>
      <c r="E10" s="510">
        <v>133</v>
      </c>
      <c r="F10" s="510">
        <v>128</v>
      </c>
      <c r="G10" s="64" t="s">
        <v>694</v>
      </c>
    </row>
    <row r="11" spans="1:7" x14ac:dyDescent="0.25">
      <c r="A11" s="64" t="s">
        <v>166</v>
      </c>
      <c r="B11" s="64" t="s">
        <v>695</v>
      </c>
      <c r="C11" s="64" t="s">
        <v>688</v>
      </c>
      <c r="D11" s="510">
        <v>586</v>
      </c>
      <c r="E11" s="510">
        <v>946</v>
      </c>
      <c r="F11" s="510">
        <v>620</v>
      </c>
      <c r="G11" s="64" t="s">
        <v>696</v>
      </c>
    </row>
    <row r="12" spans="1:7" x14ac:dyDescent="0.25">
      <c r="A12" s="64" t="s">
        <v>167</v>
      </c>
      <c r="B12" s="64" t="s">
        <v>697</v>
      </c>
      <c r="C12" s="64" t="s">
        <v>698</v>
      </c>
      <c r="D12" s="510">
        <v>830</v>
      </c>
      <c r="E12" s="510">
        <v>2170</v>
      </c>
      <c r="F12" s="510">
        <v>904</v>
      </c>
      <c r="G12" s="64" t="s">
        <v>699</v>
      </c>
    </row>
    <row r="13" spans="1:7" x14ac:dyDescent="0.25">
      <c r="A13" s="64" t="s">
        <v>170</v>
      </c>
      <c r="B13" s="64" t="s">
        <v>700</v>
      </c>
      <c r="C13" s="64" t="s">
        <v>688</v>
      </c>
      <c r="D13" s="510">
        <v>1525</v>
      </c>
      <c r="E13" s="510">
        <v>5765</v>
      </c>
      <c r="F13" s="510">
        <v>1851</v>
      </c>
      <c r="G13" s="64" t="s">
        <v>701</v>
      </c>
    </row>
    <row r="14" spans="1:7" x14ac:dyDescent="0.25">
      <c r="A14" s="64" t="s">
        <v>174</v>
      </c>
      <c r="B14" s="64" t="s">
        <v>702</v>
      </c>
      <c r="C14" s="64" t="s">
        <v>703</v>
      </c>
      <c r="D14" s="510">
        <v>6510</v>
      </c>
      <c r="E14" s="510">
        <v>2550</v>
      </c>
      <c r="F14" s="510">
        <v>9060</v>
      </c>
      <c r="G14" s="64" t="s">
        <v>704</v>
      </c>
    </row>
    <row r="15" spans="1:7" x14ac:dyDescent="0.25">
      <c r="A15" s="64" t="s">
        <v>171</v>
      </c>
      <c r="B15" s="64" t="s">
        <v>10</v>
      </c>
      <c r="C15" s="64" t="s">
        <v>688</v>
      </c>
      <c r="D15" s="510">
        <v>1540</v>
      </c>
      <c r="E15" s="510">
        <v>750</v>
      </c>
      <c r="F15" s="510">
        <v>2290</v>
      </c>
      <c r="G15" s="64" t="s">
        <v>705</v>
      </c>
    </row>
    <row r="16" spans="1:7" x14ac:dyDescent="0.25">
      <c r="A16" s="64" t="s">
        <v>168</v>
      </c>
      <c r="B16" s="64" t="s">
        <v>706</v>
      </c>
      <c r="C16" s="64" t="s">
        <v>707</v>
      </c>
      <c r="D16" s="510">
        <v>1430</v>
      </c>
      <c r="E16" s="510">
        <v>1373</v>
      </c>
      <c r="F16" s="510">
        <v>1426</v>
      </c>
      <c r="G16" s="64" t="s">
        <v>708</v>
      </c>
    </row>
    <row r="17" spans="1:7" x14ac:dyDescent="0.25">
      <c r="A17" s="64" t="s">
        <v>165</v>
      </c>
      <c r="B17" s="64" t="s">
        <v>709</v>
      </c>
      <c r="C17" s="64" t="s">
        <v>710</v>
      </c>
      <c r="D17" s="510">
        <v>109</v>
      </c>
      <c r="E17" s="510">
        <v>720</v>
      </c>
      <c r="F17" s="510">
        <v>165</v>
      </c>
      <c r="G17" s="64" t="s">
        <v>612</v>
      </c>
    </row>
    <row r="18" spans="1:7" x14ac:dyDescent="0.25">
      <c r="A18" s="64" t="s">
        <v>169</v>
      </c>
      <c r="B18" s="64" t="s">
        <v>25</v>
      </c>
      <c r="C18" s="64" t="s">
        <v>711</v>
      </c>
      <c r="D18" s="510">
        <v>1326</v>
      </c>
      <c r="E18" s="510">
        <v>320</v>
      </c>
      <c r="F18" s="510">
        <v>1646</v>
      </c>
      <c r="G18" s="64" t="s">
        <v>712</v>
      </c>
    </row>
    <row r="19" spans="1:7" ht="18.75" x14ac:dyDescent="0.3">
      <c r="A19" s="507" t="s">
        <v>117</v>
      </c>
      <c r="B19" s="64"/>
      <c r="C19" s="64"/>
      <c r="D19" s="510"/>
      <c r="E19" s="510"/>
      <c r="F19" s="510"/>
      <c r="G19" s="64"/>
    </row>
    <row r="20" spans="1:7" x14ac:dyDescent="0.25">
      <c r="A20" s="64" t="s">
        <v>172</v>
      </c>
      <c r="B20" s="64" t="s">
        <v>713</v>
      </c>
      <c r="C20" s="64" t="s">
        <v>176</v>
      </c>
      <c r="D20" s="510">
        <v>28537</v>
      </c>
      <c r="E20" s="510">
        <v>106972</v>
      </c>
      <c r="F20" s="510">
        <v>32332</v>
      </c>
      <c r="G20" s="64" t="s">
        <v>714</v>
      </c>
    </row>
    <row r="21" spans="1:7" x14ac:dyDescent="0.25">
      <c r="A21" s="64" t="s">
        <v>173</v>
      </c>
      <c r="B21" s="64" t="s">
        <v>715</v>
      </c>
      <c r="C21" s="64" t="s">
        <v>176</v>
      </c>
      <c r="D21" s="510">
        <v>10640</v>
      </c>
      <c r="E21" s="510">
        <v>51990</v>
      </c>
      <c r="F21" s="510">
        <v>22710</v>
      </c>
      <c r="G21" s="64" t="s">
        <v>716</v>
      </c>
    </row>
    <row r="22" spans="1:7" x14ac:dyDescent="0.25">
      <c r="A22" s="64" t="s">
        <v>175</v>
      </c>
      <c r="B22" s="64" t="s">
        <v>715</v>
      </c>
      <c r="C22" s="64" t="s">
        <v>176</v>
      </c>
      <c r="D22" s="510">
        <v>18310</v>
      </c>
      <c r="E22" s="510">
        <v>27760</v>
      </c>
      <c r="F22" s="510">
        <v>20640</v>
      </c>
      <c r="G22" s="64" t="s">
        <v>717</v>
      </c>
    </row>
    <row r="23" spans="1:7" x14ac:dyDescent="0.25">
      <c r="A23" s="64" t="s">
        <v>167</v>
      </c>
      <c r="B23" s="64" t="s">
        <v>718</v>
      </c>
      <c r="C23" s="64" t="s">
        <v>176</v>
      </c>
      <c r="D23" s="510">
        <v>885</v>
      </c>
      <c r="E23" s="510">
        <v>2796</v>
      </c>
      <c r="F23" s="510">
        <v>991</v>
      </c>
      <c r="G23" s="64" t="s">
        <v>719</v>
      </c>
    </row>
    <row r="24" spans="1:7" x14ac:dyDescent="0.25">
      <c r="A24" s="64" t="s">
        <v>171</v>
      </c>
      <c r="B24" s="64" t="s">
        <v>11</v>
      </c>
      <c r="C24" s="64" t="s">
        <v>720</v>
      </c>
      <c r="D24" s="510">
        <v>1570</v>
      </c>
      <c r="E24" s="510">
        <v>820</v>
      </c>
      <c r="F24" s="510">
        <v>2400</v>
      </c>
      <c r="G24" s="64" t="s">
        <v>18</v>
      </c>
    </row>
    <row r="25" spans="1:7" x14ac:dyDescent="0.25">
      <c r="A25" s="64" t="s">
        <v>168</v>
      </c>
      <c r="B25" s="64" t="s">
        <v>721</v>
      </c>
      <c r="C25" s="64" t="s">
        <v>722</v>
      </c>
      <c r="D25" s="510">
        <v>2445</v>
      </c>
      <c r="E25" s="510">
        <v>2965</v>
      </c>
      <c r="F25" s="510">
        <v>2481</v>
      </c>
      <c r="G25" s="64" t="s">
        <v>723</v>
      </c>
    </row>
    <row r="26" spans="1:7" x14ac:dyDescent="0.25">
      <c r="A26" s="64" t="s">
        <v>165</v>
      </c>
      <c r="B26" s="64" t="s">
        <v>721</v>
      </c>
      <c r="C26" s="64" t="s">
        <v>724</v>
      </c>
      <c r="D26" s="510">
        <v>196</v>
      </c>
      <c r="E26" s="510">
        <v>450</v>
      </c>
      <c r="F26" s="510">
        <v>219</v>
      </c>
      <c r="G26" s="64" t="s">
        <v>541</v>
      </c>
    </row>
    <row r="27" spans="1:7" x14ac:dyDescent="0.25">
      <c r="A27" s="64" t="s">
        <v>169</v>
      </c>
      <c r="B27" s="64" t="s">
        <v>11</v>
      </c>
      <c r="C27" s="64" t="s">
        <v>725</v>
      </c>
      <c r="D27" s="510">
        <v>1233</v>
      </c>
      <c r="E27" s="510">
        <v>216</v>
      </c>
      <c r="F27" s="510">
        <v>1450</v>
      </c>
      <c r="G27" s="64" t="s">
        <v>726</v>
      </c>
    </row>
    <row r="28" spans="1:7" ht="18.75" x14ac:dyDescent="0.3">
      <c r="A28" s="507" t="s">
        <v>177</v>
      </c>
      <c r="B28" s="64"/>
      <c r="C28" s="64"/>
      <c r="D28" s="510"/>
      <c r="E28" s="510"/>
      <c r="F28" s="510"/>
      <c r="G28" s="64"/>
    </row>
    <row r="29" spans="1:7" x14ac:dyDescent="0.25">
      <c r="A29" s="64" t="s">
        <v>178</v>
      </c>
      <c r="B29" s="64" t="s">
        <v>727</v>
      </c>
      <c r="C29" s="64" t="s">
        <v>176</v>
      </c>
      <c r="D29" s="510">
        <v>1568</v>
      </c>
      <c r="E29" s="510">
        <v>3699</v>
      </c>
      <c r="F29" s="510">
        <v>1926</v>
      </c>
      <c r="G29" s="64" t="s">
        <v>728</v>
      </c>
    </row>
    <row r="30" spans="1:7" x14ac:dyDescent="0.25">
      <c r="A30" s="64" t="s">
        <v>179</v>
      </c>
      <c r="B30" s="64" t="s">
        <v>729</v>
      </c>
      <c r="C30" s="64" t="s">
        <v>730</v>
      </c>
      <c r="D30" s="510">
        <v>23875</v>
      </c>
      <c r="E30" s="510">
        <v>12411</v>
      </c>
      <c r="F30" s="510">
        <v>36000</v>
      </c>
      <c r="G30" s="64" t="s">
        <v>731</v>
      </c>
    </row>
    <row r="31" spans="1:7" ht="18.75" x14ac:dyDescent="0.3">
      <c r="A31" s="507" t="s">
        <v>180</v>
      </c>
      <c r="B31" s="64"/>
      <c r="C31" s="64"/>
      <c r="D31" s="510"/>
      <c r="E31" s="510"/>
      <c r="F31" s="510"/>
      <c r="G31" s="64"/>
    </row>
    <row r="32" spans="1:7" x14ac:dyDescent="0.25">
      <c r="A32" s="64" t="s">
        <v>164</v>
      </c>
      <c r="B32" s="64" t="s">
        <v>732</v>
      </c>
      <c r="C32" s="64" t="s">
        <v>733</v>
      </c>
      <c r="D32" s="510">
        <v>416</v>
      </c>
      <c r="E32" s="510">
        <v>850</v>
      </c>
      <c r="F32" s="510">
        <v>526</v>
      </c>
      <c r="G32" s="64" t="s">
        <v>734</v>
      </c>
    </row>
    <row r="33" spans="1:7" x14ac:dyDescent="0.25">
      <c r="A33" s="64" t="s">
        <v>167</v>
      </c>
      <c r="B33" s="64" t="s">
        <v>735</v>
      </c>
      <c r="C33" s="64" t="s">
        <v>733</v>
      </c>
      <c r="D33" s="510">
        <v>102</v>
      </c>
      <c r="E33" s="510">
        <v>466</v>
      </c>
      <c r="F33" s="510">
        <v>122</v>
      </c>
      <c r="G33" s="64" t="s">
        <v>736</v>
      </c>
    </row>
    <row r="34" spans="1:7" ht="18.75" x14ac:dyDescent="0.3">
      <c r="A34" s="507" t="s">
        <v>181</v>
      </c>
      <c r="B34" s="64"/>
      <c r="C34" s="64"/>
      <c r="D34" s="510"/>
      <c r="E34" s="510"/>
      <c r="F34" s="510"/>
      <c r="G34" s="64"/>
    </row>
    <row r="35" spans="1:7" x14ac:dyDescent="0.25">
      <c r="A35" s="64" t="s">
        <v>173</v>
      </c>
      <c r="B35" s="64" t="s">
        <v>737</v>
      </c>
      <c r="C35" s="64" t="s">
        <v>738</v>
      </c>
      <c r="D35" s="510">
        <v>511</v>
      </c>
      <c r="E35" s="510">
        <v>2771</v>
      </c>
      <c r="F35" s="510">
        <v>1170</v>
      </c>
      <c r="G35" s="64" t="s">
        <v>739</v>
      </c>
    </row>
    <row r="36" spans="1:7" x14ac:dyDescent="0.25">
      <c r="A36" s="64" t="s">
        <v>175</v>
      </c>
      <c r="B36" s="64" t="s">
        <v>737</v>
      </c>
      <c r="C36" s="64" t="s">
        <v>738</v>
      </c>
      <c r="D36" s="510">
        <v>1313</v>
      </c>
      <c r="E36" s="510">
        <v>2276</v>
      </c>
      <c r="F36" s="510">
        <v>1550</v>
      </c>
      <c r="G36" s="64" t="s">
        <v>740</v>
      </c>
    </row>
    <row r="37" spans="1:7" x14ac:dyDescent="0.25">
      <c r="A37" s="64" t="s">
        <v>166</v>
      </c>
      <c r="B37" s="64" t="s">
        <v>741</v>
      </c>
      <c r="C37" s="64" t="s">
        <v>742</v>
      </c>
      <c r="D37" s="510">
        <v>86</v>
      </c>
      <c r="E37" s="510">
        <v>426</v>
      </c>
      <c r="F37" s="510">
        <v>118</v>
      </c>
      <c r="G37" s="64" t="s">
        <v>743</v>
      </c>
    </row>
    <row r="38" spans="1:7" x14ac:dyDescent="0.25">
      <c r="A38" s="64" t="s">
        <v>170</v>
      </c>
      <c r="B38" s="64" t="s">
        <v>744</v>
      </c>
      <c r="C38" s="64" t="s">
        <v>742</v>
      </c>
      <c r="D38" s="510">
        <v>50</v>
      </c>
      <c r="E38" s="510">
        <v>149</v>
      </c>
      <c r="F38" s="510">
        <v>58</v>
      </c>
      <c r="G38" s="64" t="s">
        <v>745</v>
      </c>
    </row>
    <row r="39" spans="1:7" x14ac:dyDescent="0.25">
      <c r="A39" s="64" t="s">
        <v>179</v>
      </c>
      <c r="B39" s="64" t="s">
        <v>746</v>
      </c>
      <c r="C39" s="64" t="s">
        <v>742</v>
      </c>
      <c r="D39" s="510">
        <v>320</v>
      </c>
      <c r="E39" s="510">
        <v>339</v>
      </c>
      <c r="F39" s="510">
        <v>660</v>
      </c>
      <c r="G39" s="64" t="s">
        <v>747</v>
      </c>
    </row>
    <row r="40" spans="1:7" x14ac:dyDescent="0.25">
      <c r="A40" s="64" t="s">
        <v>171</v>
      </c>
      <c r="B40" s="64" t="s">
        <v>748</v>
      </c>
      <c r="C40" s="64" t="s">
        <v>742</v>
      </c>
      <c r="D40" s="510">
        <v>1670</v>
      </c>
      <c r="E40" s="510">
        <v>770</v>
      </c>
      <c r="F40" s="510">
        <v>2440</v>
      </c>
      <c r="G40" s="64" t="s">
        <v>749</v>
      </c>
    </row>
    <row r="41" spans="1:7" x14ac:dyDescent="0.25">
      <c r="A41" s="64" t="s">
        <v>168</v>
      </c>
      <c r="B41" s="64" t="s">
        <v>750</v>
      </c>
      <c r="C41" s="64" t="s">
        <v>751</v>
      </c>
      <c r="D41" s="510">
        <v>206</v>
      </c>
      <c r="E41" s="510">
        <v>1026</v>
      </c>
      <c r="F41" s="510">
        <v>262</v>
      </c>
      <c r="G41" s="64" t="s">
        <v>752</v>
      </c>
    </row>
    <row r="42" spans="1:7" x14ac:dyDescent="0.25">
      <c r="A42" s="64" t="s">
        <v>165</v>
      </c>
      <c r="B42" s="64" t="s">
        <v>753</v>
      </c>
      <c r="C42" s="64" t="s">
        <v>754</v>
      </c>
      <c r="D42" s="510">
        <v>83</v>
      </c>
      <c r="E42" s="510">
        <v>413</v>
      </c>
      <c r="F42" s="510">
        <v>113</v>
      </c>
      <c r="G42" s="64" t="s">
        <v>541</v>
      </c>
    </row>
    <row r="43" spans="1:7" x14ac:dyDescent="0.25">
      <c r="A43" s="64" t="s">
        <v>40</v>
      </c>
      <c r="B43" s="64" t="s">
        <v>755</v>
      </c>
      <c r="C43" s="64" t="s">
        <v>756</v>
      </c>
      <c r="D43" s="510">
        <v>55</v>
      </c>
      <c r="E43" s="510">
        <v>2985</v>
      </c>
      <c r="F43" s="510">
        <v>245</v>
      </c>
      <c r="G43" s="64" t="s">
        <v>541</v>
      </c>
    </row>
    <row r="44" spans="1:7" ht="18.75" x14ac:dyDescent="0.3">
      <c r="A44" s="507" t="s">
        <v>182</v>
      </c>
      <c r="B44" s="64"/>
      <c r="C44" s="64"/>
      <c r="D44" s="510"/>
      <c r="E44" s="510"/>
      <c r="F44" s="510"/>
      <c r="G44" s="64"/>
    </row>
    <row r="45" spans="1:7" x14ac:dyDescent="0.25">
      <c r="A45" s="64" t="s">
        <v>172</v>
      </c>
      <c r="B45" s="64" t="s">
        <v>757</v>
      </c>
      <c r="C45" s="64" t="s">
        <v>758</v>
      </c>
      <c r="D45" s="510">
        <v>459</v>
      </c>
      <c r="E45" s="510">
        <v>2455</v>
      </c>
      <c r="F45" s="510">
        <v>555</v>
      </c>
      <c r="G45" s="64" t="s">
        <v>759</v>
      </c>
    </row>
    <row r="46" spans="1:7" x14ac:dyDescent="0.25">
      <c r="A46" s="64" t="s">
        <v>178</v>
      </c>
      <c r="B46" s="64" t="s">
        <v>760</v>
      </c>
      <c r="C46" s="64" t="s">
        <v>758</v>
      </c>
      <c r="D46" s="510">
        <v>671</v>
      </c>
      <c r="E46" s="510">
        <v>2990</v>
      </c>
      <c r="F46" s="510">
        <v>1060</v>
      </c>
      <c r="G46" s="64" t="s">
        <v>761</v>
      </c>
    </row>
    <row r="47" spans="1:7" x14ac:dyDescent="0.25">
      <c r="A47" s="64" t="s">
        <v>174</v>
      </c>
      <c r="B47" s="64" t="s">
        <v>762</v>
      </c>
      <c r="C47" s="64" t="s">
        <v>763</v>
      </c>
      <c r="D47" s="510">
        <v>790</v>
      </c>
      <c r="E47" s="510">
        <v>410</v>
      </c>
      <c r="F47" s="510">
        <v>1200</v>
      </c>
      <c r="G47" s="64" t="s">
        <v>764</v>
      </c>
    </row>
    <row r="48" spans="1:7" x14ac:dyDescent="0.25">
      <c r="A48" s="64" t="s">
        <v>40</v>
      </c>
      <c r="B48" s="64" t="s">
        <v>765</v>
      </c>
      <c r="C48" s="64" t="s">
        <v>766</v>
      </c>
      <c r="D48" s="510">
        <v>1000</v>
      </c>
      <c r="E48" s="510">
        <v>4409</v>
      </c>
      <c r="F48" s="510">
        <v>5408</v>
      </c>
      <c r="G48" s="64" t="s">
        <v>541</v>
      </c>
    </row>
    <row r="49" spans="1:7" x14ac:dyDescent="0.25">
      <c r="A49" s="64" t="s">
        <v>169</v>
      </c>
      <c r="B49" s="64" t="s">
        <v>767</v>
      </c>
      <c r="C49" s="64" t="s">
        <v>768</v>
      </c>
      <c r="D49" s="510">
        <v>1396</v>
      </c>
      <c r="E49" s="510">
        <v>249</v>
      </c>
      <c r="F49" s="510">
        <v>1645</v>
      </c>
      <c r="G49" s="64" t="s">
        <v>769</v>
      </c>
    </row>
    <row r="50" spans="1:7" ht="18.75" x14ac:dyDescent="0.3">
      <c r="A50" s="507" t="s">
        <v>183</v>
      </c>
      <c r="B50" s="64"/>
      <c r="C50" s="64"/>
      <c r="D50" s="510"/>
      <c r="E50" s="510"/>
      <c r="F50" s="510"/>
      <c r="G50" s="64"/>
    </row>
    <row r="51" spans="1:7" x14ac:dyDescent="0.25">
      <c r="A51" s="64" t="s">
        <v>165</v>
      </c>
      <c r="B51" s="64" t="s">
        <v>770</v>
      </c>
      <c r="C51" s="64" t="s">
        <v>771</v>
      </c>
      <c r="D51" s="510">
        <v>234</v>
      </c>
      <c r="E51" s="510">
        <v>1635</v>
      </c>
      <c r="F51" s="510">
        <v>361</v>
      </c>
      <c r="G51" s="64" t="s">
        <v>541</v>
      </c>
    </row>
    <row r="52" spans="1:7" ht="18.75" x14ac:dyDescent="0.3">
      <c r="A52" s="507" t="s">
        <v>106</v>
      </c>
      <c r="B52" s="64"/>
      <c r="C52" s="64"/>
      <c r="D52" s="510"/>
      <c r="E52" s="510"/>
      <c r="F52" s="510"/>
      <c r="G52" s="64"/>
    </row>
    <row r="53" spans="1:7" x14ac:dyDescent="0.25">
      <c r="A53" s="64" t="s">
        <v>772</v>
      </c>
      <c r="B53" s="64" t="s">
        <v>773</v>
      </c>
      <c r="C53" s="64" t="s">
        <v>774</v>
      </c>
      <c r="D53" s="510">
        <v>7</v>
      </c>
      <c r="E53" s="510">
        <v>67</v>
      </c>
      <c r="F53" s="510">
        <v>17</v>
      </c>
      <c r="G53" s="64" t="s">
        <v>775</v>
      </c>
    </row>
    <row r="54" spans="1:7" x14ac:dyDescent="0.25">
      <c r="A54" s="64" t="s">
        <v>776</v>
      </c>
      <c r="B54" s="64"/>
      <c r="C54" s="64" t="s">
        <v>774</v>
      </c>
      <c r="D54" s="510">
        <v>10</v>
      </c>
      <c r="E54" s="510">
        <v>32</v>
      </c>
      <c r="F54" s="510">
        <v>14</v>
      </c>
      <c r="G54" s="64"/>
    </row>
    <row r="55" spans="1:7" x14ac:dyDescent="0.25">
      <c r="A55" s="64" t="s">
        <v>178</v>
      </c>
      <c r="B55" s="64"/>
      <c r="C55" s="64"/>
      <c r="D55" s="510">
        <f>AVERAGE(D53:D54)</f>
        <v>8.5</v>
      </c>
      <c r="E55" s="510">
        <f>AVERAGE(E53:E54)</f>
        <v>49.5</v>
      </c>
      <c r="F55" s="510">
        <f>AVERAGE(F53:F54)</f>
        <v>15.5</v>
      </c>
      <c r="G55" s="64"/>
    </row>
    <row r="56" spans="1:7" x14ac:dyDescent="0.25">
      <c r="A56" s="64" t="s">
        <v>164</v>
      </c>
      <c r="B56" s="64" t="s">
        <v>777</v>
      </c>
      <c r="C56" s="64" t="s">
        <v>774</v>
      </c>
      <c r="D56" s="510">
        <v>108</v>
      </c>
      <c r="E56" s="510">
        <v>88</v>
      </c>
      <c r="F56" s="510">
        <v>103</v>
      </c>
      <c r="G56" s="64" t="s">
        <v>778</v>
      </c>
    </row>
    <row r="57" spans="1:7" x14ac:dyDescent="0.25">
      <c r="A57" s="64" t="s">
        <v>167</v>
      </c>
      <c r="B57" s="64" t="s">
        <v>779</v>
      </c>
      <c r="C57" s="64" t="s">
        <v>774</v>
      </c>
      <c r="D57" s="510">
        <v>9</v>
      </c>
      <c r="E57" s="510">
        <v>16</v>
      </c>
      <c r="F57" s="510">
        <v>10</v>
      </c>
      <c r="G57" s="64" t="s">
        <v>780</v>
      </c>
    </row>
    <row r="58" spans="1:7" x14ac:dyDescent="0.25">
      <c r="A58" s="64" t="s">
        <v>170</v>
      </c>
      <c r="B58" s="64" t="s">
        <v>781</v>
      </c>
      <c r="C58" s="64" t="s">
        <v>774</v>
      </c>
      <c r="D58" s="510">
        <v>34</v>
      </c>
      <c r="E58" s="510">
        <v>39</v>
      </c>
      <c r="F58" s="510">
        <v>34</v>
      </c>
      <c r="G58" s="64" t="s">
        <v>782</v>
      </c>
    </row>
    <row r="59" spans="1:7" x14ac:dyDescent="0.25">
      <c r="A59" s="64" t="s">
        <v>179</v>
      </c>
      <c r="B59" s="64" t="s">
        <v>783</v>
      </c>
      <c r="C59" s="64" t="s">
        <v>784</v>
      </c>
      <c r="D59" s="510">
        <v>24</v>
      </c>
      <c r="E59" s="510" t="s">
        <v>36</v>
      </c>
      <c r="F59" s="510">
        <v>24</v>
      </c>
      <c r="G59" s="64" t="s">
        <v>785</v>
      </c>
    </row>
    <row r="60" spans="1:7" x14ac:dyDescent="0.25">
      <c r="A60" s="64" t="s">
        <v>174</v>
      </c>
      <c r="B60" s="64" t="s">
        <v>786</v>
      </c>
      <c r="C60" s="64" t="s">
        <v>787</v>
      </c>
      <c r="D60" s="510">
        <v>0</v>
      </c>
      <c r="E60" s="510">
        <v>0</v>
      </c>
      <c r="F60" s="510">
        <v>0</v>
      </c>
      <c r="G60" s="64" t="s">
        <v>788</v>
      </c>
    </row>
    <row r="61" spans="1:7" x14ac:dyDescent="0.25">
      <c r="A61" s="64" t="s">
        <v>171</v>
      </c>
      <c r="B61" s="64" t="s">
        <v>789</v>
      </c>
      <c r="C61" s="64" t="s">
        <v>787</v>
      </c>
      <c r="D61" s="510">
        <v>123</v>
      </c>
      <c r="E61" s="510" t="s">
        <v>36</v>
      </c>
      <c r="F61" s="510">
        <v>123</v>
      </c>
      <c r="G61" s="64" t="s">
        <v>790</v>
      </c>
    </row>
    <row r="62" spans="1:7" x14ac:dyDescent="0.25">
      <c r="A62" s="64" t="s">
        <v>168</v>
      </c>
      <c r="B62" s="64" t="s">
        <v>791</v>
      </c>
      <c r="C62" s="64" t="s">
        <v>792</v>
      </c>
      <c r="D62" s="510">
        <v>107</v>
      </c>
      <c r="E62" s="510">
        <v>674</v>
      </c>
      <c r="F62" s="510">
        <v>146</v>
      </c>
      <c r="G62" s="64" t="s">
        <v>793</v>
      </c>
    </row>
    <row r="63" spans="1:7" x14ac:dyDescent="0.25">
      <c r="A63" s="64" t="s">
        <v>165</v>
      </c>
      <c r="B63" s="64" t="s">
        <v>794</v>
      </c>
      <c r="C63" s="64" t="s">
        <v>795</v>
      </c>
      <c r="D63" s="510">
        <v>5</v>
      </c>
      <c r="E63" s="510">
        <v>218</v>
      </c>
      <c r="F63" s="510">
        <v>25</v>
      </c>
      <c r="G63" s="64" t="s">
        <v>541</v>
      </c>
    </row>
    <row r="64" spans="1:7" x14ac:dyDescent="0.25">
      <c r="A64" s="64" t="s">
        <v>40</v>
      </c>
      <c r="B64" s="64" t="s">
        <v>796</v>
      </c>
      <c r="C64" s="64" t="s">
        <v>797</v>
      </c>
      <c r="D64" s="510">
        <v>58</v>
      </c>
      <c r="E64" s="510">
        <v>1690</v>
      </c>
      <c r="F64" s="510">
        <v>163</v>
      </c>
      <c r="G64" s="64" t="s">
        <v>541</v>
      </c>
    </row>
    <row r="65" spans="1:7" x14ac:dyDescent="0.25">
      <c r="A65" s="64" t="s">
        <v>169</v>
      </c>
      <c r="B65" s="64" t="s">
        <v>773</v>
      </c>
      <c r="C65" s="64" t="s">
        <v>798</v>
      </c>
      <c r="D65" s="510">
        <v>35</v>
      </c>
      <c r="E65" s="510" t="s">
        <v>36</v>
      </c>
      <c r="F65" s="510">
        <v>35</v>
      </c>
      <c r="G65" s="64" t="s">
        <v>799</v>
      </c>
    </row>
    <row r="66" spans="1:7" ht="18.75" x14ac:dyDescent="0.3">
      <c r="A66" s="507" t="s">
        <v>102</v>
      </c>
      <c r="B66" s="64"/>
      <c r="C66" s="64"/>
      <c r="D66" s="510"/>
      <c r="E66" s="510"/>
      <c r="F66" s="510"/>
      <c r="G66" s="64"/>
    </row>
    <row r="67" spans="1:7" x14ac:dyDescent="0.25">
      <c r="A67" s="64" t="s">
        <v>167</v>
      </c>
      <c r="B67" s="64" t="s">
        <v>102</v>
      </c>
      <c r="C67" s="64" t="s">
        <v>184</v>
      </c>
      <c r="D67" s="510">
        <v>7</v>
      </c>
      <c r="E67" s="510">
        <v>81</v>
      </c>
      <c r="F67" s="510">
        <v>11</v>
      </c>
      <c r="G67" s="64" t="s">
        <v>800</v>
      </c>
    </row>
    <row r="68" spans="1:7" x14ac:dyDescent="0.25">
      <c r="A68" s="64" t="s">
        <v>171</v>
      </c>
      <c r="B68" s="64" t="s">
        <v>102</v>
      </c>
      <c r="C68" s="64" t="s">
        <v>801</v>
      </c>
      <c r="D68" s="510" t="s">
        <v>36</v>
      </c>
      <c r="E68" s="510">
        <v>1352</v>
      </c>
      <c r="F68" s="510">
        <v>1352</v>
      </c>
      <c r="G68" s="64" t="s">
        <v>802</v>
      </c>
    </row>
    <row r="69" spans="1:7" x14ac:dyDescent="0.25">
      <c r="A69" s="64" t="s">
        <v>165</v>
      </c>
      <c r="B69" s="64" t="s">
        <v>102</v>
      </c>
      <c r="C69" s="64" t="s">
        <v>803</v>
      </c>
      <c r="D69" s="510" t="s">
        <v>36</v>
      </c>
      <c r="E69" s="510">
        <v>360</v>
      </c>
      <c r="F69" s="510">
        <v>360</v>
      </c>
      <c r="G69" s="64" t="s">
        <v>541</v>
      </c>
    </row>
    <row r="70" spans="1:7" x14ac:dyDescent="0.25">
      <c r="A70" s="64" t="s">
        <v>169</v>
      </c>
      <c r="B70" s="64" t="s">
        <v>102</v>
      </c>
      <c r="C70" s="64" t="s">
        <v>804</v>
      </c>
      <c r="D70" s="510" t="s">
        <v>36</v>
      </c>
      <c r="E70" s="510">
        <v>112</v>
      </c>
      <c r="F70" s="510">
        <v>112</v>
      </c>
      <c r="G70" s="64" t="s">
        <v>805</v>
      </c>
    </row>
    <row r="71" spans="1:7" ht="18.75" x14ac:dyDescent="0.3">
      <c r="A71" s="507" t="s">
        <v>185</v>
      </c>
      <c r="B71" s="64"/>
      <c r="C71" s="64"/>
      <c r="D71" s="510"/>
      <c r="E71" s="510"/>
      <c r="F71" s="510"/>
      <c r="G71" s="64"/>
    </row>
    <row r="72" spans="1:7" x14ac:dyDescent="0.25">
      <c r="A72" s="64" t="s">
        <v>179</v>
      </c>
      <c r="B72" s="64" t="s">
        <v>185</v>
      </c>
      <c r="C72" s="64" t="s">
        <v>806</v>
      </c>
      <c r="D72" s="510">
        <v>229</v>
      </c>
      <c r="E72" s="510">
        <v>127</v>
      </c>
      <c r="F72" s="510">
        <v>360</v>
      </c>
      <c r="G72" s="64" t="s">
        <v>807</v>
      </c>
    </row>
    <row r="73" spans="1:7" x14ac:dyDescent="0.25">
      <c r="A73" s="64" t="s">
        <v>174</v>
      </c>
      <c r="B73" s="64" t="s">
        <v>808</v>
      </c>
      <c r="C73" s="64" t="s">
        <v>806</v>
      </c>
      <c r="D73" s="510">
        <v>560</v>
      </c>
      <c r="E73" s="510">
        <v>250</v>
      </c>
      <c r="F73" s="510">
        <v>810</v>
      </c>
      <c r="G73" s="64" t="s">
        <v>809</v>
      </c>
    </row>
    <row r="74" spans="1:7" x14ac:dyDescent="0.25">
      <c r="A74" s="64" t="s">
        <v>168</v>
      </c>
      <c r="B74" s="64" t="s">
        <v>810</v>
      </c>
      <c r="C74" s="64" t="s">
        <v>811</v>
      </c>
      <c r="D74" s="510">
        <v>299</v>
      </c>
      <c r="E74" s="510">
        <v>246</v>
      </c>
      <c r="F74" s="510">
        <v>295</v>
      </c>
      <c r="G74" s="64" t="s">
        <v>812</v>
      </c>
    </row>
    <row r="75" spans="1:7" ht="18.75" x14ac:dyDescent="0.3">
      <c r="A75" s="507" t="s">
        <v>813</v>
      </c>
      <c r="B75" s="507"/>
      <c r="C75" s="507"/>
      <c r="D75" s="511"/>
      <c r="E75" s="511"/>
      <c r="F75" s="511"/>
      <c r="G75" s="507"/>
    </row>
    <row r="76" spans="1:7" x14ac:dyDescent="0.25">
      <c r="A76" s="64" t="s">
        <v>172</v>
      </c>
      <c r="B76" s="64" t="s">
        <v>814</v>
      </c>
      <c r="C76" s="64" t="s">
        <v>815</v>
      </c>
      <c r="D76" s="510">
        <v>11075</v>
      </c>
      <c r="E76" s="510">
        <v>55542</v>
      </c>
      <c r="F76" s="510">
        <v>13227</v>
      </c>
      <c r="G76" s="64" t="s">
        <v>816</v>
      </c>
    </row>
    <row r="77" spans="1:7" x14ac:dyDescent="0.25">
      <c r="A77" s="64" t="s">
        <v>173</v>
      </c>
      <c r="B77" s="64" t="s">
        <v>817</v>
      </c>
      <c r="C77" s="64" t="s">
        <v>815</v>
      </c>
      <c r="D77" s="510">
        <v>4676</v>
      </c>
      <c r="E77" s="510">
        <v>998</v>
      </c>
      <c r="F77" s="510">
        <v>5675</v>
      </c>
      <c r="G77" s="64" t="s">
        <v>818</v>
      </c>
    </row>
    <row r="78" spans="1:7" x14ac:dyDescent="0.25">
      <c r="A78" s="64" t="s">
        <v>175</v>
      </c>
      <c r="B78" s="64" t="s">
        <v>817</v>
      </c>
      <c r="C78" s="64" t="s">
        <v>815</v>
      </c>
      <c r="D78" s="510">
        <v>28462</v>
      </c>
      <c r="E78" s="510">
        <v>5064</v>
      </c>
      <c r="F78" s="510">
        <v>33526</v>
      </c>
      <c r="G78" s="64" t="s">
        <v>819</v>
      </c>
    </row>
    <row r="79" spans="1:7" x14ac:dyDescent="0.25">
      <c r="A79" s="64" t="s">
        <v>164</v>
      </c>
      <c r="B79" s="64" t="s">
        <v>817</v>
      </c>
      <c r="C79" s="64" t="s">
        <v>815</v>
      </c>
      <c r="D79" s="510">
        <v>1408</v>
      </c>
      <c r="E79" s="510">
        <v>2741</v>
      </c>
      <c r="F79" s="510">
        <v>1746</v>
      </c>
      <c r="G79" s="64" t="s">
        <v>820</v>
      </c>
    </row>
    <row r="80" spans="1:7" x14ac:dyDescent="0.25">
      <c r="A80" s="64" t="s">
        <v>170</v>
      </c>
      <c r="B80" s="64" t="s">
        <v>821</v>
      </c>
      <c r="C80" s="64" t="s">
        <v>815</v>
      </c>
      <c r="D80" s="510">
        <v>22345</v>
      </c>
      <c r="E80" s="510">
        <v>9323</v>
      </c>
      <c r="F80" s="510">
        <v>31667</v>
      </c>
      <c r="G80" s="64" t="s">
        <v>822</v>
      </c>
    </row>
    <row r="81" spans="1:7" x14ac:dyDescent="0.25">
      <c r="A81" s="64" t="s">
        <v>169</v>
      </c>
      <c r="B81" s="64" t="s">
        <v>85</v>
      </c>
      <c r="C81" s="64" t="s">
        <v>823</v>
      </c>
      <c r="D81" s="510">
        <v>6282</v>
      </c>
      <c r="E81" s="510">
        <v>1741</v>
      </c>
      <c r="F81" s="510">
        <v>8023</v>
      </c>
      <c r="G81" s="64" t="s">
        <v>824</v>
      </c>
    </row>
    <row r="82" spans="1:7" ht="18.75" x14ac:dyDescent="0.3">
      <c r="A82" s="507" t="s">
        <v>186</v>
      </c>
      <c r="B82" s="507"/>
      <c r="C82" s="507"/>
      <c r="D82" s="511"/>
      <c r="E82" s="511"/>
      <c r="F82" s="511"/>
      <c r="G82" s="507"/>
    </row>
    <row r="83" spans="1:7" x14ac:dyDescent="0.25">
      <c r="A83" s="64" t="s">
        <v>179</v>
      </c>
      <c r="B83" s="64" t="s">
        <v>825</v>
      </c>
      <c r="C83" s="64" t="s">
        <v>826</v>
      </c>
      <c r="D83" s="510">
        <v>26499</v>
      </c>
      <c r="E83" s="510">
        <v>37430</v>
      </c>
      <c r="F83" s="510">
        <v>64000</v>
      </c>
      <c r="G83" s="64" t="s">
        <v>827</v>
      </c>
    </row>
    <row r="84" spans="1:7" x14ac:dyDescent="0.25">
      <c r="A84" s="64" t="s">
        <v>171</v>
      </c>
      <c r="B84" s="64" t="s">
        <v>828</v>
      </c>
      <c r="C84" s="64" t="s">
        <v>829</v>
      </c>
      <c r="D84" s="510">
        <v>7</v>
      </c>
      <c r="E84" s="510">
        <v>1</v>
      </c>
      <c r="F84" s="510">
        <v>8</v>
      </c>
      <c r="G84" s="64" t="s">
        <v>830</v>
      </c>
    </row>
    <row r="85" spans="1:7" x14ac:dyDescent="0.25">
      <c r="A85" s="64" t="s">
        <v>171</v>
      </c>
      <c r="B85" s="64" t="s">
        <v>828</v>
      </c>
      <c r="C85" s="64" t="s">
        <v>831</v>
      </c>
      <c r="D85" s="510">
        <v>157</v>
      </c>
      <c r="E85" s="510">
        <v>58</v>
      </c>
      <c r="F85" s="510">
        <v>215</v>
      </c>
      <c r="G85" s="64" t="s">
        <v>830</v>
      </c>
    </row>
    <row r="86" spans="1:7" x14ac:dyDescent="0.25">
      <c r="A86" s="64" t="s">
        <v>40</v>
      </c>
      <c r="B86" s="64" t="s">
        <v>825</v>
      </c>
      <c r="C86" s="64" t="s">
        <v>832</v>
      </c>
      <c r="D86" s="510">
        <v>2</v>
      </c>
      <c r="E86" s="510">
        <v>25</v>
      </c>
      <c r="F86" s="510">
        <v>4</v>
      </c>
      <c r="G86" s="64" t="s">
        <v>541</v>
      </c>
    </row>
    <row r="87" spans="1:7" x14ac:dyDescent="0.25">
      <c r="A87" s="64" t="s">
        <v>169</v>
      </c>
      <c r="B87" s="64" t="s">
        <v>82</v>
      </c>
      <c r="C87" s="64" t="s">
        <v>833</v>
      </c>
      <c r="D87" s="510">
        <v>41</v>
      </c>
      <c r="E87" s="510">
        <v>10</v>
      </c>
      <c r="F87" s="510">
        <v>51</v>
      </c>
      <c r="G87" s="64" t="s">
        <v>834</v>
      </c>
    </row>
    <row r="88" spans="1:7" ht="18.75" x14ac:dyDescent="0.3">
      <c r="A88" s="507" t="s">
        <v>3</v>
      </c>
      <c r="B88" s="507"/>
      <c r="C88" s="507"/>
      <c r="D88" s="511"/>
      <c r="E88" s="511"/>
      <c r="F88" s="511"/>
      <c r="G88" s="507"/>
    </row>
    <row r="89" spans="1:7" x14ac:dyDescent="0.25">
      <c r="A89" s="64" t="s">
        <v>171</v>
      </c>
      <c r="B89" s="64" t="s">
        <v>3</v>
      </c>
      <c r="C89" s="64" t="s">
        <v>835</v>
      </c>
      <c r="D89" s="510">
        <v>247500</v>
      </c>
      <c r="E89" s="510">
        <v>118800</v>
      </c>
      <c r="F89" s="510">
        <v>376200</v>
      </c>
      <c r="G89" s="64" t="s">
        <v>836</v>
      </c>
    </row>
    <row r="90" spans="1:7" x14ac:dyDescent="0.25">
      <c r="A90" s="64" t="s">
        <v>165</v>
      </c>
      <c r="B90" s="64" t="s">
        <v>837</v>
      </c>
      <c r="C90" s="64" t="s">
        <v>838</v>
      </c>
      <c r="D90" s="510">
        <v>122335</v>
      </c>
      <c r="E90" s="510" t="s">
        <v>36</v>
      </c>
      <c r="F90" s="510">
        <v>122335</v>
      </c>
      <c r="G90" s="64" t="s">
        <v>541</v>
      </c>
    </row>
    <row r="91" spans="1:7" x14ac:dyDescent="0.25">
      <c r="A91" s="64" t="s">
        <v>40</v>
      </c>
      <c r="B91" s="64" t="s">
        <v>3</v>
      </c>
      <c r="C91" s="64" t="s">
        <v>839</v>
      </c>
      <c r="D91" s="510">
        <v>35614</v>
      </c>
      <c r="E91" s="510">
        <v>56612</v>
      </c>
      <c r="F91" s="510">
        <v>92227</v>
      </c>
      <c r="G91" s="64" t="s">
        <v>541</v>
      </c>
    </row>
    <row r="92" spans="1:7" x14ac:dyDescent="0.25">
      <c r="A92" s="64" t="s">
        <v>169</v>
      </c>
      <c r="B92" s="64" t="s">
        <v>3</v>
      </c>
      <c r="C92" s="64" t="s">
        <v>840</v>
      </c>
      <c r="D92" s="510">
        <v>267960</v>
      </c>
      <c r="E92" s="510">
        <v>39706</v>
      </c>
      <c r="F92" s="510">
        <v>307667</v>
      </c>
      <c r="G92" s="64" t="s">
        <v>841</v>
      </c>
    </row>
    <row r="93" spans="1:7" ht="18.75" x14ac:dyDescent="0.3">
      <c r="A93" s="507" t="s">
        <v>842</v>
      </c>
      <c r="B93" s="507"/>
      <c r="C93" s="507"/>
      <c r="D93" s="511"/>
      <c r="E93" s="511"/>
      <c r="F93" s="511"/>
      <c r="G93" s="507"/>
    </row>
    <row r="94" spans="1:7" x14ac:dyDescent="0.25">
      <c r="A94" s="64" t="s">
        <v>172</v>
      </c>
      <c r="B94" s="64" t="s">
        <v>842</v>
      </c>
      <c r="C94" s="64" t="s">
        <v>843</v>
      </c>
      <c r="D94" s="510">
        <v>7473</v>
      </c>
      <c r="E94" s="510">
        <v>838</v>
      </c>
      <c r="F94" s="510">
        <v>8311</v>
      </c>
      <c r="G94" s="64" t="s">
        <v>844</v>
      </c>
    </row>
    <row r="95" spans="1:7" x14ac:dyDescent="0.25">
      <c r="A95" s="64" t="s">
        <v>178</v>
      </c>
      <c r="B95" s="64" t="s">
        <v>842</v>
      </c>
      <c r="C95" s="64" t="s">
        <v>845</v>
      </c>
      <c r="D95" s="510">
        <v>18250</v>
      </c>
      <c r="E95" s="510">
        <v>1477</v>
      </c>
      <c r="F95" s="510">
        <v>19730</v>
      </c>
      <c r="G95" s="64" t="s">
        <v>846</v>
      </c>
    </row>
    <row r="96" spans="1:7" x14ac:dyDescent="0.25">
      <c r="A96" s="64" t="s">
        <v>173</v>
      </c>
      <c r="B96" s="64" t="s">
        <v>842</v>
      </c>
      <c r="C96" s="64" t="s">
        <v>845</v>
      </c>
      <c r="D96" s="510">
        <v>59860</v>
      </c>
      <c r="E96" s="510">
        <v>7852</v>
      </c>
      <c r="F96" s="510">
        <v>67710</v>
      </c>
      <c r="G96" s="64" t="s">
        <v>847</v>
      </c>
    </row>
    <row r="97" spans="1:7" x14ac:dyDescent="0.25">
      <c r="A97" s="64" t="s">
        <v>166</v>
      </c>
      <c r="B97" s="64" t="s">
        <v>842</v>
      </c>
      <c r="C97" s="64" t="s">
        <v>848</v>
      </c>
      <c r="D97" s="510">
        <v>1451</v>
      </c>
      <c r="E97" s="510">
        <v>338</v>
      </c>
      <c r="F97" s="510">
        <v>1789</v>
      </c>
      <c r="G97" s="64" t="s">
        <v>849</v>
      </c>
    </row>
    <row r="98" spans="1:7" x14ac:dyDescent="0.25">
      <c r="A98" s="64" t="s">
        <v>166</v>
      </c>
      <c r="B98" s="64" t="s">
        <v>842</v>
      </c>
      <c r="C98" s="64" t="s">
        <v>850</v>
      </c>
      <c r="D98" s="510">
        <v>3389</v>
      </c>
      <c r="E98" s="510">
        <v>567</v>
      </c>
      <c r="F98" s="510">
        <v>3956</v>
      </c>
      <c r="G98" s="64" t="s">
        <v>849</v>
      </c>
    </row>
    <row r="99" spans="1:7" x14ac:dyDescent="0.25">
      <c r="A99" s="64" t="s">
        <v>170</v>
      </c>
      <c r="B99" s="64" t="s">
        <v>851</v>
      </c>
      <c r="C99" s="64" t="s">
        <v>852</v>
      </c>
      <c r="D99" s="510">
        <v>4017</v>
      </c>
      <c r="E99" s="510">
        <v>795</v>
      </c>
      <c r="F99" s="510">
        <v>4812</v>
      </c>
      <c r="G99" s="64" t="s">
        <v>853</v>
      </c>
    </row>
    <row r="100" spans="1:7" x14ac:dyDescent="0.25">
      <c r="A100" s="64" t="s">
        <v>179</v>
      </c>
      <c r="B100" s="64" t="s">
        <v>842</v>
      </c>
      <c r="C100" s="64" t="s">
        <v>854</v>
      </c>
      <c r="D100" s="510">
        <v>256889</v>
      </c>
      <c r="E100" s="510">
        <v>93662</v>
      </c>
      <c r="F100" s="510">
        <v>350550</v>
      </c>
      <c r="G100" s="64" t="s">
        <v>855</v>
      </c>
    </row>
    <row r="101" spans="1:7" x14ac:dyDescent="0.25">
      <c r="A101" s="64" t="s">
        <v>174</v>
      </c>
      <c r="B101" s="64" t="s">
        <v>856</v>
      </c>
      <c r="C101" s="64" t="s">
        <v>857</v>
      </c>
      <c r="D101" s="510">
        <v>25413</v>
      </c>
      <c r="E101" s="510">
        <v>8143</v>
      </c>
      <c r="F101" s="510">
        <v>33556</v>
      </c>
      <c r="G101" s="64" t="s">
        <v>858</v>
      </c>
    </row>
    <row r="102" spans="1:7" x14ac:dyDescent="0.25">
      <c r="A102" s="64" t="s">
        <v>165</v>
      </c>
      <c r="B102" s="64" t="s">
        <v>859</v>
      </c>
      <c r="C102" s="64" t="s">
        <v>860</v>
      </c>
      <c r="D102" s="510">
        <v>0.01</v>
      </c>
      <c r="E102" s="510">
        <v>0.04</v>
      </c>
      <c r="F102" s="510">
        <v>0.01</v>
      </c>
      <c r="G102" s="64" t="s">
        <v>541</v>
      </c>
    </row>
    <row r="103" spans="1:7" x14ac:dyDescent="0.25">
      <c r="A103" s="64" t="s">
        <v>40</v>
      </c>
      <c r="B103" s="64" t="s">
        <v>861</v>
      </c>
      <c r="C103" s="64" t="s">
        <v>862</v>
      </c>
      <c r="D103" s="510">
        <v>165005</v>
      </c>
      <c r="E103" s="510">
        <v>209704</v>
      </c>
      <c r="F103" s="510">
        <v>374709</v>
      </c>
      <c r="G103" s="64" t="s">
        <v>541</v>
      </c>
    </row>
    <row r="104" spans="1:7" x14ac:dyDescent="0.25">
      <c r="A104" s="64" t="s">
        <v>863</v>
      </c>
      <c r="B104" s="64"/>
      <c r="C104" s="64" t="s">
        <v>864</v>
      </c>
      <c r="D104" s="510">
        <v>17400</v>
      </c>
      <c r="E104" s="510"/>
      <c r="F104" s="510">
        <v>17400</v>
      </c>
      <c r="G104" s="64" t="s">
        <v>865</v>
      </c>
    </row>
    <row r="105" spans="1:7" x14ac:dyDescent="0.25">
      <c r="A105" s="64" t="s">
        <v>863</v>
      </c>
      <c r="B105" s="64"/>
      <c r="C105" s="64" t="s">
        <v>866</v>
      </c>
      <c r="D105" s="510">
        <v>20000</v>
      </c>
      <c r="E105" s="510"/>
      <c r="F105" s="510">
        <v>20000</v>
      </c>
      <c r="G105" s="64" t="s">
        <v>865</v>
      </c>
    </row>
    <row r="106" spans="1:7" x14ac:dyDescent="0.25">
      <c r="A106" s="64" t="s">
        <v>863</v>
      </c>
      <c r="B106" s="64"/>
      <c r="C106" s="64" t="s">
        <v>867</v>
      </c>
      <c r="D106" s="510">
        <v>23200</v>
      </c>
      <c r="E106" s="510"/>
      <c r="F106" s="510">
        <v>23200</v>
      </c>
      <c r="G106" s="64" t="s">
        <v>865</v>
      </c>
    </row>
    <row r="107" spans="1:7" x14ac:dyDescent="0.25">
      <c r="A107" s="64" t="s">
        <v>868</v>
      </c>
      <c r="B107" s="64"/>
      <c r="C107" s="64" t="s">
        <v>869</v>
      </c>
      <c r="D107" s="510">
        <v>43200</v>
      </c>
      <c r="E107" s="510"/>
      <c r="F107" s="510">
        <v>43200</v>
      </c>
      <c r="G107" s="64" t="s">
        <v>870</v>
      </c>
    </row>
    <row r="108" spans="1:7" x14ac:dyDescent="0.25">
      <c r="A108" s="64" t="s">
        <v>871</v>
      </c>
      <c r="B108" s="64"/>
      <c r="C108" s="64" t="s">
        <v>872</v>
      </c>
      <c r="D108" s="510">
        <v>60600</v>
      </c>
      <c r="E108" s="510"/>
      <c r="F108" s="510">
        <v>60600</v>
      </c>
      <c r="G108" s="64" t="s">
        <v>873</v>
      </c>
    </row>
    <row r="109" spans="1:7" x14ac:dyDescent="0.25"/>
    <row r="110" spans="1:7" x14ac:dyDescent="0.25"/>
    <row r="111" spans="1:7" x14ac:dyDescent="0.25"/>
    <row r="112" spans="1:7"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70" zoomScaleNormal="70" workbookViewId="0"/>
  </sheetViews>
  <sheetFormatPr defaultColWidth="0" defaultRowHeight="15" zeroHeight="1" x14ac:dyDescent="0.25"/>
  <cols>
    <col min="1" max="1" width="9.140625" customWidth="1"/>
    <col min="2" max="2" width="190" customWidth="1"/>
    <col min="3" max="3" width="6.5703125" customWidth="1"/>
    <col min="4" max="10" width="6.5703125" hidden="1" customWidth="1"/>
    <col min="11" max="11" width="13.140625" hidden="1" customWidth="1"/>
    <col min="12" max="12" width="26.42578125" hidden="1" customWidth="1"/>
    <col min="13" max="13" width="18.28515625" hidden="1" customWidth="1"/>
    <col min="14" max="14" width="20.28515625" hidden="1" customWidth="1"/>
    <col min="15" max="16384" width="9.140625" hidden="1"/>
  </cols>
  <sheetData>
    <row r="1" spans="1:14" ht="28.5" x14ac:dyDescent="0.45">
      <c r="A1" s="102" t="s">
        <v>468</v>
      </c>
      <c r="B1" s="102"/>
      <c r="C1" s="102"/>
      <c r="D1" s="102"/>
      <c r="E1" s="102"/>
      <c r="F1" s="102"/>
      <c r="G1" s="102"/>
      <c r="H1" s="102"/>
      <c r="I1" s="102"/>
      <c r="J1" s="102"/>
      <c r="K1" s="102"/>
      <c r="L1" s="102"/>
      <c r="M1" s="102"/>
      <c r="N1" s="103"/>
    </row>
    <row r="2" spans="1:14" x14ac:dyDescent="0.25"/>
    <row r="3" spans="1:14" x14ac:dyDescent="0.25">
      <c r="A3" s="9">
        <v>1</v>
      </c>
      <c r="B3" s="9" t="s">
        <v>1026</v>
      </c>
    </row>
    <row r="4" spans="1:14" ht="30" x14ac:dyDescent="0.25">
      <c r="A4" s="9">
        <v>2</v>
      </c>
      <c r="B4" s="65" t="s">
        <v>1046</v>
      </c>
    </row>
    <row r="5" spans="1:14" x14ac:dyDescent="0.25">
      <c r="A5" s="9">
        <v>3</v>
      </c>
      <c r="B5" s="9" t="s">
        <v>1029</v>
      </c>
    </row>
    <row r="6" spans="1:14" x14ac:dyDescent="0.25">
      <c r="A6" s="9">
        <v>4</v>
      </c>
      <c r="B6" s="9" t="s">
        <v>1027</v>
      </c>
    </row>
    <row r="7" spans="1:14" x14ac:dyDescent="0.25">
      <c r="A7" s="9">
        <v>5</v>
      </c>
      <c r="B7" s="9" t="s">
        <v>1028</v>
      </c>
    </row>
    <row r="8" spans="1:14" x14ac:dyDescent="0.25">
      <c r="A8" s="9">
        <v>6</v>
      </c>
      <c r="B8" s="9" t="s">
        <v>1030</v>
      </c>
    </row>
    <row r="9" spans="1:14" x14ac:dyDescent="0.25">
      <c r="A9" s="9">
        <v>7</v>
      </c>
      <c r="B9" s="9" t="s">
        <v>1045</v>
      </c>
    </row>
    <row r="10" spans="1:14" x14ac:dyDescent="0.25">
      <c r="A10" s="9">
        <v>8</v>
      </c>
      <c r="B10" s="9" t="s">
        <v>1031</v>
      </c>
      <c r="N10" s="895"/>
    </row>
    <row r="11" spans="1:14" x14ac:dyDescent="0.25">
      <c r="A11" s="9">
        <v>9</v>
      </c>
      <c r="B11" s="9" t="s">
        <v>1032</v>
      </c>
    </row>
    <row r="12" spans="1:14" x14ac:dyDescent="0.25"/>
    <row r="13" spans="1:14" x14ac:dyDescent="0.25"/>
    <row r="14" spans="1:14" x14ac:dyDescent="0.25"/>
    <row r="15" spans="1:14" x14ac:dyDescent="0.25"/>
    <row r="16" spans="1:14"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H104"/>
  <sheetViews>
    <sheetView zoomScale="70" zoomScaleNormal="70" workbookViewId="0">
      <pane xSplit="1" ySplit="4" topLeftCell="J5" activePane="bottomRight" state="frozen"/>
      <selection pane="topRight" activeCell="B1" sqref="B1"/>
      <selection pane="bottomLeft" activeCell="A5" sqref="A5"/>
      <selection pane="bottomRight"/>
    </sheetView>
  </sheetViews>
  <sheetFormatPr defaultColWidth="0" defaultRowHeight="15" zeroHeight="1" x14ac:dyDescent="0.25"/>
  <cols>
    <col min="1" max="1" width="65.28515625" style="9" bestFit="1" customWidth="1"/>
    <col min="2" max="3" width="18.28515625" style="9" customWidth="1"/>
    <col min="4" max="4" width="18.28515625" style="37" customWidth="1"/>
    <col min="5" max="5" width="13.28515625" style="37" customWidth="1"/>
    <col min="6" max="10" width="13.28515625" style="51" customWidth="1"/>
    <col min="11" max="16" width="13.28515625" style="9" customWidth="1"/>
    <col min="17" max="17" width="19" style="9" customWidth="1"/>
    <col min="18" max="18" width="10.140625" style="9" customWidth="1"/>
    <col min="19" max="23" width="13" style="51" customWidth="1"/>
    <col min="24" max="24" width="13" style="156" customWidth="1"/>
    <col min="25" max="25" width="13" style="51" customWidth="1"/>
    <col min="26" max="26" width="14.5703125" style="51" customWidth="1"/>
    <col min="27" max="28" width="13" style="51" customWidth="1"/>
    <col min="29" max="29" width="13" style="9" customWidth="1"/>
    <col min="30" max="30" width="19" style="9" customWidth="1"/>
    <col min="31" max="31" width="11.5703125" style="9" customWidth="1"/>
    <col min="32" max="32" width="9.140625" style="9" customWidth="1"/>
    <col min="33" max="34" width="0" style="9" hidden="1" customWidth="1"/>
    <col min="35" max="16384" width="9.140625" style="9" hidden="1"/>
  </cols>
  <sheetData>
    <row r="1" spans="1:31" ht="28.5" x14ac:dyDescent="0.45">
      <c r="A1" s="102" t="s">
        <v>874</v>
      </c>
      <c r="B1" s="102"/>
      <c r="C1" s="102"/>
      <c r="D1" s="102"/>
      <c r="E1" s="102"/>
      <c r="F1" s="102"/>
      <c r="G1" s="102"/>
      <c r="H1" s="102"/>
      <c r="I1" s="102"/>
      <c r="J1" s="102"/>
      <c r="K1" s="102"/>
      <c r="L1" s="102"/>
      <c r="M1" s="102"/>
      <c r="N1" s="102"/>
      <c r="O1" s="102"/>
      <c r="P1" s="102"/>
      <c r="Q1" s="102"/>
      <c r="R1" s="102"/>
      <c r="S1" s="102"/>
      <c r="T1" s="102"/>
      <c r="U1" s="102"/>
      <c r="V1" s="102"/>
      <c r="W1" s="102"/>
      <c r="X1" s="665"/>
      <c r="Y1" s="102"/>
      <c r="Z1" s="102"/>
      <c r="AA1" s="102"/>
      <c r="AB1" s="102"/>
      <c r="AC1" s="102"/>
      <c r="AD1" s="102"/>
      <c r="AE1" s="102"/>
    </row>
    <row r="2" spans="1:31" ht="19.5" x14ac:dyDescent="0.3">
      <c r="A2" s="420"/>
      <c r="B2" s="420"/>
      <c r="C2" s="420"/>
      <c r="D2" s="56"/>
      <c r="E2" s="56"/>
      <c r="F2" s="166" t="s">
        <v>223</v>
      </c>
      <c r="G2" s="166"/>
      <c r="H2" s="166"/>
      <c r="I2" s="166"/>
      <c r="J2" s="166"/>
      <c r="K2" s="166"/>
      <c r="L2" s="166"/>
      <c r="M2" s="166"/>
      <c r="N2" s="166"/>
      <c r="O2" s="166"/>
      <c r="P2" s="166"/>
      <c r="Q2" s="166"/>
      <c r="R2" s="166"/>
      <c r="S2" s="580" t="s">
        <v>224</v>
      </c>
      <c r="T2" s="57"/>
      <c r="U2" s="57"/>
      <c r="V2" s="57"/>
      <c r="W2" s="57"/>
      <c r="X2" s="57"/>
      <c r="Y2" s="57"/>
      <c r="Z2" s="57"/>
      <c r="AA2" s="57"/>
      <c r="AB2" s="57"/>
      <c r="AC2" s="58"/>
      <c r="AD2" s="58"/>
      <c r="AE2" s="58"/>
    </row>
    <row r="3" spans="1:31" ht="15.75" thickBot="1" x14ac:dyDescent="0.3">
      <c r="A3" s="60"/>
      <c r="B3" s="60"/>
      <c r="C3" s="60"/>
      <c r="D3" s="513" t="s">
        <v>472</v>
      </c>
      <c r="E3" s="513"/>
      <c r="F3" s="513" t="s">
        <v>996</v>
      </c>
      <c r="G3" s="513"/>
      <c r="H3" s="513" t="s">
        <v>995</v>
      </c>
      <c r="I3" s="513"/>
      <c r="J3" s="513"/>
      <c r="K3" s="513" t="s">
        <v>329</v>
      </c>
      <c r="L3" s="513"/>
      <c r="M3" s="513"/>
      <c r="N3" s="513"/>
      <c r="O3" s="513"/>
      <c r="P3" s="513"/>
      <c r="Q3" s="513"/>
      <c r="R3" s="513"/>
      <c r="S3" s="513" t="s">
        <v>998</v>
      </c>
      <c r="T3" s="513"/>
      <c r="U3" s="513" t="s">
        <v>995</v>
      </c>
      <c r="V3" s="513"/>
      <c r="W3" s="513"/>
      <c r="X3" s="513" t="s">
        <v>329</v>
      </c>
      <c r="Y3" s="513"/>
      <c r="Z3" s="513"/>
      <c r="AA3" s="513"/>
      <c r="AB3" s="513"/>
      <c r="AC3" s="513"/>
      <c r="AD3" s="513"/>
      <c r="AE3" s="513"/>
    </row>
    <row r="4" spans="1:31" ht="75" x14ac:dyDescent="0.25">
      <c r="A4" s="63" t="s">
        <v>172</v>
      </c>
      <c r="B4" s="66" t="s">
        <v>475</v>
      </c>
      <c r="C4" s="66" t="s">
        <v>476</v>
      </c>
      <c r="D4" s="429" t="s">
        <v>368</v>
      </c>
      <c r="E4" s="519" t="s">
        <v>473</v>
      </c>
      <c r="F4" s="263" t="s">
        <v>259</v>
      </c>
      <c r="G4" s="263" t="s">
        <v>261</v>
      </c>
      <c r="H4" s="520" t="s">
        <v>313</v>
      </c>
      <c r="I4" s="520" t="s">
        <v>312</v>
      </c>
      <c r="J4" s="520" t="s">
        <v>311</v>
      </c>
      <c r="K4" s="622" t="s">
        <v>454</v>
      </c>
      <c r="L4" s="808" t="s">
        <v>989</v>
      </c>
      <c r="M4" s="808" t="s">
        <v>990</v>
      </c>
      <c r="N4" s="808" t="s">
        <v>991</v>
      </c>
      <c r="O4" s="808" t="s">
        <v>992</v>
      </c>
      <c r="P4" s="622" t="s">
        <v>333</v>
      </c>
      <c r="Q4" s="246" t="s">
        <v>368</v>
      </c>
      <c r="R4" s="372" t="s">
        <v>462</v>
      </c>
      <c r="S4" s="263" t="s">
        <v>259</v>
      </c>
      <c r="T4" s="263" t="s">
        <v>261</v>
      </c>
      <c r="U4" s="520" t="s">
        <v>313</v>
      </c>
      <c r="V4" s="520" t="s">
        <v>312</v>
      </c>
      <c r="W4" s="520" t="s">
        <v>311</v>
      </c>
      <c r="X4" s="813" t="s">
        <v>454</v>
      </c>
      <c r="Y4" s="808" t="s">
        <v>989</v>
      </c>
      <c r="Z4" s="808" t="s">
        <v>990</v>
      </c>
      <c r="AA4" s="808" t="s">
        <v>991</v>
      </c>
      <c r="AB4" s="808" t="s">
        <v>992</v>
      </c>
      <c r="AC4" s="622" t="s">
        <v>333</v>
      </c>
      <c r="AD4" s="246" t="s">
        <v>368</v>
      </c>
      <c r="AE4" s="372" t="s">
        <v>462</v>
      </c>
    </row>
    <row r="5" spans="1:31" x14ac:dyDescent="0.25">
      <c r="A5" s="9" t="s">
        <v>117</v>
      </c>
      <c r="B5" s="9" t="s">
        <v>265</v>
      </c>
      <c r="C5" s="9" t="str">
        <f>B5</f>
        <v>TasteSmell</v>
      </c>
      <c r="D5" s="514" t="s">
        <v>369</v>
      </c>
      <c r="E5" s="431">
        <f ca="1">INDEX(INDIRECT("ExtWTP_"&amp;$C5&amp;"_UnitValues"),MATCH(A$4, INDIRECT("ExtWTP_Comps_"&amp;C5),0),MATCH("HH",ExtWTP_Group,0))</f>
        <v>28537</v>
      </c>
      <c r="F5" s="521">
        <f ca="1">INDEX(INDIRECT("SSW_WTPCore2_"&amp;$B5&amp;"_Levels"),1,MATCH(F$4,WTPCore2_AttLevels,0))</f>
        <v>1.6666666666666666E-2</v>
      </c>
      <c r="G5" s="521">
        <f ca="1">INDEX(INDIRECT("SSW_WTPCore2_"&amp;$B5&amp;"_Levels"),1,MATCH(G$4,WTPCore2_AttLevels,0))</f>
        <v>1.1111111111111112E-2</v>
      </c>
      <c r="H5" s="20">
        <f ca="1">INDEX(INDIRECT("SSW_WTPCore2_"&amp;$B5&amp;"_LevelValues"),1,MATCH("S1 MEAN",WTPCore2_LevelValues,0))</f>
        <v>0.30818609087835352</v>
      </c>
      <c r="I5" s="20">
        <f ca="1">INDEX(INDIRECT("SSW_WTPCore2_"&amp;$B5&amp;"_LevelValues"),1,MATCH("S2 MEAN",WTPCore2_LevelValues,0))</f>
        <v>0.18578205633963885</v>
      </c>
      <c r="J5" s="20">
        <f ca="1">SUM(H5:I5)</f>
        <v>0.49396814721799237</v>
      </c>
      <c r="K5" s="278">
        <f ca="1">E5*(F5-G5)</f>
        <v>158.53888888888886</v>
      </c>
      <c r="L5" s="579">
        <f ca="1">INDEX(INDIRECT("SSW_WTPCore_DCE_"&amp;$B5&amp;"_UnitValues"),MATCH("COMBINED-HH",WTPCore_Group,0),MATCH("MEAN",LMH,0))</f>
        <v>171.97536823750744</v>
      </c>
      <c r="M5" s="579">
        <f ca="1">L5*($F5-$G5)*(AllProps_SSW/HHProps_SSW)</f>
        <v>1.0194594594594593</v>
      </c>
      <c r="N5" s="117">
        <f ca="1">INDEX(INDIRECT("SSW_WTPCore2_"&amp;$B5&amp;"_UnitValues"),1,MATCH("MEAN",LMH,0))</f>
        <v>83.328820216603944</v>
      </c>
      <c r="O5" s="579">
        <f ca="1">N5*($F5-$G5)*(AllProps_SSW/HHProps_SSW)</f>
        <v>0.49396814721799231</v>
      </c>
      <c r="P5" s="20">
        <f ca="1">K5*N$8/K$7</f>
        <v>1.6098382677047265</v>
      </c>
      <c r="Q5" s="514" t="s">
        <v>369</v>
      </c>
      <c r="R5" s="534">
        <f ca="1">P5*HHProps_SSW/((F5-G5)*AllProps_SSW)</f>
        <v>271.56796312248156</v>
      </c>
      <c r="S5" s="16">
        <f ca="1">INDEX(INDIRECT("CAM_WTPCore2_"&amp;$B5&amp;"_Levels"),1,MATCH(S$4,WTPCore2_AttLevels,0))</f>
        <v>1.4285714285714285E-2</v>
      </c>
      <c r="T5" s="16">
        <f ca="1">INDEX(INDIRECT("CAM_WTPCore2_"&amp;$B5&amp;"_Levels"),1,MATCH(T$4,WTPCore2_AttLevels,0))</f>
        <v>0.01</v>
      </c>
      <c r="U5" s="216">
        <f ca="1">INDEX(INDIRECT("CAM_WTPCore2_"&amp;$B5&amp;"_LevelValues"),1,MATCH("S1 MEAN",WTPCore2_LevelValues,0))</f>
        <v>4.7204807663126298E-2</v>
      </c>
      <c r="V5" s="216">
        <f ca="1">INDEX(INDIRECT("CAM_WTPCore2_"&amp;$B5&amp;"_LevelValues"),1,MATCH("S2 MEAN",WTPCore2_LevelValues,0))</f>
        <v>0.1217094578997745</v>
      </c>
      <c r="W5" s="216">
        <f ca="1">SUM(U5:V5)</f>
        <v>0.16891426556290079</v>
      </c>
      <c r="X5" s="825">
        <f ca="1">E5*(S5-T5)</f>
        <v>122.30142857142856</v>
      </c>
      <c r="Y5" s="579">
        <f t="shared" ref="Y5" ca="1" si="0">INDEX(INDIRECT("CAM_WTPCore_"&amp;$C5&amp;"_UnitValues"),MATCH("COMBINED-HH",WTPCore_Group,0),MATCH("MEAN",LMH,0))</f>
        <v>205.16697061803447</v>
      </c>
      <c r="Z5" s="579">
        <f ca="1">Y5*(S5-T5)*(AllProps_CAM/HHProps_CAM)</f>
        <v>0.94640816326530608</v>
      </c>
      <c r="AA5" s="117">
        <f t="shared" ref="AA5" ca="1" si="1">INDEX(INDIRECT("CAM_WTPCore2_"&amp;$C5&amp;"_UnitValues"),1,MATCH("MEAN",LMH,0))</f>
        <v>36.618057097205678</v>
      </c>
      <c r="AB5" s="579">
        <f ca="1">AA5*($S5-$T5)*(AllProps_CAM/HHProps_CAM)</f>
        <v>0.16891426556290076</v>
      </c>
      <c r="AC5" s="216">
        <f ca="1">X5*AA$8/X$7</f>
        <v>0.85032158031951499</v>
      </c>
      <c r="AD5" s="341" t="str">
        <f>Q5</f>
        <v>Property affected</v>
      </c>
      <c r="AE5" s="534">
        <f ca="1">(AC5*HHProps_CAM)/((S5-T5)*AllProps_CAM)</f>
        <v>184.33685322765845</v>
      </c>
    </row>
    <row r="6" spans="1:31" x14ac:dyDescent="0.25">
      <c r="A6" s="9" t="s">
        <v>182</v>
      </c>
      <c r="B6" s="9" t="s">
        <v>269</v>
      </c>
      <c r="C6" s="9" t="s">
        <v>326</v>
      </c>
      <c r="D6" s="514" t="s">
        <v>369</v>
      </c>
      <c r="E6" s="431">
        <f ca="1">INDEX(INDIRECT("ExtWTP_"&amp;$C6&amp;"_UnitValues"),MATCH(A$4, INDIRECT("ExtWTP_Comps_"&amp;C6),0),MATCH("HH",ExtWTP_Group,0))</f>
        <v>459</v>
      </c>
      <c r="F6" s="521">
        <f ca="1">INDEX(INDIRECT("SSW_WTPCore2_"&amp;$B6&amp;"_Levels"),1,MATCH(F$4,WTPCore2_AttLevels,0))</f>
        <v>1.4285714285714285E-2</v>
      </c>
      <c r="G6" s="521">
        <f ca="1">INDEX(INDIRECT("SSW_WTPCore2_"&amp;$B6&amp;"_Levels"),1,MATCH(G$4,WTPCore2_AttLevels,0))</f>
        <v>9.5238095238095247E-3</v>
      </c>
      <c r="H6" s="20">
        <f ca="1">INDEX(INDIRECT("SSW_WTPCore2_"&amp;$B6&amp;"_LevelValues"),1,MATCH("S1 MEAN",WTPCore2_LevelValues,0))</f>
        <v>0.39718669024665654</v>
      </c>
      <c r="I6" s="20">
        <f ca="1">INDEX(INDIRECT("SSW_WTPCore2_"&amp;$B6&amp;"_LevelValues"),1,MATCH("S2 MEAN",WTPCore2_LevelValues,0))</f>
        <v>0.53859352958370721</v>
      </c>
      <c r="J6" s="20">
        <f ca="1">SUM(H6:I6)</f>
        <v>0.93578021983036375</v>
      </c>
      <c r="K6" s="278">
        <f ca="1">E6*(F6-G6)</f>
        <v>2.1857142857142851</v>
      </c>
      <c r="L6" s="579">
        <f ca="1">INDEX(INDIRECT("SSW_WTPCore_DCE_"&amp;$B6&amp;"_UnitValues"),MATCH("COMBINED-HH",WTPCore_Group,0),MATCH("MEAN",LMH,0))</f>
        <v>160.37052631578945</v>
      </c>
      <c r="M6" s="579">
        <f ca="1">L6*($F6-$G6)*(AllProps_SSW/HHProps_SSW)</f>
        <v>0.8148571428571425</v>
      </c>
      <c r="N6" s="117">
        <f ca="1">INDEX(INDIRECT("SSW_WTPCore2_"&amp;$B6&amp;"_UnitValues"),1,MATCH("MEAN",LMH,0))</f>
        <v>184.16917331534088</v>
      </c>
      <c r="O6" s="579">
        <f ca="1">N6*($F6-$G6)*(AllProps_SSW/HHProps_SSW)</f>
        <v>0.93578021983036364</v>
      </c>
      <c r="P6" s="20">
        <f ca="1">K6*N$8/K$7</f>
        <v>2.2194216977752274E-2</v>
      </c>
      <c r="Q6" s="514" t="s">
        <v>369</v>
      </c>
      <c r="R6" s="534">
        <f ca="1">P6*HHProps_SSW/((F6-G6)*AllProps_SSW)</f>
        <v>4.3680027709016027</v>
      </c>
      <c r="S6" s="16">
        <f ca="1">INDEX(INDIRECT("CAM_WTPCore2_"&amp;$B6&amp;"_Levels"),1,MATCH(S$4,WTPCore2_AttLevels,0))</f>
        <v>2.5000000000000001E-2</v>
      </c>
      <c r="T6" s="16">
        <f ca="1">INDEX(INDIRECT("CAM_WTPCore2_"&amp;$B6&amp;"_Levels"),1,MATCH(T$4,WTPCore2_AttLevels,0))</f>
        <v>1.6666666666666666E-2</v>
      </c>
      <c r="U6" s="216">
        <f ca="1">INDEX(INDIRECT("CAM_WTPCore2_"&amp;$B6&amp;"_LevelValues"),1,MATCH("S1 MEAN",WTPCore2_LevelValues,0))</f>
        <v>5.3490671066612649E-2</v>
      </c>
      <c r="V6" s="216">
        <f ca="1">INDEX(INDIRECT("CAM_WTPCore2_"&amp;$B6&amp;"_LevelValues"),1,MATCH("S2 MEAN",WTPCore2_LevelValues,0))</f>
        <v>0.33457681646237136</v>
      </c>
      <c r="W6" s="216">
        <f ca="1">SUM(U6:V6)</f>
        <v>0.38806748752898401</v>
      </c>
      <c r="X6" s="825">
        <f ca="1">E6*(S6-T6)</f>
        <v>3.8250000000000006</v>
      </c>
      <c r="Y6" s="579">
        <f ca="1">INDEX(INDIRECT("CAM_WTPCore_"&amp;$B6&amp;"_UnitValues"),MATCH("COMBINED-HH",WTPCore_Group,0),MATCH("MEAN",LMH,0))</f>
        <v>27.921526908635794</v>
      </c>
      <c r="Z6" s="579">
        <f ca="1">Y6*($S6-$T6)*(AllProps_CAM/HHProps_CAM)</f>
        <v>0.25044117647058822</v>
      </c>
      <c r="AA6" s="117">
        <f ca="1">INDEX(INDIRECT("CAM_WTPCore2_"&amp;$B6&amp;"_UnitValues"),1,MATCH("MEAN",LMH,0))</f>
        <v>43.265396481954809</v>
      </c>
      <c r="AB6" s="579">
        <f ca="1">AA6*($S6-$T6)*(AllProps_CAM/HHProps_CAM)</f>
        <v>0.38806748752898401</v>
      </c>
      <c r="AC6" s="216">
        <f ca="1">X6*AA$8/X$7</f>
        <v>2.6593966094374578E-2</v>
      </c>
      <c r="AD6" s="341" t="str">
        <f>Q6</f>
        <v>Property affected</v>
      </c>
      <c r="AE6" s="534">
        <f ca="1">(AC6*HHProps_CAM)/((S6-T6)*AllProps_CAM)</f>
        <v>2.9649443049898458</v>
      </c>
    </row>
    <row r="7" spans="1:31" x14ac:dyDescent="0.25">
      <c r="D7" s="514"/>
      <c r="E7" s="431"/>
      <c r="F7" s="20"/>
      <c r="G7" s="20"/>
      <c r="H7" s="20"/>
      <c r="I7" s="20"/>
      <c r="J7" s="445">
        <f ca="1">SUM(J5:J6)</f>
        <v>1.4297483670483562</v>
      </c>
      <c r="K7" s="446">
        <f ca="1">SUM(K5:K6)</f>
        <v>160.72460317460315</v>
      </c>
      <c r="L7" s="446"/>
      <c r="M7" s="446">
        <f ca="1">SUM(M5:M6)</f>
        <v>1.8343166023166018</v>
      </c>
      <c r="N7" s="446"/>
      <c r="O7" s="289">
        <f ca="1">SUM(O5:O6)</f>
        <v>1.429748367048356</v>
      </c>
      <c r="P7" s="445">
        <f ca="1">SUM(P5:P6)</f>
        <v>1.6320324846824787</v>
      </c>
      <c r="Q7" s="265"/>
      <c r="R7" s="834"/>
      <c r="S7" s="216"/>
      <c r="T7" s="216"/>
      <c r="U7" s="216"/>
      <c r="V7" s="216"/>
      <c r="W7" s="52">
        <f ca="1">SUM(W5:W6)</f>
        <v>0.5569817530918848</v>
      </c>
      <c r="X7" s="531">
        <f ca="1">SUM(X5:X6)</f>
        <v>126.12642857142856</v>
      </c>
      <c r="Y7" s="532"/>
      <c r="Z7" s="532">
        <f ca="1">SUM(Z5:Z6)</f>
        <v>1.1968493397358944</v>
      </c>
      <c r="AA7" s="532"/>
      <c r="AB7" s="287">
        <f ca="1">SUM(AB5:AB6)</f>
        <v>0.5569817530918848</v>
      </c>
      <c r="AC7" s="52">
        <f ca="1">SUM(AC5:AC6)</f>
        <v>0.87691554641388958</v>
      </c>
      <c r="AE7" s="534"/>
    </row>
    <row r="8" spans="1:31" x14ac:dyDescent="0.25">
      <c r="A8" s="60"/>
      <c r="B8" s="60"/>
      <c r="C8" s="60"/>
      <c r="D8" s="516"/>
      <c r="E8" s="523"/>
      <c r="F8" s="524"/>
      <c r="G8" s="524"/>
      <c r="H8" s="524"/>
      <c r="I8" s="524"/>
      <c r="J8" s="524"/>
      <c r="K8" s="45"/>
      <c r="L8" s="45"/>
      <c r="M8" s="45" t="s">
        <v>997</v>
      </c>
      <c r="N8" s="737">
        <f ca="1">AVERAGE(M7,O7)</f>
        <v>1.6320324846824787</v>
      </c>
      <c r="O8" s="45"/>
      <c r="P8" s="45"/>
      <c r="Q8" s="114"/>
      <c r="R8" s="629"/>
      <c r="S8" s="44"/>
      <c r="T8" s="44"/>
      <c r="U8" s="44"/>
      <c r="V8" s="44"/>
      <c r="W8" s="44"/>
      <c r="X8" s="533"/>
      <c r="Y8" s="533"/>
      <c r="Z8" s="533" t="s">
        <v>997</v>
      </c>
      <c r="AA8" s="737">
        <f ca="1">AVERAGE(Z7,AB7)</f>
        <v>0.87691554641388958</v>
      </c>
      <c r="AB8" s="533"/>
      <c r="AC8" s="45"/>
      <c r="AD8" s="114"/>
      <c r="AE8" s="535"/>
    </row>
    <row r="9" spans="1:31" s="62" customFormat="1" x14ac:dyDescent="0.25">
      <c r="A9" s="237" t="s">
        <v>178</v>
      </c>
      <c r="B9" s="237"/>
      <c r="C9" s="237"/>
      <c r="D9" s="515"/>
      <c r="E9" s="522"/>
      <c r="F9" s="448"/>
      <c r="G9" s="448"/>
      <c r="H9" s="497"/>
      <c r="I9" s="497"/>
      <c r="J9" s="497"/>
      <c r="K9" s="54"/>
      <c r="L9" s="54"/>
      <c r="M9" s="54"/>
      <c r="N9" s="54"/>
      <c r="O9" s="54"/>
      <c r="P9" s="54"/>
      <c r="Q9" s="912"/>
      <c r="R9" s="630"/>
      <c r="S9" s="54"/>
      <c r="T9" s="54"/>
      <c r="U9" s="53"/>
      <c r="V9" s="53"/>
      <c r="W9" s="53"/>
      <c r="X9" s="531"/>
      <c r="Y9" s="531"/>
      <c r="Z9" s="531"/>
      <c r="AA9" s="531"/>
      <c r="AB9" s="531"/>
      <c r="AC9" s="54"/>
      <c r="AE9" s="536"/>
    </row>
    <row r="10" spans="1:31" x14ac:dyDescent="0.25">
      <c r="A10" s="9" t="s">
        <v>182</v>
      </c>
      <c r="B10" s="9" t="s">
        <v>269</v>
      </c>
      <c r="C10" s="9" t="s">
        <v>326</v>
      </c>
      <c r="D10" s="514" t="s">
        <v>369</v>
      </c>
      <c r="E10" s="431">
        <f ca="1">INDEX(INDIRECT("ExtWTP_"&amp;$C10&amp;"_UnitValues"),MATCH(A$9, INDIRECT("ExtWTP_Comps_"&amp;C10),0),MATCH("HH",ExtWTP_Group,0))</f>
        <v>671</v>
      </c>
      <c r="F10" s="521">
        <f ca="1">INDEX(INDIRECT("SSW_WTPCore2_"&amp;$B10&amp;"_Levels"),1,MATCH(F$4,WTPCore2_AttLevels,0))</f>
        <v>1.4285714285714285E-2</v>
      </c>
      <c r="G10" s="521">
        <f ca="1">INDEX(INDIRECT("SSW_WTPCore2_"&amp;$B10&amp;"_Levels"),1,MATCH(G$4,WTPCore2_AttLevels,0))</f>
        <v>9.5238095238095247E-3</v>
      </c>
      <c r="H10" s="20">
        <f ca="1">INDEX(INDIRECT("SSW_WTPCore2_"&amp;$B10&amp;"_LevelValues"),1,MATCH("S1 MEAN",WTPCore2_LevelValues,0))</f>
        <v>0.39718669024665654</v>
      </c>
      <c r="I10" s="20">
        <f ca="1">INDEX(INDIRECT("SSW_WTPCore2_"&amp;$B10&amp;"_LevelValues"),1,MATCH("S2 MEAN",WTPCore2_LevelValues,0))</f>
        <v>0.53859352958370721</v>
      </c>
      <c r="J10" s="20">
        <f ca="1">SUM(H10:I10)</f>
        <v>0.93578021983036375</v>
      </c>
      <c r="K10" s="278">
        <f ca="1">E10*(F10-G10)</f>
        <v>3.1952380952380945</v>
      </c>
      <c r="L10" s="579">
        <f ca="1">INDEX(INDIRECT("SSW_WTPCore_DCE_"&amp;$B10&amp;"_UnitValues"),MATCH("COMBINED-HH",WTPCore_Group,0),MATCH("MEAN",LMH,0))</f>
        <v>160.37052631578945</v>
      </c>
      <c r="M10" s="579">
        <f ca="1">L10*($F10-$G10)*(AllProps_SSW/HHProps_SSW)</f>
        <v>0.8148571428571425</v>
      </c>
      <c r="N10" s="117">
        <f ca="1">INDEX(INDIRECT("SSW_WTPCore2_"&amp;$B10&amp;"_UnitValues"),1,MATCH("MEAN",LMH,0))</f>
        <v>184.16917331534088</v>
      </c>
      <c r="O10" s="579">
        <f ca="1">N10*($F10-$G10)*(AllProps_SSW/HHProps_SSW)</f>
        <v>0.93578021983036364</v>
      </c>
      <c r="P10" s="20">
        <f ca="1">K10*N$13/K$12</f>
        <v>1.4040955050651804</v>
      </c>
      <c r="Q10" s="514" t="s">
        <v>369</v>
      </c>
      <c r="R10" s="534">
        <f ca="1">P10*HHProps_SSW/((F10-G10)*AllProps_SSW)</f>
        <v>276.33743794084171</v>
      </c>
      <c r="S10" s="16">
        <f ca="1">INDEX(INDIRECT("CAM_WTPCore2_"&amp;$B10&amp;"_Levels"),1,MATCH(S$4,WTPCore2_AttLevels,0))</f>
        <v>2.5000000000000001E-2</v>
      </c>
      <c r="T10" s="16">
        <f ca="1">INDEX(INDIRECT("CAM_WTPCore2_"&amp;$B10&amp;"_Levels"),1,MATCH(T$4,WTPCore2_AttLevels,0))</f>
        <v>1.6666666666666666E-2</v>
      </c>
      <c r="U10" s="216">
        <f ca="1">INDEX(INDIRECT("CAM_WTPCore2_"&amp;$B10&amp;"_LevelValues"),1,MATCH("S1 MEAN",WTPCore2_LevelValues,0))</f>
        <v>5.3490671066612649E-2</v>
      </c>
      <c r="V10" s="216">
        <f ca="1">INDEX(INDIRECT("CAM_WTPCore2_"&amp;$B10&amp;"_LevelValues"),1,MATCH("S2 MEAN",WTPCore2_LevelValues,0))</f>
        <v>0.33457681646237136</v>
      </c>
      <c r="W10" s="216">
        <f ca="1">SUM(U10:V10)</f>
        <v>0.38806748752898401</v>
      </c>
      <c r="X10" s="825">
        <f ca="1">E10*(S10-T10)</f>
        <v>5.5916666666666677</v>
      </c>
      <c r="Y10" s="579">
        <f ca="1">INDEX(INDIRECT("CAM_WTPCore_"&amp;$B10&amp;"_UnitValues"),MATCH("COMBINED-HH",WTPCore_Group,0),MATCH("MEAN",LMH,0))</f>
        <v>27.921526908635794</v>
      </c>
      <c r="Z10" s="579">
        <f ca="1">Y10*($S10-$T10)*(AllProps_CAM/HHProps_CAM)</f>
        <v>0.25044117647058822</v>
      </c>
      <c r="AA10" s="117">
        <f ca="1">INDEX(INDIRECT("CAM_WTPCore2_"&amp;$B10&amp;"_UnitValues"),1,MATCH("MEAN",LMH,0))</f>
        <v>43.265396481954809</v>
      </c>
      <c r="AB10" s="579">
        <f ca="1">AA10*($S10-$T10)*(AllProps_CAM/HHProps_CAM)</f>
        <v>0.38806748752898401</v>
      </c>
      <c r="AC10" s="216">
        <f ca="1">X10*AA$13/X$12</f>
        <v>3.2206796291142528</v>
      </c>
      <c r="AD10" s="341" t="str">
        <f>Q10</f>
        <v>Property affected</v>
      </c>
      <c r="AE10" s="534">
        <f ca="1">(AC10*HHProps_CAM)/((S10-T10)*AllProps_CAM)</f>
        <v>359.07151609699326</v>
      </c>
    </row>
    <row r="11" spans="1:31" x14ac:dyDescent="0.25">
      <c r="A11" s="9" t="s">
        <v>106</v>
      </c>
      <c r="B11" s="9" t="s">
        <v>319</v>
      </c>
      <c r="C11" s="9" t="str">
        <f>B11</f>
        <v>TempBan</v>
      </c>
      <c r="D11" s="514" t="s">
        <v>369</v>
      </c>
      <c r="E11" s="431">
        <f ca="1">INDEX(INDIRECT("ExtWTP_"&amp;$C11&amp;"_UnitValues"),MATCH(A$9, INDIRECT("ExtWTP_Comps_"&amp;C11),0),MATCH("HH",ExtWTP_Group,0))</f>
        <v>8.5</v>
      </c>
      <c r="F11" s="521">
        <f ca="1">INDEX(INDIRECT("SSW_WTPCore2_"&amp;$B11&amp;"_Levels"),1,MATCH(F$4,WTPCore2_AttLevels,0))</f>
        <v>2.5000000000000001E-2</v>
      </c>
      <c r="G11" s="521">
        <f ca="1">INDEX(INDIRECT("SSW_WTPCore2_"&amp;$B11&amp;"_Levels"),1,MATCH(G$4,WTPCore2_AttLevels,0))</f>
        <v>1.5384615384615385E-2</v>
      </c>
      <c r="H11" s="20">
        <f ca="1">INDEX(INDIRECT("SSW_WTPCore2_"&amp;$B11&amp;"_LevelValues"),1,MATCH("S1 MEAN",WTPCore2_LevelValues,0))</f>
        <v>0.4084226191643695</v>
      </c>
      <c r="I11" s="20">
        <f ca="1">INDEX(INDIRECT("SSW_WTPCore2_"&amp;$B11&amp;"_LevelValues"),1,MATCH("S2 MEAN",WTPCore2_LevelValues,0))</f>
        <v>0.28250000903457151</v>
      </c>
      <c r="J11" s="20">
        <f ca="1">SUM(H11:I11)</f>
        <v>0.69092262819894101</v>
      </c>
      <c r="K11" s="278">
        <f ca="1">E11*(F11-G11)</f>
        <v>8.1730769230769232E-2</v>
      </c>
      <c r="L11" s="820">
        <f t="shared" ref="L11" ca="1" si="2">INDEX(INDIRECT("SSW_WTPCore_DCE_"&amp;$C11&amp;"_UnitValues"),MATCH("COMBINED-HH",WTPCore_Group,0),MATCH("MEAN",LMH,0))</f>
        <v>251711.99999999994</v>
      </c>
      <c r="M11" s="579">
        <f ca="1">L11*(F11-G11)/HHProps_SSW*100</f>
        <v>0.43846153846153835</v>
      </c>
      <c r="N11" s="343">
        <f t="shared" ref="N11" ca="1" si="3">INDEX(INDIRECT("SSW_WTPCore2_"&amp;$C11&amp;"_UnitValues"),1,MATCH("MEAN",LMH,0))</f>
        <v>396644.86239644804</v>
      </c>
      <c r="O11" s="579">
        <f ca="1">N11*(F11-G11)/HHProps_SSW*100</f>
        <v>0.69092262819894101</v>
      </c>
      <c r="P11" s="20">
        <f ca="1">K11*N$13/K$12</f>
        <v>3.5915259608812158E-2</v>
      </c>
      <c r="Q11" s="643" t="s">
        <v>422</v>
      </c>
      <c r="R11" s="534">
        <f ca="1">P11*HHProps_SSW/((F11-G11)*100)</f>
        <v>20618.232236226882</v>
      </c>
      <c r="S11" s="16">
        <f ca="1">INDEX(INDIRECT("CAM_WTPCore2_"&amp;$B11&amp;"_Levels"),1,MATCH(S$4,WTPCore2_AttLevels,0))</f>
        <v>0.05</v>
      </c>
      <c r="T11" s="16">
        <f ca="1">INDEX(INDIRECT("CAM_WTPCore2_"&amp;$B11&amp;"_Levels"),1,MATCH(T$4,WTPCore2_AttLevels,0))</f>
        <v>3.3333333333333333E-2</v>
      </c>
      <c r="U11" s="216">
        <f ca="1">INDEX(INDIRECT("CAM_WTPCore2_"&amp;$B11&amp;"_LevelValues"),1,MATCH("S1 MEAN",WTPCore2_LevelValues,0))</f>
        <v>0.15591350717379643</v>
      </c>
      <c r="V11" s="216">
        <f ca="1">INDEX(INDIRECT("CAM_WTPCore2_"&amp;$B11&amp;"_LevelValues"),1,MATCH("S2 MEAN",WTPCore2_LevelValues,0))</f>
        <v>5.0130987785217407E-2</v>
      </c>
      <c r="W11" s="216">
        <f ca="1">SUM(U11:V11)</f>
        <v>0.20604449495901384</v>
      </c>
      <c r="X11" s="825">
        <f ca="1">E11*(S11-T11)</f>
        <v>0.14166666666666669</v>
      </c>
      <c r="Y11" s="820">
        <f ca="1">INDEX(INDIRECT("CAM_WTPCore_"&amp;$C11&amp;"_UnitValues"),MATCH("COMBINED-HH",WTPCore_Group,0),MATCH("MEAN",LMH,0))</f>
        <v>452735.99999999994</v>
      </c>
      <c r="Z11" s="579">
        <f ca="1">Y11*(S11-T11)/HHProps_CAM*100</f>
        <v>5.7600000000000007</v>
      </c>
      <c r="AA11" s="343">
        <f ca="1">INDEX(INDIRECT("CAM_WTPCore2_"&amp;$C11&amp;"_UnitValues"),1,MATCH("MEAN",LMH,0))</f>
        <v>16195.097303778484</v>
      </c>
      <c r="AB11" s="579">
        <f ca="1">AA11*(S11-T11)/HHProps_CAM*100</f>
        <v>0.20604449495901386</v>
      </c>
      <c r="AC11" s="216">
        <f ca="1">X11*AA$13/X$12</f>
        <v>8.1596950365040666E-2</v>
      </c>
      <c r="AD11" s="341" t="str">
        <f>Q11</f>
        <v>1% change in risk</v>
      </c>
      <c r="AE11" s="534">
        <f ca="1">(AC11*HHProps_CAM)/((S11-T11)*100)</f>
        <v>6413.5202986921959</v>
      </c>
    </row>
    <row r="12" spans="1:31" x14ac:dyDescent="0.25">
      <c r="D12" s="514"/>
      <c r="E12" s="431"/>
      <c r="F12" s="20"/>
      <c r="G12" s="20"/>
      <c r="H12" s="20"/>
      <c r="I12" s="20"/>
      <c r="J12" s="445">
        <f ca="1">SUM(J10:J11)</f>
        <v>1.6267028480293049</v>
      </c>
      <c r="K12" s="446">
        <f ca="1">SUM(K10:K11)</f>
        <v>3.2769688644688637</v>
      </c>
      <c r="L12" s="446"/>
      <c r="M12" s="446">
        <f ca="1">SUM(M10:M11)</f>
        <v>1.2533186813186807</v>
      </c>
      <c r="N12" s="446"/>
      <c r="O12" s="289">
        <f ca="1">SUM(O10:O11)</f>
        <v>1.6267028480293046</v>
      </c>
      <c r="P12" s="445">
        <f ca="1">SUM(P10:P11)</f>
        <v>1.4400107646739926</v>
      </c>
      <c r="Q12" s="265"/>
      <c r="R12" s="834"/>
      <c r="S12" s="216"/>
      <c r="T12" s="216"/>
      <c r="U12" s="216"/>
      <c r="V12" s="216"/>
      <c r="W12" s="52">
        <f ca="1">SUM(W10:W11)</f>
        <v>0.5941119824879979</v>
      </c>
      <c r="X12" s="531">
        <f ca="1">SUM(X10:X11)</f>
        <v>5.7333333333333343</v>
      </c>
      <c r="Y12" s="532"/>
      <c r="Z12" s="532">
        <f ca="1">SUM(Z10:Z11)</f>
        <v>6.0104411764705885</v>
      </c>
      <c r="AA12" s="532"/>
      <c r="AB12" s="287">
        <f ca="1">SUM(AB10:AB11)</f>
        <v>0.5941119824879979</v>
      </c>
      <c r="AC12" s="52">
        <f ca="1">SUM(AC10:AC11)</f>
        <v>3.3022765794792934</v>
      </c>
      <c r="AE12" s="534"/>
    </row>
    <row r="13" spans="1:31" x14ac:dyDescent="0.25">
      <c r="A13" s="60"/>
      <c r="B13" s="60"/>
      <c r="C13" s="60"/>
      <c r="D13" s="516"/>
      <c r="E13" s="523"/>
      <c r="F13" s="524"/>
      <c r="G13" s="524"/>
      <c r="H13" s="524"/>
      <c r="I13" s="524"/>
      <c r="J13" s="524"/>
      <c r="K13" s="45"/>
      <c r="L13" s="45"/>
      <c r="M13" s="45" t="s">
        <v>997</v>
      </c>
      <c r="N13" s="737">
        <f ca="1">AVERAGE(M12,O12)</f>
        <v>1.4400107646739926</v>
      </c>
      <c r="O13" s="45"/>
      <c r="P13" s="45"/>
      <c r="Q13" s="114"/>
      <c r="R13" s="629"/>
      <c r="S13" s="44"/>
      <c r="T13" s="44"/>
      <c r="U13" s="44"/>
      <c r="V13" s="44"/>
      <c r="W13" s="44"/>
      <c r="X13" s="533"/>
      <c r="Y13" s="533"/>
      <c r="Z13" s="533" t="s">
        <v>997</v>
      </c>
      <c r="AA13" s="737">
        <f ca="1">AVERAGE(Z12,AB12)</f>
        <v>3.302276579479293</v>
      </c>
      <c r="AB13" s="533"/>
      <c r="AC13" s="45"/>
      <c r="AD13" s="114"/>
      <c r="AE13" s="535"/>
    </row>
    <row r="14" spans="1:31" s="65" customFormat="1" x14ac:dyDescent="0.25">
      <c r="A14" s="237" t="s">
        <v>173</v>
      </c>
      <c r="B14" s="237"/>
      <c r="C14" s="62"/>
      <c r="D14" s="515"/>
      <c r="E14" s="522"/>
      <c r="F14" s="448"/>
      <c r="G14" s="448"/>
      <c r="H14" s="497"/>
      <c r="I14" s="497"/>
      <c r="J14" s="497"/>
      <c r="K14" s="54"/>
      <c r="L14" s="54"/>
      <c r="M14" s="54"/>
      <c r="N14" s="54"/>
      <c r="O14" s="54"/>
      <c r="P14" s="54"/>
      <c r="Q14" s="912"/>
      <c r="R14" s="630"/>
      <c r="S14" s="54"/>
      <c r="T14" s="54"/>
      <c r="U14" s="53"/>
      <c r="V14" s="53"/>
      <c r="W14" s="53"/>
      <c r="X14" s="531"/>
      <c r="Y14" s="531"/>
      <c r="Z14" s="531"/>
      <c r="AA14" s="531"/>
      <c r="AB14" s="531"/>
      <c r="AC14" s="54"/>
      <c r="AE14" s="536"/>
    </row>
    <row r="15" spans="1:31" x14ac:dyDescent="0.25">
      <c r="A15" s="9" t="s">
        <v>25</v>
      </c>
      <c r="B15" s="9" t="s">
        <v>266</v>
      </c>
      <c r="C15" s="9" t="str">
        <f>B15</f>
        <v>Discolour</v>
      </c>
      <c r="D15" s="514" t="s">
        <v>369</v>
      </c>
      <c r="E15" s="431">
        <f ca="1">INDEX(INDIRECT("ExtWTP_"&amp;$C15&amp;"_UnitValues"),MATCH(A$14, INDIRECT("ExtWTP_Comps_"&amp;C15),0),MATCH("HH",ExtWTP_Group,0))</f>
        <v>2855</v>
      </c>
      <c r="F15" s="521">
        <f t="shared" ref="F15:G17" ca="1" si="4">INDEX(INDIRECT("SSW_WTPCore2_"&amp;$B15&amp;"_Levels"),1,MATCH(F$4,WTPCore2_AttLevels,0))</f>
        <v>6.6666666666666666E-2</v>
      </c>
      <c r="G15" s="521">
        <f t="shared" ca="1" si="4"/>
        <v>0.04</v>
      </c>
      <c r="H15" s="20">
        <f ca="1">INDEX(INDIRECT("SSW_WTPCore2_"&amp;$B15&amp;"_LevelValues"),1,MATCH("S1 MEAN",WTPCore2_LevelValues,0))</f>
        <v>3.3679929677046498</v>
      </c>
      <c r="I15" s="20">
        <f ca="1">INDEX(INDIRECT("SSW_WTPCore2_"&amp;$B15&amp;"_LevelValues"),1,MATCH("S2 MEAN",WTPCore2_LevelValues,0))</f>
        <v>0.60669022375558512</v>
      </c>
      <c r="J15" s="20">
        <f ca="1">SUM(H15:I15)</f>
        <v>3.974683191460235</v>
      </c>
      <c r="K15" s="278">
        <f ca="1">E15*(F15-G15)</f>
        <v>76.133333333333326</v>
      </c>
      <c r="L15" s="579">
        <f ca="1">INDEX(INDIRECT("SSW_WTPCore_DCE_"&amp;$C15&amp;"_UnitValues"),MATCH("COMBINED-HH",WTPCore_Group,0),MATCH("MEAN",LMH,0))</f>
        <v>27.809917858229387</v>
      </c>
      <c r="M15" s="579">
        <f ca="1">L15*(F15-G15)*(AllProps_CAM/HHProps_CAM)</f>
        <v>0.79820832936597319</v>
      </c>
      <c r="N15" s="117">
        <f ca="1">INDEX(INDIRECT("SSW_WTPCore2_"&amp;$C15&amp;"_UnitValues"),1,MATCH("MEAN",LMH,0))</f>
        <v>139.68750774741403</v>
      </c>
      <c r="O15" s="579">
        <f ca="1">N15*($F15-$G15)*(AllProps_CAM/HHProps_CAM)</f>
        <v>4.0093513674066923</v>
      </c>
      <c r="P15" s="20">
        <f ca="1">K15*N$19/K$18</f>
        <v>2.2317315879418524</v>
      </c>
      <c r="Q15" s="514" t="s">
        <v>369</v>
      </c>
      <c r="R15" s="534">
        <f ca="1">P15*HHProps_SSW/((F15-G15)*AllProps_SSW)</f>
        <v>78.432672105936078</v>
      </c>
      <c r="S15" s="16">
        <f t="shared" ref="S15:T17" ca="1" si="5">INDEX(INDIRECT("CAM_WTPCore2_"&amp;$B15&amp;"_Levels"),1,MATCH(S$4,WTPCore2_AttLevels,0))</f>
        <v>2.2222222222222223E-2</v>
      </c>
      <c r="T15" s="16">
        <f t="shared" ca="1" si="5"/>
        <v>1.5384615384615385E-2</v>
      </c>
      <c r="U15" s="216">
        <f ca="1">INDEX(INDIRECT("CAM_WTPCore2_"&amp;$B15&amp;"_LevelValues"),1,MATCH("S1 MEAN",WTPCore2_LevelValues,0))</f>
        <v>3.1155463151224057</v>
      </c>
      <c r="V15" s="216">
        <f ca="1">INDEX(INDIRECT("CAM_WTPCore2_"&amp;$B15&amp;"_LevelValues"),1,MATCH("S2 MEAN",WTPCore2_LevelValues,0))</f>
        <v>1.3419840000849801</v>
      </c>
      <c r="W15" s="216">
        <f ca="1">SUM(U15:V15)</f>
        <v>4.4575303152073857</v>
      </c>
      <c r="X15" s="825">
        <f ca="1">E15*(S15-T15)</f>
        <v>19.521367521367523</v>
      </c>
      <c r="Y15" s="579">
        <f ca="1">INDEX(INDIRECT("CAM_WTPCore_"&amp;$C15&amp;"_UnitValues"),MATCH("COMBINED-HH",WTPCore_Group,0),MATCH("MEAN",LMH,0))</f>
        <v>305.14240121580548</v>
      </c>
      <c r="Z15" s="579">
        <f ca="1">Y15*($S15-$T15)*(AllProps_CAM/HHProps_CAM)</f>
        <v>2.2457142857142856</v>
      </c>
      <c r="AA15" s="117">
        <f ca="1">INDEX(INDIRECT("CAM_WTPCore2_"&amp;$C15&amp;"_UnitValues"),1,MATCH("MEAN",LMH,0))</f>
        <v>605.67878671262065</v>
      </c>
      <c r="AB15" s="579">
        <f ca="1">AA15*($S15-$T15)*(AllProps_CAM/HHProps_CAM)</f>
        <v>4.4575303152073857</v>
      </c>
      <c r="AC15" s="216">
        <f ca="1">X15*AA$19/X$18</f>
        <v>1.1897837605228101</v>
      </c>
      <c r="AD15" s="341" t="str">
        <f>Q15</f>
        <v>Property affected</v>
      </c>
      <c r="AE15" s="534">
        <f ca="1">(AC15*HHProps_CAM)/((S15-T15)*AllProps_CAM)</f>
        <v>161.66503277954885</v>
      </c>
    </row>
    <row r="16" spans="1:31" x14ac:dyDescent="0.25">
      <c r="A16" s="9" t="s">
        <v>117</v>
      </c>
      <c r="B16" s="9" t="s">
        <v>265</v>
      </c>
      <c r="C16" s="9" t="str">
        <f>B16</f>
        <v>TasteSmell</v>
      </c>
      <c r="D16" s="514" t="s">
        <v>369</v>
      </c>
      <c r="E16" s="431">
        <f ca="1">INDEX(INDIRECT("ExtWTP_"&amp;$C16&amp;"_UnitValues"),MATCH(A$14, INDIRECT("ExtWTP_Comps_"&amp;C16),0),MATCH("HH",ExtWTP_Group,0))</f>
        <v>10640</v>
      </c>
      <c r="F16" s="521">
        <f t="shared" ca="1" si="4"/>
        <v>1.6666666666666666E-2</v>
      </c>
      <c r="G16" s="521">
        <f t="shared" ca="1" si="4"/>
        <v>1.1111111111111112E-2</v>
      </c>
      <c r="H16" s="20">
        <f ca="1">INDEX(INDIRECT("SSW_WTPCore2_"&amp;$B16&amp;"_LevelValues"),1,MATCH("S1 MEAN",WTPCore2_LevelValues,0))</f>
        <v>0.30818609087835352</v>
      </c>
      <c r="I16" s="20">
        <f ca="1">INDEX(INDIRECT("SSW_WTPCore2_"&amp;$B16&amp;"_LevelValues"),1,MATCH("S2 MEAN",WTPCore2_LevelValues,0))</f>
        <v>0.18578205633963885</v>
      </c>
      <c r="J16" s="20">
        <f ca="1">SUM(H16:I16)</f>
        <v>0.49396814721799237</v>
      </c>
      <c r="K16" s="278">
        <f ca="1">E16*(F16-G16)</f>
        <v>59.111111111111107</v>
      </c>
      <c r="L16" s="579">
        <f ca="1">INDEX(INDIRECT("SSW_WTPCore_DCE_"&amp;$B16&amp;"_UnitValues"),MATCH("COMBINED-HH",WTPCore_Group,0),MATCH("MEAN",LMH,0))</f>
        <v>171.97536823750744</v>
      </c>
      <c r="M16" s="579">
        <f ca="1">L16*($F16-$G16)*(AllProps_SSW/HHProps_SSW)</f>
        <v>1.0194594594594593</v>
      </c>
      <c r="N16" s="117">
        <f ca="1">INDEX(INDIRECT("SSW_WTPCore2_"&amp;$B16&amp;"_UnitValues"),1,MATCH("MEAN",LMH,0))</f>
        <v>83.328820216603944</v>
      </c>
      <c r="O16" s="579">
        <f ca="1">N16*($F16-$G16)*(AllProps_SSW/HHProps_SSW)</f>
        <v>0.49396814721799231</v>
      </c>
      <c r="P16" s="20">
        <f t="shared" ref="P16:P17" ca="1" si="6">K16*N$19/K$18</f>
        <v>1.7327513204685721</v>
      </c>
      <c r="Q16" s="514" t="s">
        <v>369</v>
      </c>
      <c r="R16" s="534">
        <f ca="1">P16*HHProps_SSW/((F16-G16)*AllProps_SSW)</f>
        <v>292.3024977958529</v>
      </c>
      <c r="S16" s="16">
        <f t="shared" ca="1" si="5"/>
        <v>1.4285714285714285E-2</v>
      </c>
      <c r="T16" s="16">
        <f t="shared" ca="1" si="5"/>
        <v>0.01</v>
      </c>
      <c r="U16" s="216">
        <f ca="1">INDEX(INDIRECT("CAM_WTPCore2_"&amp;$B16&amp;"_LevelValues"),1,MATCH("S1 MEAN",WTPCore2_LevelValues,0))</f>
        <v>4.7204807663126298E-2</v>
      </c>
      <c r="V16" s="216">
        <f ca="1">INDEX(INDIRECT("CAM_WTPCore2_"&amp;$B16&amp;"_LevelValues"),1,MATCH("S2 MEAN",WTPCore2_LevelValues,0))</f>
        <v>0.1217094578997745</v>
      </c>
      <c r="W16" s="216">
        <f t="shared" ref="W16:W17" ca="1" si="7">SUM(U16:V16)</f>
        <v>0.16891426556290079</v>
      </c>
      <c r="X16" s="825">
        <f ca="1">E16*(S16-T16)</f>
        <v>45.599999999999994</v>
      </c>
      <c r="Y16" s="579">
        <f t="shared" ref="Y16" ca="1" si="8">INDEX(INDIRECT("CAM_WTPCore_"&amp;$C16&amp;"_UnitValues"),MATCH("COMBINED-HH",WTPCore_Group,0),MATCH("MEAN",LMH,0))</f>
        <v>205.16697061803447</v>
      </c>
      <c r="Z16" s="579">
        <f ca="1">Y16*(S16-T16)*(AllProps_CAM/HHProps_CAM)</f>
        <v>0.94640816326530608</v>
      </c>
      <c r="AA16" s="117">
        <f t="shared" ref="AA16" ca="1" si="9">INDEX(INDIRECT("CAM_WTPCore2_"&amp;$C16&amp;"_UnitValues"),1,MATCH("MEAN",LMH,0))</f>
        <v>36.618057097205678</v>
      </c>
      <c r="AB16" s="579">
        <f ca="1">AA16*($S16-$T16)*(AllProps_CAM/HHProps_CAM)</f>
        <v>0.16891426556290076</v>
      </c>
      <c r="AC16" s="216">
        <f t="shared" ref="AC16:AC17" ca="1" si="10">X16*AA$19/X$18</f>
        <v>2.7792181782580103</v>
      </c>
      <c r="AD16" s="341" t="str">
        <f>Q16</f>
        <v>Property affected</v>
      </c>
      <c r="AE16" s="534">
        <f ca="1">(AC16*HHProps_CAM)/((S16-T16)*AllProps_CAM)</f>
        <v>602.49245140959715</v>
      </c>
    </row>
    <row r="17" spans="1:31" x14ac:dyDescent="0.25">
      <c r="A17" s="9" t="s">
        <v>181</v>
      </c>
      <c r="B17" s="9" t="s">
        <v>269</v>
      </c>
      <c r="C17" s="9" t="s">
        <v>328</v>
      </c>
      <c r="D17" s="514" t="s">
        <v>369</v>
      </c>
      <c r="E17" s="431">
        <f ca="1">INDEX(INDIRECT("ExtWTP_"&amp;$C17&amp;"_UnitValues"),MATCH(A$14, INDIRECT("ExtWTP_Comps_"&amp;C17),0),MATCH("HH",ExtWTP_Group,0))</f>
        <v>511</v>
      </c>
      <c r="F17" s="521">
        <f t="shared" ca="1" si="4"/>
        <v>1.4285714285714285E-2</v>
      </c>
      <c r="G17" s="521">
        <f t="shared" ca="1" si="4"/>
        <v>9.5238095238095247E-3</v>
      </c>
      <c r="H17" s="20">
        <f ca="1">INDEX(INDIRECT("SSW_WTPCore2_"&amp;$B17&amp;"_LevelValues"),1,MATCH("S1 MEAN",WTPCore2_LevelValues,0))</f>
        <v>0.39718669024665654</v>
      </c>
      <c r="I17" s="20">
        <f ca="1">INDEX(INDIRECT("SSW_WTPCore2_"&amp;$B17&amp;"_LevelValues"),1,MATCH("S2 MEAN",WTPCore2_LevelValues,0))</f>
        <v>0.53859352958370721</v>
      </c>
      <c r="J17" s="20">
        <f ca="1">SUM(H17:I17)</f>
        <v>0.93578021983036375</v>
      </c>
      <c r="K17" s="278">
        <f ca="1">E17*(F17-G17)</f>
        <v>2.4333333333333327</v>
      </c>
      <c r="L17" s="579">
        <f ca="1">INDEX(INDIRECT("SSW_WTPCore_DCE_"&amp;$B17&amp;"_UnitValues"),MATCH("COMBINED-HH",WTPCore_Group,0),MATCH("MEAN",LMH,0))</f>
        <v>160.37052631578945</v>
      </c>
      <c r="M17" s="579">
        <f ca="1">L17*($F17-$G17)*(AllProps_SSW/HHProps_SSW)</f>
        <v>0.8148571428571425</v>
      </c>
      <c r="N17" s="117">
        <f ca="1">INDEX(INDIRECT("SSW_WTPCore2_"&amp;$B17&amp;"_UnitValues"),1,MATCH("MEAN",LMH,0))</f>
        <v>184.16917331534088</v>
      </c>
      <c r="O17" s="579">
        <f ca="1">N17*($F17-$G17)*(AllProps_SSW/HHProps_SSW)</f>
        <v>0.93578021983036364</v>
      </c>
      <c r="P17" s="20">
        <f t="shared" ca="1" si="6"/>
        <v>7.1329424658386695E-2</v>
      </c>
      <c r="Q17" s="514" t="s">
        <v>369</v>
      </c>
      <c r="R17" s="534">
        <f ca="1">P17*HHProps_SSW/((F17-G17)*AllProps_SSW)</f>
        <v>14.038212065195564</v>
      </c>
      <c r="S17" s="16">
        <f t="shared" ca="1" si="5"/>
        <v>2.5000000000000001E-2</v>
      </c>
      <c r="T17" s="16">
        <f t="shared" ca="1" si="5"/>
        <v>1.6666666666666666E-2</v>
      </c>
      <c r="U17" s="216">
        <f ca="1">INDEX(INDIRECT("CAM_WTPCore2_"&amp;$B17&amp;"_LevelValues"),1,MATCH("S1 MEAN",WTPCore2_LevelValues,0))</f>
        <v>5.3490671066612649E-2</v>
      </c>
      <c r="V17" s="216">
        <f ca="1">INDEX(INDIRECT("CAM_WTPCore2_"&amp;$B17&amp;"_LevelValues"),1,MATCH("S2 MEAN",WTPCore2_LevelValues,0))</f>
        <v>0.33457681646237136</v>
      </c>
      <c r="W17" s="216">
        <f t="shared" ca="1" si="7"/>
        <v>0.38806748752898401</v>
      </c>
      <c r="X17" s="825">
        <f ca="1">E17*(S17-T17)</f>
        <v>4.2583333333333337</v>
      </c>
      <c r="Y17" s="579">
        <f ca="1">INDEX(INDIRECT("CAM_WTPCore_"&amp;$B17&amp;"_UnitValues"),MATCH("COMBINED-HH",WTPCore_Group,0),MATCH("MEAN",LMH,0))</f>
        <v>27.921526908635794</v>
      </c>
      <c r="Z17" s="579">
        <f ca="1">Y17*($S17-$T17)*(AllProps_CAM/HHProps_CAM)</f>
        <v>0.25044117647058822</v>
      </c>
      <c r="AA17" s="117">
        <f ca="1">INDEX(INDIRECT("CAM_WTPCore2_"&amp;$B17&amp;"_UnitValues"),1,MATCH("MEAN",LMH,0))</f>
        <v>43.265396481954809</v>
      </c>
      <c r="AB17" s="579">
        <f ca="1">AA17*($S17-$T17)*(AllProps_CAM/HHProps_CAM)</f>
        <v>0.38806748752898401</v>
      </c>
      <c r="AC17" s="216">
        <f t="shared" ca="1" si="10"/>
        <v>0.25953590809390414</v>
      </c>
      <c r="AD17" s="341" t="str">
        <f>Q17</f>
        <v>Property affected</v>
      </c>
      <c r="AE17" s="534">
        <f ca="1">(AC17*HHProps_CAM)/((S17-T17)*AllProps_CAM)</f>
        <v>28.935492732171433</v>
      </c>
    </row>
    <row r="18" spans="1:31" x14ac:dyDescent="0.25">
      <c r="D18" s="514"/>
      <c r="E18" s="431"/>
      <c r="F18" s="20"/>
      <c r="G18" s="20"/>
      <c r="H18" s="20"/>
      <c r="I18" s="20"/>
      <c r="J18" s="445">
        <f ca="1">SUM(J15:J17)</f>
        <v>5.4044315585085911</v>
      </c>
      <c r="K18" s="446">
        <f ca="1">SUM(K15:K17)</f>
        <v>137.67777777777778</v>
      </c>
      <c r="L18" s="446"/>
      <c r="M18" s="446">
        <f ca="1">SUM(M15:M17)</f>
        <v>2.6325249316825747</v>
      </c>
      <c r="N18" s="446"/>
      <c r="O18" s="446">
        <f ca="1">SUM(O15:O17)</f>
        <v>5.4390997344550485</v>
      </c>
      <c r="P18" s="445">
        <f ca="1">SUM(P15:P17)</f>
        <v>4.0358123330688116</v>
      </c>
      <c r="Q18" s="265"/>
      <c r="R18" s="834"/>
      <c r="S18" s="216"/>
      <c r="T18" s="216"/>
      <c r="U18" s="216"/>
      <c r="V18" s="216"/>
      <c r="W18" s="52">
        <f ca="1">SUM(W15:W17)</f>
        <v>5.0145120682992701</v>
      </c>
      <c r="X18" s="531">
        <f ca="1">SUM(X15:X17)</f>
        <v>69.379700854700857</v>
      </c>
      <c r="Y18" s="532"/>
      <c r="Z18" s="532">
        <f ca="1">SUM(Z15:Z17)</f>
        <v>3.4425636254501799</v>
      </c>
      <c r="AA18" s="532"/>
      <c r="AB18" s="287">
        <f ca="1">SUM(AB15:AB17)</f>
        <v>5.0145120682992701</v>
      </c>
      <c r="AC18" s="52">
        <f ca="1">SUM(AC15:AC17)</f>
        <v>4.2285378468747243</v>
      </c>
      <c r="AE18" s="534"/>
    </row>
    <row r="19" spans="1:31" x14ac:dyDescent="0.25">
      <c r="A19" s="60"/>
      <c r="B19" s="60"/>
      <c r="C19" s="60"/>
      <c r="D19" s="516"/>
      <c r="E19" s="523"/>
      <c r="F19" s="524"/>
      <c r="G19" s="524"/>
      <c r="H19" s="524"/>
      <c r="I19" s="524"/>
      <c r="J19" s="524"/>
      <c r="K19" s="45"/>
      <c r="L19" s="45"/>
      <c r="M19" s="45" t="s">
        <v>997</v>
      </c>
      <c r="N19" s="737">
        <f ca="1">AVERAGE(M18,O18)</f>
        <v>4.0358123330688116</v>
      </c>
      <c r="O19" s="45"/>
      <c r="P19" s="45"/>
      <c r="Q19" s="114"/>
      <c r="R19" s="629"/>
      <c r="S19" s="44"/>
      <c r="T19" s="44"/>
      <c r="U19" s="44"/>
      <c r="V19" s="44"/>
      <c r="W19" s="44"/>
      <c r="X19" s="533"/>
      <c r="Y19" s="533"/>
      <c r="Z19" s="533" t="s">
        <v>997</v>
      </c>
      <c r="AA19" s="737">
        <f ca="1">AVERAGE(Z18,AB18)</f>
        <v>4.2285378468747252</v>
      </c>
      <c r="AB19" s="533"/>
      <c r="AC19" s="45"/>
      <c r="AD19" s="114"/>
      <c r="AE19" s="535"/>
    </row>
    <row r="20" spans="1:31" x14ac:dyDescent="0.25">
      <c r="A20" s="237" t="s">
        <v>175</v>
      </c>
      <c r="B20" s="237"/>
      <c r="C20" s="62"/>
      <c r="D20" s="515"/>
      <c r="E20" s="522"/>
      <c r="F20" s="448"/>
      <c r="G20" s="448"/>
      <c r="H20" s="497"/>
      <c r="I20" s="497"/>
      <c r="J20" s="497"/>
      <c r="K20" s="54"/>
      <c r="L20" s="54"/>
      <c r="M20" s="54"/>
      <c r="N20" s="54"/>
      <c r="O20" s="54"/>
      <c r="P20" s="54"/>
      <c r="Q20" s="912"/>
      <c r="R20" s="630"/>
      <c r="S20" s="54"/>
      <c r="T20" s="54"/>
      <c r="U20" s="53"/>
      <c r="V20" s="53"/>
      <c r="W20" s="53"/>
      <c r="X20" s="531"/>
      <c r="Y20" s="531"/>
      <c r="Z20" s="531"/>
      <c r="AA20" s="531"/>
      <c r="AB20" s="531"/>
      <c r="AC20" s="54"/>
      <c r="AE20" s="536"/>
    </row>
    <row r="21" spans="1:31" x14ac:dyDescent="0.25">
      <c r="A21" s="9" t="s">
        <v>25</v>
      </c>
      <c r="B21" s="9" t="s">
        <v>266</v>
      </c>
      <c r="C21" s="9" t="str">
        <f>B21</f>
        <v>Discolour</v>
      </c>
      <c r="D21" s="514" t="s">
        <v>369</v>
      </c>
      <c r="E21" s="431">
        <f ca="1">INDEX(INDIRECT("ExtWTP_"&amp;$C21&amp;"_UnitValues"),MATCH(A$20, INDIRECT("ExtWTP_Comps_"&amp;C21),0),MATCH("HH",ExtWTP_Group,0))</f>
        <v>15061</v>
      </c>
      <c r="F21" s="521">
        <f t="shared" ref="F21:G23" ca="1" si="11">INDEX(INDIRECT("SSW_WTPCore2_"&amp;$B21&amp;"_Levels"),1,MATCH(F$4,WTPCore2_AttLevels,0))</f>
        <v>6.6666666666666666E-2</v>
      </c>
      <c r="G21" s="521">
        <f t="shared" ca="1" si="11"/>
        <v>0.04</v>
      </c>
      <c r="H21" s="20">
        <f ca="1">INDEX(INDIRECT("SSW_WTPCore2_"&amp;$B21&amp;"_LevelValues"),1,MATCH("S1 MEAN",WTPCore2_LevelValues,0))</f>
        <v>3.3679929677046498</v>
      </c>
      <c r="I21" s="20">
        <f ca="1">INDEX(INDIRECT("SSW_WTPCore2_"&amp;$B21&amp;"_LevelValues"),1,MATCH("S2 MEAN",WTPCore2_LevelValues,0))</f>
        <v>0.60669022375558512</v>
      </c>
      <c r="J21" s="20">
        <f ca="1">SUM(H21:I21)</f>
        <v>3.974683191460235</v>
      </c>
      <c r="K21" s="278">
        <f ca="1">E21*(F21-G21)</f>
        <v>401.62666666666667</v>
      </c>
      <c r="L21" s="579">
        <f ca="1">INDEX(INDIRECT("SSW_WTPCore_DCE_"&amp;$C21&amp;"_UnitValues"),MATCH("COMBINED-HH",WTPCore_Group,0),MATCH("MEAN",LMH,0))</f>
        <v>27.809917858229387</v>
      </c>
      <c r="M21" s="579">
        <f ca="1">L21*(F21-G21)*(AllProps_CAM/HHProps_CAM)</f>
        <v>0.79820832936597319</v>
      </c>
      <c r="N21" s="117">
        <f ca="1">INDEX(INDIRECT("SSW_WTPCore2_"&amp;$C21&amp;"_UnitValues"),1,MATCH("MEAN",LMH,0))</f>
        <v>139.68750774741403</v>
      </c>
      <c r="O21" s="579">
        <f ca="1">N21*($F21-$G21)*(AllProps_CAM/HHProps_CAM)</f>
        <v>4.0093513674066923</v>
      </c>
      <c r="P21" s="20">
        <f ca="1">K21*N$25/K$24</f>
        <v>3.1807021499917436</v>
      </c>
      <c r="Q21" s="514" t="s">
        <v>369</v>
      </c>
      <c r="R21" s="534">
        <f ca="1">P21*HHProps_SSW/((F21-G21)*AllProps_SSW)</f>
        <v>111.78358999122088</v>
      </c>
      <c r="S21" s="16">
        <f t="shared" ref="S21:T23" ca="1" si="12">INDEX(INDIRECT("CAM_WTPCore2_"&amp;$B21&amp;"_Levels"),1,MATCH(S$4,WTPCore2_AttLevels,0))</f>
        <v>2.2222222222222223E-2</v>
      </c>
      <c r="T21" s="16">
        <f t="shared" ca="1" si="12"/>
        <v>1.5384615384615385E-2</v>
      </c>
      <c r="U21" s="216">
        <f ca="1">INDEX(INDIRECT("CAM_WTPCore2_"&amp;$B21&amp;"_LevelValues"),1,MATCH("S1 MEAN",WTPCore2_LevelValues,0))</f>
        <v>3.1155463151224057</v>
      </c>
      <c r="V21" s="216">
        <f ca="1">INDEX(INDIRECT("CAM_WTPCore2_"&amp;$B21&amp;"_LevelValues"),1,MATCH("S2 MEAN",WTPCore2_LevelValues,0))</f>
        <v>1.3419840000849801</v>
      </c>
      <c r="W21" s="216">
        <f ca="1">SUM(U21:V21)</f>
        <v>4.4575303152073857</v>
      </c>
      <c r="X21" s="825">
        <f ca="1">E21*(S21-T21)</f>
        <v>102.98119658119658</v>
      </c>
      <c r="Y21" s="579">
        <f ca="1">INDEX(INDIRECT("CAM_WTPCore_"&amp;$C21&amp;"_UnitValues"),MATCH("COMBINED-HH",WTPCore_Group,0),MATCH("MEAN",LMH,0))</f>
        <v>305.14240121580548</v>
      </c>
      <c r="Z21" s="579">
        <f ca="1">Y21*($S21-$T21)*(AllProps_CAM/HHProps_CAM)</f>
        <v>2.2457142857142856</v>
      </c>
      <c r="AA21" s="117">
        <f ca="1">INDEX(INDIRECT("CAM_WTPCore2_"&amp;$C21&amp;"_UnitValues"),1,MATCH("MEAN",LMH,0))</f>
        <v>605.67878671262065</v>
      </c>
      <c r="AB21" s="579">
        <f ca="1">AA21*($S21-$T21)*(AllProps_CAM/HHProps_CAM)</f>
        <v>4.4575303152073857</v>
      </c>
      <c r="AC21" s="216">
        <f ca="1">X21*AA$25/X$24</f>
        <v>2.2633721777413527</v>
      </c>
      <c r="AD21" s="341" t="str">
        <f>Q21</f>
        <v>Property affected</v>
      </c>
      <c r="AE21" s="534">
        <f ca="1">(AC21*HHProps_CAM)/((S21-T21)*AllProps_CAM)</f>
        <v>307.54171425746199</v>
      </c>
    </row>
    <row r="22" spans="1:31" x14ac:dyDescent="0.25">
      <c r="A22" s="9" t="s">
        <v>117</v>
      </c>
      <c r="B22" s="9" t="s">
        <v>265</v>
      </c>
      <c r="C22" s="9" t="str">
        <f>B22</f>
        <v>TasteSmell</v>
      </c>
      <c r="D22" s="514" t="s">
        <v>369</v>
      </c>
      <c r="E22" s="431">
        <f ca="1">INDEX(INDIRECT("ExtWTP_"&amp;$C22&amp;"_UnitValues"),MATCH(A$20, INDIRECT("ExtWTP_Comps_"&amp;C22),0),MATCH("HH",ExtWTP_Group,0))</f>
        <v>18310</v>
      </c>
      <c r="F22" s="521">
        <f t="shared" ca="1" si="11"/>
        <v>1.6666666666666666E-2</v>
      </c>
      <c r="G22" s="521">
        <f t="shared" ca="1" si="11"/>
        <v>1.1111111111111112E-2</v>
      </c>
      <c r="H22" s="20">
        <f ca="1">INDEX(INDIRECT("SSW_WTPCore2_"&amp;$B22&amp;"_LevelValues"),1,MATCH("S1 MEAN",WTPCore2_LevelValues,0))</f>
        <v>0.30818609087835352</v>
      </c>
      <c r="I22" s="20">
        <f ca="1">INDEX(INDIRECT("SSW_WTPCore2_"&amp;$B22&amp;"_LevelValues"),1,MATCH("S2 MEAN",WTPCore2_LevelValues,0))</f>
        <v>0.18578205633963885</v>
      </c>
      <c r="J22" s="20">
        <f ca="1">SUM(H22:I22)</f>
        <v>0.49396814721799237</v>
      </c>
      <c r="K22" s="278">
        <f ca="1">E22*(F22-G22)</f>
        <v>101.72222222222221</v>
      </c>
      <c r="L22" s="579">
        <f ca="1">INDEX(INDIRECT("SSW_WTPCore_DCE_"&amp;$B22&amp;"_UnitValues"),MATCH("COMBINED-HH",WTPCore_Group,0),MATCH("MEAN",LMH,0))</f>
        <v>171.97536823750744</v>
      </c>
      <c r="M22" s="579">
        <f ca="1">L22*($F22-$G22)*(AllProps_SSW/HHProps_SSW)</f>
        <v>1.0194594594594593</v>
      </c>
      <c r="N22" s="117">
        <f ca="1">INDEX(INDIRECT("SSW_WTPCore2_"&amp;$B22&amp;"_UnitValues"),1,MATCH("MEAN",LMH,0))</f>
        <v>83.328820216603944</v>
      </c>
      <c r="O22" s="579">
        <f ca="1">N22*($F22-$G22)*(AllProps_SSW/HHProps_SSW)</f>
        <v>0.49396814721799231</v>
      </c>
      <c r="P22" s="20">
        <f t="shared" ref="P22:P23" ca="1" si="13">K22*N$25/K$24</f>
        <v>0.80559414445627819</v>
      </c>
      <c r="Q22" s="514" t="s">
        <v>369</v>
      </c>
      <c r="R22" s="534">
        <f ca="1">P22*HHProps_SSW/((F22-G22)*AllProps_SSW)</f>
        <v>135.89785092220004</v>
      </c>
      <c r="S22" s="16">
        <f t="shared" ca="1" si="12"/>
        <v>1.4285714285714285E-2</v>
      </c>
      <c r="T22" s="16">
        <f t="shared" ca="1" si="12"/>
        <v>0.01</v>
      </c>
      <c r="U22" s="216">
        <f ca="1">INDEX(INDIRECT("CAM_WTPCore2_"&amp;$B22&amp;"_LevelValues"),1,MATCH("S1 MEAN",WTPCore2_LevelValues,0))</f>
        <v>4.7204807663126298E-2</v>
      </c>
      <c r="V22" s="216">
        <f ca="1">INDEX(INDIRECT("CAM_WTPCore2_"&amp;$B22&amp;"_LevelValues"),1,MATCH("S2 MEAN",WTPCore2_LevelValues,0))</f>
        <v>0.1217094578997745</v>
      </c>
      <c r="W22" s="216">
        <f t="shared" ref="W22:W23" ca="1" si="14">SUM(U22:V22)</f>
        <v>0.16891426556290079</v>
      </c>
      <c r="X22" s="825">
        <f ca="1">E22*(S22-T22)</f>
        <v>78.471428571428561</v>
      </c>
      <c r="Y22" s="579">
        <f t="shared" ref="Y22" ca="1" si="15">INDEX(INDIRECT("CAM_WTPCore_"&amp;$C22&amp;"_UnitValues"),MATCH("COMBINED-HH",WTPCore_Group,0),MATCH("MEAN",LMH,0))</f>
        <v>205.16697061803447</v>
      </c>
      <c r="Z22" s="579">
        <f ca="1">Y22*(S22-T22)*(AllProps_CAM/HHProps_CAM)</f>
        <v>0.94640816326530608</v>
      </c>
      <c r="AA22" s="117">
        <f t="shared" ref="AA22" ca="1" si="16">INDEX(INDIRECT("CAM_WTPCore2_"&amp;$C22&amp;"_UnitValues"),1,MATCH("MEAN",LMH,0))</f>
        <v>36.618057097205678</v>
      </c>
      <c r="AB22" s="579">
        <f ca="1">AA22*($S22-$T22)*(AllProps_CAM/HHProps_CAM)</f>
        <v>0.16891426556290076</v>
      </c>
      <c r="AC22" s="216">
        <f t="shared" ref="AC22:AC23" ca="1" si="17">X22*AA$25/X$24</f>
        <v>1.7246842537525848</v>
      </c>
      <c r="AD22" s="341" t="str">
        <f>Q22</f>
        <v>Property affected</v>
      </c>
      <c r="AE22" s="534">
        <f ca="1">(AC22*HHProps_CAM)/((S22-T22)*AllProps_CAM)</f>
        <v>373.88545170002845</v>
      </c>
    </row>
    <row r="23" spans="1:31" x14ac:dyDescent="0.25">
      <c r="A23" s="9" t="s">
        <v>181</v>
      </c>
      <c r="B23" s="9" t="s">
        <v>269</v>
      </c>
      <c r="C23" s="9" t="s">
        <v>328</v>
      </c>
      <c r="D23" s="514" t="s">
        <v>369</v>
      </c>
      <c r="E23" s="431">
        <f ca="1">INDEX(INDIRECT("ExtWTP_"&amp;$C23&amp;"_UnitValues"),MATCH(A$20, INDIRECT("ExtWTP_Comps_"&amp;C23),0),MATCH("HH",ExtWTP_Group,0))</f>
        <v>1313</v>
      </c>
      <c r="F23" s="521">
        <f t="shared" ca="1" si="11"/>
        <v>1.4285714285714285E-2</v>
      </c>
      <c r="G23" s="521">
        <f t="shared" ca="1" si="11"/>
        <v>9.5238095238095247E-3</v>
      </c>
      <c r="H23" s="20">
        <f ca="1">INDEX(INDIRECT("SSW_WTPCore2_"&amp;$B23&amp;"_LevelValues"),1,MATCH("S1 MEAN",WTPCore2_LevelValues,0))</f>
        <v>0.39718669024665654</v>
      </c>
      <c r="I23" s="20">
        <f ca="1">INDEX(INDIRECT("SSW_WTPCore2_"&amp;$B23&amp;"_LevelValues"),1,MATCH("S2 MEAN",WTPCore2_LevelValues,0))</f>
        <v>0.53859352958370721</v>
      </c>
      <c r="J23" s="20">
        <f ca="1">SUM(H23:I23)</f>
        <v>0.93578021983036375</v>
      </c>
      <c r="K23" s="278">
        <f ca="1">E23*(F23-G23)</f>
        <v>6.2523809523809506</v>
      </c>
      <c r="L23" s="579">
        <f ca="1">INDEX(INDIRECT("SSW_WTPCore_DCE_"&amp;$B23&amp;"_UnitValues"),MATCH("COMBINED-HH",WTPCore_Group,0),MATCH("MEAN",LMH,0))</f>
        <v>160.37052631578945</v>
      </c>
      <c r="M23" s="579">
        <f ca="1">L23*($F23-$G23)*(AllProps_SSW/HHProps_SSW)</f>
        <v>0.8148571428571425</v>
      </c>
      <c r="N23" s="117">
        <f ca="1">INDEX(INDIRECT("SSW_WTPCore2_"&amp;$B23&amp;"_UnitValues"),1,MATCH("MEAN",LMH,0))</f>
        <v>184.16917331534088</v>
      </c>
      <c r="O23" s="579">
        <f ca="1">N23*($F23-$G23)*(AllProps_SSW/HHProps_SSW)</f>
        <v>0.93578021983036364</v>
      </c>
      <c r="P23" s="20">
        <f t="shared" ca="1" si="13"/>
        <v>4.9516038620789245E-2</v>
      </c>
      <c r="Q23" s="514" t="s">
        <v>369</v>
      </c>
      <c r="R23" s="534">
        <f ca="1">P23*HHProps_SSW/((F23-G23)*AllProps_SSW)</f>
        <v>9.7451599268622928</v>
      </c>
      <c r="S23" s="16">
        <f t="shared" ca="1" si="12"/>
        <v>2.5000000000000001E-2</v>
      </c>
      <c r="T23" s="16">
        <f t="shared" ca="1" si="12"/>
        <v>1.6666666666666666E-2</v>
      </c>
      <c r="U23" s="216">
        <f ca="1">INDEX(INDIRECT("CAM_WTPCore2_"&amp;$B23&amp;"_LevelValues"),1,MATCH("S1 MEAN",WTPCore2_LevelValues,0))</f>
        <v>5.3490671066612649E-2</v>
      </c>
      <c r="V23" s="216">
        <f ca="1">INDEX(INDIRECT("CAM_WTPCore2_"&amp;$B23&amp;"_LevelValues"),1,MATCH("S2 MEAN",WTPCore2_LevelValues,0))</f>
        <v>0.33457681646237136</v>
      </c>
      <c r="W23" s="216">
        <f t="shared" ca="1" si="14"/>
        <v>0.38806748752898401</v>
      </c>
      <c r="X23" s="825">
        <f ca="1">E23*(S23-T23)</f>
        <v>10.941666666666668</v>
      </c>
      <c r="Y23" s="579">
        <f ca="1">INDEX(INDIRECT("CAM_WTPCore_"&amp;$B23&amp;"_UnitValues"),MATCH("COMBINED-HH",WTPCore_Group,0),MATCH("MEAN",LMH,0))</f>
        <v>27.921526908635794</v>
      </c>
      <c r="Z23" s="579">
        <f ca="1">Y23*($S23-$T23)*(AllProps_CAM/HHProps_CAM)</f>
        <v>0.25044117647058822</v>
      </c>
      <c r="AA23" s="117">
        <f ca="1">INDEX(INDIRECT("CAM_WTPCore2_"&amp;$B23&amp;"_UnitValues"),1,MATCH("MEAN",LMH,0))</f>
        <v>43.265396481954809</v>
      </c>
      <c r="AB23" s="579">
        <f ca="1">AA23*($S23-$T23)*(AllProps_CAM/HHProps_CAM)</f>
        <v>0.38806748752898401</v>
      </c>
      <c r="AC23" s="216">
        <f t="shared" ca="1" si="17"/>
        <v>0.24048141538078782</v>
      </c>
      <c r="AD23" s="341" t="str">
        <f>Q23</f>
        <v>Property affected</v>
      </c>
      <c r="AE23" s="534">
        <f ca="1">(AC23*HHProps_CAM)/((S23-T23)*AllProps_CAM)</f>
        <v>26.811119502028252</v>
      </c>
    </row>
    <row r="24" spans="1:31" x14ac:dyDescent="0.25">
      <c r="D24" s="514"/>
      <c r="E24" s="431"/>
      <c r="F24" s="20"/>
      <c r="G24" s="20"/>
      <c r="H24" s="20"/>
      <c r="I24" s="20"/>
      <c r="J24" s="445">
        <f ca="1">SUM(J21:J23)</f>
        <v>5.4044315585085911</v>
      </c>
      <c r="K24" s="446">
        <f ca="1">SUM(K21:K23)</f>
        <v>509.60126984126987</v>
      </c>
      <c r="L24" s="446"/>
      <c r="M24" s="446">
        <f ca="1">SUM(M21:M23)</f>
        <v>2.6325249316825747</v>
      </c>
      <c r="N24" s="446"/>
      <c r="O24" s="446">
        <f ca="1">SUM(O21:O23)</f>
        <v>5.4390997344550485</v>
      </c>
      <c r="P24" s="445">
        <f ca="1">SUM(P21:P23)</f>
        <v>4.0358123330688107</v>
      </c>
      <c r="Q24" s="265"/>
      <c r="R24" s="834"/>
      <c r="S24" s="216"/>
      <c r="T24" s="216"/>
      <c r="U24" s="216"/>
      <c r="V24" s="216"/>
      <c r="W24" s="52">
        <f ca="1">SUM(W21:W23)</f>
        <v>5.0145120682992701</v>
      </c>
      <c r="X24" s="531">
        <f ca="1">SUM(X21:X23)</f>
        <v>192.39429181929182</v>
      </c>
      <c r="Y24" s="532"/>
      <c r="Z24" s="532">
        <f ca="1">SUM(Z21:Z23)</f>
        <v>3.4425636254501799</v>
      </c>
      <c r="AA24" s="532"/>
      <c r="AB24" s="287">
        <f ca="1">SUM(AB21:AB23)</f>
        <v>5.0145120682992701</v>
      </c>
      <c r="AC24" s="52">
        <f ca="1">SUM(AC21:AC23)</f>
        <v>4.2285378468747252</v>
      </c>
      <c r="AE24" s="534"/>
    </row>
    <row r="25" spans="1:31" x14ac:dyDescent="0.25">
      <c r="A25" s="60"/>
      <c r="B25" s="60"/>
      <c r="C25" s="60"/>
      <c r="D25" s="516"/>
      <c r="E25" s="523"/>
      <c r="F25" s="524"/>
      <c r="G25" s="524"/>
      <c r="H25" s="524"/>
      <c r="I25" s="524"/>
      <c r="J25" s="524"/>
      <c r="K25" s="31"/>
      <c r="L25" s="31"/>
      <c r="M25" s="45" t="s">
        <v>997</v>
      </c>
      <c r="N25" s="737">
        <f ca="1">AVERAGE(M24,O24)</f>
        <v>4.0358123330688116</v>
      </c>
      <c r="O25" s="45"/>
      <c r="P25" s="15"/>
      <c r="Q25" s="60"/>
      <c r="R25" s="629"/>
      <c r="S25" s="17"/>
      <c r="T25" s="17"/>
      <c r="U25" s="17"/>
      <c r="V25" s="17"/>
      <c r="W25" s="17"/>
      <c r="X25" s="31"/>
      <c r="Y25" s="31"/>
      <c r="Z25" s="533" t="s">
        <v>997</v>
      </c>
      <c r="AA25" s="737">
        <f ca="1">AVERAGE(Z24,AB24)</f>
        <v>4.2285378468747252</v>
      </c>
      <c r="AB25" s="533"/>
      <c r="AC25" s="15"/>
      <c r="AD25" s="60"/>
      <c r="AE25" s="535"/>
    </row>
    <row r="26" spans="1:31" x14ac:dyDescent="0.25">
      <c r="A26" s="61" t="s">
        <v>164</v>
      </c>
      <c r="B26" s="237"/>
      <c r="D26" s="515"/>
      <c r="E26" s="522"/>
      <c r="F26" s="448"/>
      <c r="G26" s="448"/>
      <c r="H26" s="497"/>
      <c r="I26" s="497"/>
      <c r="J26" s="497"/>
      <c r="K26" s="531"/>
      <c r="L26" s="531"/>
      <c r="M26" s="531"/>
      <c r="N26" s="531"/>
      <c r="O26" s="531"/>
      <c r="P26" s="54"/>
      <c r="Q26" s="912"/>
      <c r="R26" s="630"/>
      <c r="S26" s="54"/>
      <c r="T26" s="54"/>
      <c r="U26" s="53"/>
      <c r="V26" s="53"/>
      <c r="W26" s="53"/>
      <c r="X26" s="531"/>
      <c r="Y26" s="531"/>
      <c r="Z26" s="531"/>
      <c r="AA26" s="531"/>
      <c r="AB26" s="531"/>
      <c r="AC26" s="54"/>
      <c r="AE26" s="536"/>
    </row>
    <row r="27" spans="1:31" x14ac:dyDescent="0.25">
      <c r="A27" s="9" t="s">
        <v>25</v>
      </c>
      <c r="B27" s="9" t="s">
        <v>266</v>
      </c>
      <c r="C27" s="9" t="str">
        <f>B27</f>
        <v>Discolour</v>
      </c>
      <c r="D27" s="514" t="s">
        <v>369</v>
      </c>
      <c r="E27" s="431">
        <f ca="1">INDEX(INDIRECT("ExtWTP_"&amp;$C27&amp;"_UnitValues"),MATCH(A$26, INDIRECT("ExtWTP_Comps_"&amp;C27),0),MATCH("HH",ExtWTP_Group,0))</f>
        <v>126</v>
      </c>
      <c r="F27" s="521">
        <f t="shared" ref="F27:G29" ca="1" si="18">INDEX(INDIRECT("SSW_WTPCore2_"&amp;$B27&amp;"_Levels"),1,MATCH(F$4,WTPCore2_AttLevels,0))</f>
        <v>6.6666666666666666E-2</v>
      </c>
      <c r="G27" s="521">
        <f t="shared" ca="1" si="18"/>
        <v>0.04</v>
      </c>
      <c r="H27" s="20">
        <f ca="1">INDEX(INDIRECT("SSW_WTPCore2_"&amp;$B27&amp;"_LevelValues"),1,MATCH("S1 MEAN",WTPCore2_LevelValues,0))</f>
        <v>3.3679929677046498</v>
      </c>
      <c r="I27" s="20">
        <f ca="1">INDEX(INDIRECT("SSW_WTPCore2_"&amp;$B27&amp;"_LevelValues"),1,MATCH("S2 MEAN",WTPCore2_LevelValues,0))</f>
        <v>0.60669022375558512</v>
      </c>
      <c r="J27" s="20">
        <f ca="1">SUM(H27:I27)</f>
        <v>3.974683191460235</v>
      </c>
      <c r="K27" s="278">
        <f ca="1">E27*(F27-G27)</f>
        <v>3.36</v>
      </c>
      <c r="L27" s="579">
        <f ca="1">INDEX(INDIRECT("SSW_WTPCore_DCE_"&amp;$C27&amp;"_UnitValues"),MATCH("COMBINED-HH",WTPCore_Group,0),MATCH("MEAN",LMH,0))</f>
        <v>27.809917858229387</v>
      </c>
      <c r="M27" s="579">
        <f ca="1">L27*(F27-G27)*(AllProps_CAM/HHProps_CAM)</f>
        <v>0.79820832936597319</v>
      </c>
      <c r="N27" s="117">
        <f ca="1">INDEX(INDIRECT("SSW_WTPCore2_"&amp;$C27&amp;"_UnitValues"),1,MATCH("MEAN",LMH,0))</f>
        <v>139.68750774741403</v>
      </c>
      <c r="O27" s="579">
        <f ca="1">N27*($F27-$G27)*(AllProps_CAM/HHProps_CAM)</f>
        <v>4.0093513674066923</v>
      </c>
      <c r="P27" s="20">
        <f ca="1">K27*N$31/K$30</f>
        <v>2.0245020346742475</v>
      </c>
      <c r="Q27" s="514" t="s">
        <v>369</v>
      </c>
      <c r="R27" s="534">
        <f ca="1">P27*HHProps_SSW/((F27-G27)*AllProps_SSW)</f>
        <v>71.149731948653525</v>
      </c>
      <c r="S27" s="16">
        <f t="shared" ref="S27:T29" ca="1" si="19">INDEX(INDIRECT("CAM_WTPCore2_"&amp;$B27&amp;"_Levels"),1,MATCH(S$4,WTPCore2_AttLevels,0))</f>
        <v>2.2222222222222223E-2</v>
      </c>
      <c r="T27" s="16">
        <f t="shared" ca="1" si="19"/>
        <v>1.5384615384615385E-2</v>
      </c>
      <c r="U27" s="216">
        <f ca="1">INDEX(INDIRECT("CAM_WTPCore2_"&amp;$B27&amp;"_LevelValues"),1,MATCH("S1 MEAN",WTPCore2_LevelValues,0))</f>
        <v>3.1155463151224057</v>
      </c>
      <c r="V27" s="216">
        <f ca="1">INDEX(INDIRECT("CAM_WTPCore2_"&amp;$B27&amp;"_LevelValues"),1,MATCH("S2 MEAN",WTPCore2_LevelValues,0))</f>
        <v>1.3419840000849801</v>
      </c>
      <c r="W27" s="216">
        <f ca="1">SUM(U27:V27)</f>
        <v>4.4575303152073857</v>
      </c>
      <c r="X27" s="825">
        <f ca="1">E27*(S27-T27)</f>
        <v>0.86153846153846159</v>
      </c>
      <c r="Y27" s="579">
        <f ca="1">INDEX(INDIRECT("CAM_WTPCore_"&amp;$C27&amp;"_UnitValues"),MATCH("COMBINED-HH",WTPCore_Group,0),MATCH("MEAN",LMH,0))</f>
        <v>305.14240121580548</v>
      </c>
      <c r="Z27" s="579">
        <f ca="1">Y27*($S27-$T27)*(AllProps_CAM/HHProps_CAM)</f>
        <v>2.2457142857142856</v>
      </c>
      <c r="AA27" s="117">
        <f ca="1">INDEX(INDIRECT("CAM_WTPCore2_"&amp;$C27&amp;"_UnitValues"),1,MATCH("MEAN",LMH,0))</f>
        <v>605.67878671262065</v>
      </c>
      <c r="AB27" s="579">
        <f ca="1">AA27*($S27-$T27)*(AllProps_CAM/HHProps_CAM)</f>
        <v>4.4575303152073857</v>
      </c>
      <c r="AC27" s="216">
        <f ca="1">X27*AA$31/X$30</f>
        <v>0.93544352454388424</v>
      </c>
      <c r="AD27" s="341" t="str">
        <f>Q27</f>
        <v>Property affected</v>
      </c>
      <c r="AE27" s="534">
        <f ca="1">(AC27*HHProps_CAM)/((S27-T27)*AllProps_CAM)</f>
        <v>127.10587677911448</v>
      </c>
    </row>
    <row r="28" spans="1:31" x14ac:dyDescent="0.25">
      <c r="A28" s="9" t="s">
        <v>180</v>
      </c>
      <c r="B28" s="9" t="s">
        <v>269</v>
      </c>
      <c r="C28" s="9" t="s">
        <v>331</v>
      </c>
      <c r="D28" s="514" t="s">
        <v>369</v>
      </c>
      <c r="E28" s="431">
        <f ca="1">INDEX(INDIRECT("ExtWTP_"&amp;$C28&amp;"_UnitValues"),MATCH(A$26, INDIRECT("ExtWTP_Comps_"&amp;C28),0),MATCH("HH",ExtWTP_Group,0))</f>
        <v>416</v>
      </c>
      <c r="F28" s="521">
        <f t="shared" ca="1" si="18"/>
        <v>1.4285714285714285E-2</v>
      </c>
      <c r="G28" s="521">
        <f t="shared" ca="1" si="18"/>
        <v>9.5238095238095247E-3</v>
      </c>
      <c r="H28" s="20">
        <f ca="1">INDEX(INDIRECT("SSW_WTPCore2_"&amp;$B28&amp;"_LevelValues"),1,MATCH("S1 MEAN",WTPCore2_LevelValues,0))</f>
        <v>0.39718669024665654</v>
      </c>
      <c r="I28" s="20">
        <f ca="1">INDEX(INDIRECT("SSW_WTPCore2_"&amp;$B28&amp;"_LevelValues"),1,MATCH("S2 MEAN",WTPCore2_LevelValues,0))</f>
        <v>0.53859352958370721</v>
      </c>
      <c r="J28" s="20">
        <f ca="1">SUM(H28:I28)</f>
        <v>0.93578021983036375</v>
      </c>
      <c r="K28" s="278">
        <f ca="1">E28*(F28-G28)</f>
        <v>1.9809523809523804</v>
      </c>
      <c r="L28" s="579">
        <f ca="1">INDEX(INDIRECT("SSW_WTPCore_DCE_"&amp;$B28&amp;"_UnitValues"),MATCH("COMBINED-HH",WTPCore_Group,0),MATCH("MEAN",LMH,0))</f>
        <v>160.37052631578945</v>
      </c>
      <c r="M28" s="579">
        <f ca="1">L28*($F28-$G28)*(AllProps_SSW/HHProps_SSW)</f>
        <v>0.8148571428571425</v>
      </c>
      <c r="N28" s="117">
        <f ca="1">INDEX(INDIRECT("SSW_WTPCore2_"&amp;$B28&amp;"_UnitValues"),1,MATCH("MEAN",LMH,0))</f>
        <v>184.16917331534088</v>
      </c>
      <c r="O28" s="579">
        <f ca="1">N28*($F28-$G28)*(AllProps_SSW/HHProps_SSW)</f>
        <v>0.93578021983036364</v>
      </c>
      <c r="P28" s="20">
        <f t="shared" ref="P28:P29" ca="1" si="20">K28*N$31/K$30</f>
        <v>1.1935839660210981</v>
      </c>
      <c r="Q28" s="514" t="s">
        <v>369</v>
      </c>
      <c r="R28" s="534">
        <f ca="1">P28*HHProps_SSW/((F28-G28)*AllProps_SSW)</f>
        <v>234.90705151301481</v>
      </c>
      <c r="S28" s="16">
        <f t="shared" ca="1" si="19"/>
        <v>2.5000000000000001E-2</v>
      </c>
      <c r="T28" s="16">
        <f t="shared" ca="1" si="19"/>
        <v>1.6666666666666666E-2</v>
      </c>
      <c r="U28" s="216">
        <f ca="1">INDEX(INDIRECT("CAM_WTPCore2_"&amp;$B28&amp;"_LevelValues"),1,MATCH("S1 MEAN",WTPCore2_LevelValues,0))</f>
        <v>5.3490671066612649E-2</v>
      </c>
      <c r="V28" s="216">
        <f ca="1">INDEX(INDIRECT("CAM_WTPCore2_"&amp;$B28&amp;"_LevelValues"),1,MATCH("S2 MEAN",WTPCore2_LevelValues,0))</f>
        <v>0.33457681646237136</v>
      </c>
      <c r="W28" s="216">
        <f t="shared" ref="W28:W29" ca="1" si="21">SUM(U28:V28)</f>
        <v>0.38806748752898401</v>
      </c>
      <c r="X28" s="825">
        <f ca="1">E28*(S28-T28)</f>
        <v>3.4666666666666672</v>
      </c>
      <c r="Y28" s="579">
        <f ca="1">INDEX(INDIRECT("CAM_WTPCore_"&amp;$B28&amp;"_UnitValues"),MATCH("COMBINED-HH",WTPCore_Group,0),MATCH("MEAN",LMH,0))</f>
        <v>27.921526908635794</v>
      </c>
      <c r="Z28" s="579">
        <f ca="1">Y28*($S28-$T28)*(AllProps_CAM/HHProps_CAM)</f>
        <v>0.25044117647058822</v>
      </c>
      <c r="AA28" s="117">
        <f ca="1">INDEX(INDIRECT("CAM_WTPCore2_"&amp;$B28&amp;"_UnitValues"),1,MATCH("MEAN",LMH,0))</f>
        <v>43.265396481954809</v>
      </c>
      <c r="AB28" s="579">
        <f ca="1">AA28*($S28-$T28)*(AllProps_CAM/HHProps_CAM)</f>
        <v>0.38806748752898401</v>
      </c>
      <c r="AC28" s="216">
        <f t="shared" ref="AC28:AC29" ca="1" si="22">X28*AA$31/X$30</f>
        <v>3.7640465630456297</v>
      </c>
      <c r="AD28" s="341" t="str">
        <f>Q28</f>
        <v>Property affected</v>
      </c>
      <c r="AE28" s="534">
        <f ca="1">(AC28*HHProps_CAM)/((S28-T28)*AllProps_CAM)</f>
        <v>419.6511487310446</v>
      </c>
    </row>
    <row r="29" spans="1:31" x14ac:dyDescent="0.25">
      <c r="A29" s="9" t="s">
        <v>330</v>
      </c>
      <c r="B29" s="9" t="s">
        <v>319</v>
      </c>
      <c r="C29" s="9" t="str">
        <f>B29</f>
        <v>TempBan</v>
      </c>
      <c r="D29" s="514" t="s">
        <v>369</v>
      </c>
      <c r="E29" s="431">
        <f ca="1">INDEX(INDIRECT("ExtWTP_"&amp;$C29&amp;"_UnitValues"),MATCH(A$26, INDIRECT("ExtWTP_Comps_"&amp;C29),0),MATCH("HH",ExtWTP_Group,0))</f>
        <v>108</v>
      </c>
      <c r="F29" s="521">
        <f t="shared" ca="1" si="18"/>
        <v>2.5000000000000001E-2</v>
      </c>
      <c r="G29" s="521">
        <f t="shared" ca="1" si="18"/>
        <v>1.5384615384615385E-2</v>
      </c>
      <c r="H29" s="20">
        <f ca="1">INDEX(INDIRECT("SSW_WTPCore2_"&amp;$B29&amp;"_LevelValues"),1,MATCH("S1 MEAN",WTPCore2_LevelValues,0))</f>
        <v>0.4084226191643695</v>
      </c>
      <c r="I29" s="20">
        <f ca="1">INDEX(INDIRECT("SSW_WTPCore2_"&amp;$B29&amp;"_LevelValues"),1,MATCH("S2 MEAN",WTPCore2_LevelValues,0))</f>
        <v>0.28250000903457151</v>
      </c>
      <c r="J29" s="20">
        <f ca="1">SUM(H29:I29)</f>
        <v>0.69092262819894101</v>
      </c>
      <c r="K29" s="278">
        <f ca="1">E29*(F29-G29)</f>
        <v>1.0384615384615385</v>
      </c>
      <c r="L29" s="820">
        <f t="shared" ref="L29" ca="1" si="23">INDEX(INDIRECT("SSW_WTPCore_DCE_"&amp;$C29&amp;"_UnitValues"),MATCH("COMBINED-HH",WTPCore_Group,0),MATCH("MEAN",LMH,0))</f>
        <v>251711.99999999994</v>
      </c>
      <c r="M29" s="579">
        <f ca="1">L29*(F29-G29)/HHProps_SSW*100</f>
        <v>0.43846153846153835</v>
      </c>
      <c r="N29" s="343">
        <f t="shared" ref="N29" ca="1" si="24">INDEX(INDIRECT("SSW_WTPCore2_"&amp;$C29&amp;"_UnitValues"),1,MATCH("MEAN",LMH,0))</f>
        <v>396644.86239644804</v>
      </c>
      <c r="O29" s="579">
        <f ca="1">N29*(F29-G29)/HHProps_SSW*100</f>
        <v>0.69092262819894101</v>
      </c>
      <c r="P29" s="20">
        <f t="shared" ca="1" si="20"/>
        <v>0.62570461236498043</v>
      </c>
      <c r="Q29" s="643" t="s">
        <v>422</v>
      </c>
      <c r="R29" s="534">
        <f ca="1">P29*HHProps_SSW/((F29-G29)*100)</f>
        <v>359204.503866488</v>
      </c>
      <c r="S29" s="16">
        <f t="shared" ca="1" si="19"/>
        <v>0.05</v>
      </c>
      <c r="T29" s="16">
        <f t="shared" ca="1" si="19"/>
        <v>3.3333333333333333E-2</v>
      </c>
      <c r="U29" s="216">
        <f ca="1">INDEX(INDIRECT("CAM_WTPCore2_"&amp;$B29&amp;"_LevelValues"),1,MATCH("S1 MEAN",WTPCore2_LevelValues,0))</f>
        <v>0.15591350717379643</v>
      </c>
      <c r="V29" s="216">
        <f ca="1">INDEX(INDIRECT("CAM_WTPCore2_"&amp;$B29&amp;"_LevelValues"),1,MATCH("S2 MEAN",WTPCore2_LevelValues,0))</f>
        <v>5.0130987785217407E-2</v>
      </c>
      <c r="W29" s="216">
        <f t="shared" ca="1" si="21"/>
        <v>0.20604449495901384</v>
      </c>
      <c r="X29" s="825">
        <f ca="1">E29*(S29-T29)</f>
        <v>1.8000000000000003</v>
      </c>
      <c r="Y29" s="820">
        <f ca="1">INDEX(INDIRECT("CAM_WTPCore_"&amp;$C29&amp;"_UnitValues"),MATCH("COMBINED-HH",WTPCore_Group,0),MATCH("MEAN",LMH,0))</f>
        <v>452735.99999999994</v>
      </c>
      <c r="Z29" s="579">
        <f ca="1">Y29*(S29-T29)/HHProps_CAM*100</f>
        <v>5.7600000000000007</v>
      </c>
      <c r="AA29" s="343">
        <f ca="1">INDEX(INDIRECT("CAM_WTPCore2_"&amp;$C29&amp;"_UnitValues"),1,MATCH("MEAN",LMH,0))</f>
        <v>16195.097303778484</v>
      </c>
      <c r="AB29" s="579">
        <f ca="1">AA29*(S29-T29)/HHProps_CAM*100</f>
        <v>0.20604449495901386</v>
      </c>
      <c r="AC29" s="216">
        <f t="shared" ca="1" si="22"/>
        <v>1.9544087923506153</v>
      </c>
      <c r="AD29" s="341" t="str">
        <f>Q29</f>
        <v>1% change in risk</v>
      </c>
      <c r="AE29" s="534">
        <f ca="1">(AC29*HHProps_CAM)/((S29-T29)*100)</f>
        <v>153616.53107875833</v>
      </c>
    </row>
    <row r="30" spans="1:31" x14ac:dyDescent="0.25">
      <c r="D30" s="514"/>
      <c r="E30" s="431"/>
      <c r="F30" s="20"/>
      <c r="G30" s="20"/>
      <c r="H30" s="20"/>
      <c r="I30" s="20"/>
      <c r="J30" s="445">
        <f ca="1">SUM(J27:J29)</f>
        <v>5.6013860394895403</v>
      </c>
      <c r="K30" s="446">
        <f ca="1">SUM(K27:K29)</f>
        <v>6.3794139194139188</v>
      </c>
      <c r="L30" s="446"/>
      <c r="M30" s="446">
        <f ca="1">SUM(M27:M29)</f>
        <v>2.0515270106846542</v>
      </c>
      <c r="N30" s="446"/>
      <c r="O30" s="446">
        <f ca="1">SUM(O27:O29)</f>
        <v>5.6360542154359976</v>
      </c>
      <c r="P30" s="445">
        <f ca="1">SUM(P27:P29)</f>
        <v>3.8437906130603259</v>
      </c>
      <c r="Q30" s="265"/>
      <c r="R30" s="834"/>
      <c r="S30" s="216"/>
      <c r="T30" s="216"/>
      <c r="U30" s="216"/>
      <c r="V30" s="216"/>
      <c r="W30" s="52">
        <f ca="1">SUM(W27:W29)</f>
        <v>5.0516422976953832</v>
      </c>
      <c r="X30" s="531">
        <f ca="1">SUM(X27:X29)</f>
        <v>6.1282051282051295</v>
      </c>
      <c r="Y30" s="532"/>
      <c r="Z30" s="532">
        <f ca="1">SUM(Z27:Z29)</f>
        <v>8.2561554621848749</v>
      </c>
      <c r="AA30" s="532"/>
      <c r="AB30" s="287">
        <f ca="1">SUM(AB27:AB29)</f>
        <v>5.0516422976953832</v>
      </c>
      <c r="AC30" s="52">
        <f ca="1">SUM(AC27:AC29)</f>
        <v>6.6538988799401295</v>
      </c>
      <c r="AE30" s="534"/>
    </row>
    <row r="31" spans="1:31" x14ac:dyDescent="0.25">
      <c r="A31" s="60"/>
      <c r="B31" s="60"/>
      <c r="C31" s="60"/>
      <c r="D31" s="516"/>
      <c r="E31" s="523"/>
      <c r="F31" s="524"/>
      <c r="G31" s="524"/>
      <c r="H31" s="524"/>
      <c r="I31" s="524"/>
      <c r="J31" s="524"/>
      <c r="K31" s="31"/>
      <c r="L31" s="31"/>
      <c r="M31" s="45" t="s">
        <v>997</v>
      </c>
      <c r="N31" s="737">
        <f ca="1">AVERAGE(M30,O30)</f>
        <v>3.8437906130603259</v>
      </c>
      <c r="O31" s="45"/>
      <c r="P31" s="15"/>
      <c r="Q31" s="60"/>
      <c r="R31" s="629"/>
      <c r="S31" s="17"/>
      <c r="T31" s="17"/>
      <c r="U31" s="17"/>
      <c r="V31" s="17"/>
      <c r="W31" s="17"/>
      <c r="X31" s="31"/>
      <c r="Y31" s="31"/>
      <c r="Z31" s="533" t="s">
        <v>997</v>
      </c>
      <c r="AA31" s="737">
        <f ca="1">AVERAGE(Z30,AB30)</f>
        <v>6.6538988799401295</v>
      </c>
      <c r="AB31" s="533"/>
      <c r="AC31" s="15"/>
      <c r="AD31" s="60"/>
      <c r="AE31" s="535"/>
    </row>
    <row r="32" spans="1:31" x14ac:dyDescent="0.25">
      <c r="A32" s="571" t="s">
        <v>166</v>
      </c>
      <c r="B32" s="530"/>
      <c r="D32" s="515"/>
      <c r="E32" s="522"/>
      <c r="F32" s="448"/>
      <c r="G32" s="448"/>
      <c r="H32" s="497"/>
      <c r="I32" s="497"/>
      <c r="J32" s="497"/>
      <c r="K32" s="531"/>
      <c r="L32" s="531"/>
      <c r="M32" s="531"/>
      <c r="N32" s="531"/>
      <c r="O32" s="531"/>
      <c r="P32" s="54"/>
      <c r="Q32" s="912"/>
      <c r="R32" s="630"/>
      <c r="S32" s="54"/>
      <c r="T32" s="54"/>
      <c r="U32" s="53"/>
      <c r="V32" s="53"/>
      <c r="W32" s="53"/>
      <c r="X32" s="531"/>
      <c r="Y32" s="531"/>
      <c r="Z32" s="531"/>
      <c r="AA32" s="531"/>
      <c r="AB32" s="531"/>
      <c r="AC32" s="54"/>
      <c r="AE32" s="536"/>
    </row>
    <row r="33" spans="1:31" x14ac:dyDescent="0.25">
      <c r="A33" s="9" t="s">
        <v>181</v>
      </c>
      <c r="B33" s="9" t="s">
        <v>269</v>
      </c>
      <c r="C33" s="9" t="s">
        <v>328</v>
      </c>
      <c r="D33" s="514" t="s">
        <v>369</v>
      </c>
      <c r="E33" s="431">
        <f ca="1">INDEX(INDIRECT("ExtWTP_"&amp;$C33&amp;"_UnitValues"),MATCH(A$32, INDIRECT("ExtWTP_Comps_"&amp;C33),0),MATCH("HH",ExtWTP_Group,0))</f>
        <v>86</v>
      </c>
      <c r="F33" s="521">
        <f ca="1">INDEX(INDIRECT("SSW_WTPCore2_"&amp;$B33&amp;"_Levels"),1,MATCH(F$4,WTPCore2_AttLevels,0))</f>
        <v>1.4285714285714285E-2</v>
      </c>
      <c r="G33" s="521">
        <f ca="1">INDEX(INDIRECT("SSW_WTPCore2_"&amp;$B33&amp;"_Levels"),1,MATCH(G$4,WTPCore2_AttLevels,0))</f>
        <v>9.5238095238095247E-3</v>
      </c>
      <c r="H33" s="20">
        <f ca="1">INDEX(INDIRECT("SSW_WTPCore2_"&amp;$B33&amp;"_LevelValues"),1,MATCH("S1 MEAN",WTPCore2_LevelValues,0))</f>
        <v>0.39718669024665654</v>
      </c>
      <c r="I33" s="20">
        <f ca="1">INDEX(INDIRECT("SSW_WTPCore2_"&amp;$B33&amp;"_LevelValues"),1,MATCH("S2 MEAN",WTPCore2_LevelValues,0))</f>
        <v>0.53859352958370721</v>
      </c>
      <c r="J33" s="20">
        <f ca="1">SUM(H33:I33)</f>
        <v>0.93578021983036375</v>
      </c>
      <c r="K33" s="278">
        <f ca="1">E33*(F33-G33)</f>
        <v>0.4095238095238094</v>
      </c>
      <c r="L33" s="579">
        <f ca="1">INDEX(INDIRECT("SSW_WTPCore_DCE_"&amp;$B33&amp;"_UnitValues"),MATCH("COMBINED-HH",WTPCore_Group,0),MATCH("MEAN",LMH,0))</f>
        <v>160.37052631578945</v>
      </c>
      <c r="M33" s="579">
        <f ca="1">L33*($F33-$G33)*(AllProps_SSW/HHProps_SSW)</f>
        <v>0.8148571428571425</v>
      </c>
      <c r="N33" s="117">
        <f ca="1">INDEX(INDIRECT("SSW_WTPCore2_"&amp;$B33&amp;"_UnitValues"),1,MATCH("MEAN",LMH,0))</f>
        <v>184.16917331534088</v>
      </c>
      <c r="O33" s="579">
        <f ca="1">N33*($F33-$G33)*(AllProps_SSW/HHProps_SSW)</f>
        <v>0.93578021983036364</v>
      </c>
      <c r="P33" s="20">
        <f ca="1">K33*N$35/K$34</f>
        <v>0.87531868134375301</v>
      </c>
      <c r="Q33" s="514" t="s">
        <v>369</v>
      </c>
      <c r="R33" s="534">
        <f ca="1">P33*HHProps_SSW/((F33-G33)*AllProps_SSW)</f>
        <v>172.26984981556515</v>
      </c>
      <c r="S33" s="16">
        <f ca="1">INDEX(INDIRECT("CAM_WTPCore2_"&amp;$B33&amp;"_Levels"),1,MATCH(S$4,WTPCore2_AttLevels,0))</f>
        <v>2.5000000000000001E-2</v>
      </c>
      <c r="T33" s="16">
        <f ca="1">INDEX(INDIRECT("CAM_WTPCore2_"&amp;$B33&amp;"_Levels"),1,MATCH(T$4,WTPCore2_AttLevels,0))</f>
        <v>1.6666666666666666E-2</v>
      </c>
      <c r="U33" s="216">
        <f ca="1">INDEX(INDIRECT("CAM_WTPCore2_"&amp;$B33&amp;"_LevelValues"),1,MATCH("S1 MEAN",WTPCore2_LevelValues,0))</f>
        <v>5.3490671066612649E-2</v>
      </c>
      <c r="V33" s="216">
        <f ca="1">INDEX(INDIRECT("CAM_WTPCore2_"&amp;$B33&amp;"_LevelValues"),1,MATCH("S2 MEAN",WTPCore2_LevelValues,0))</f>
        <v>0.33457681646237136</v>
      </c>
      <c r="W33" s="216">
        <f ca="1">SUM(U33:V33)</f>
        <v>0.38806748752898401</v>
      </c>
      <c r="X33" s="825">
        <f ca="1">E33*(S33-T33)</f>
        <v>0.71666666666666679</v>
      </c>
      <c r="Y33" s="579">
        <f ca="1">INDEX(INDIRECT("CAM_WTPCore_"&amp;$B33&amp;"_UnitValues"),MATCH("COMBINED-HH",WTPCore_Group,0),MATCH("MEAN",LMH,0))</f>
        <v>27.921526908635794</v>
      </c>
      <c r="Z33" s="579">
        <f ca="1">Y33*($S33-$T33)*(AllProps_CAM/HHProps_CAM)</f>
        <v>0.25044117647058822</v>
      </c>
      <c r="AA33" s="117">
        <f ca="1">INDEX(INDIRECT("CAM_WTPCore2_"&amp;$B33&amp;"_UnitValues"),1,MATCH("MEAN",LMH,0))</f>
        <v>43.265396481954809</v>
      </c>
      <c r="AB33" s="579">
        <f ca="1">AA33*($S33-$T33)*(AllProps_CAM/HHProps_CAM)</f>
        <v>0.38806748752898401</v>
      </c>
      <c r="AC33" s="216">
        <f ca="1">X33*AA$35/X$34</f>
        <v>0.31925433199978615</v>
      </c>
      <c r="AD33" s="341" t="str">
        <f>Q33</f>
        <v>Property affected</v>
      </c>
      <c r="AE33" s="534">
        <f ca="1">(AC33*HHProps_CAM)/((S33-T33)*AllProps_CAM)</f>
        <v>35.593461695295296</v>
      </c>
    </row>
    <row r="34" spans="1:31" x14ac:dyDescent="0.25">
      <c r="A34" s="574" t="s">
        <v>501</v>
      </c>
      <c r="D34" s="514"/>
      <c r="E34" s="431"/>
      <c r="F34" s="20"/>
      <c r="G34" s="20"/>
      <c r="H34" s="20"/>
      <c r="I34" s="20"/>
      <c r="J34" s="445">
        <f ca="1">SUM(J33:J33)</f>
        <v>0.93578021983036375</v>
      </c>
      <c r="K34" s="446">
        <f ca="1">SUM(K33:K33)</f>
        <v>0.4095238095238094</v>
      </c>
      <c r="L34" s="446"/>
      <c r="M34" s="446">
        <f ca="1">SUM(M31:M33)</f>
        <v>0.8148571428571425</v>
      </c>
      <c r="N34" s="446"/>
      <c r="O34" s="446">
        <f ca="1">SUM(O31:O33)</f>
        <v>0.93578021983036364</v>
      </c>
      <c r="P34" s="445">
        <f ca="1">SUM(P33:P33)</f>
        <v>0.87531868134375301</v>
      </c>
      <c r="Q34" s="265"/>
      <c r="R34" s="834"/>
      <c r="S34" s="216"/>
      <c r="T34" s="216"/>
      <c r="U34" s="216"/>
      <c r="V34" s="216"/>
      <c r="W34" s="52">
        <f ca="1">SUM(W33:W33)</f>
        <v>0.38806748752898401</v>
      </c>
      <c r="X34" s="531">
        <f ca="1">SUM(X33:X33)</f>
        <v>0.71666666666666679</v>
      </c>
      <c r="Y34" s="532"/>
      <c r="Z34" s="532">
        <f ca="1">SUM(Z32:Z33)</f>
        <v>0.25044117647058822</v>
      </c>
      <c r="AA34" s="532"/>
      <c r="AB34" s="287">
        <f ca="1">SUM(AB32:AB33)</f>
        <v>0.38806748752898401</v>
      </c>
      <c r="AC34" s="52">
        <f ca="1">SUM(AC33:AC33)</f>
        <v>0.31925433199978615</v>
      </c>
      <c r="AE34" s="534"/>
    </row>
    <row r="35" spans="1:31" x14ac:dyDescent="0.25">
      <c r="A35" s="60"/>
      <c r="B35" s="60"/>
      <c r="C35" s="60"/>
      <c r="D35" s="516"/>
      <c r="E35" s="523"/>
      <c r="F35" s="524"/>
      <c r="G35" s="524"/>
      <c r="H35" s="524"/>
      <c r="I35" s="524"/>
      <c r="J35" s="524"/>
      <c r="K35" s="31"/>
      <c r="L35" s="31"/>
      <c r="M35" s="45" t="s">
        <v>997</v>
      </c>
      <c r="N35" s="737">
        <f ca="1">AVERAGE(M34,O34)</f>
        <v>0.87531868134375301</v>
      </c>
      <c r="O35" s="45"/>
      <c r="P35" s="15"/>
      <c r="Q35" s="60"/>
      <c r="R35" s="629"/>
      <c r="S35" s="17"/>
      <c r="T35" s="17"/>
      <c r="U35" s="17"/>
      <c r="V35" s="17"/>
      <c r="W35" s="17"/>
      <c r="X35" s="31"/>
      <c r="Y35" s="31"/>
      <c r="Z35" s="533" t="s">
        <v>997</v>
      </c>
      <c r="AA35" s="737">
        <f ca="1">AVERAGE(Z34,AB34)</f>
        <v>0.31925433199978615</v>
      </c>
      <c r="AB35" s="533"/>
      <c r="AC35" s="15"/>
      <c r="AD35" s="60"/>
      <c r="AE35" s="535"/>
    </row>
    <row r="36" spans="1:31" x14ac:dyDescent="0.25">
      <c r="A36" s="61" t="s">
        <v>167</v>
      </c>
      <c r="B36" s="237"/>
      <c r="D36" s="515"/>
      <c r="E36" s="522"/>
      <c r="F36" s="448"/>
      <c r="G36" s="448"/>
      <c r="H36" s="497"/>
      <c r="I36" s="497"/>
      <c r="J36" s="497"/>
      <c r="K36" s="531"/>
      <c r="L36" s="531"/>
      <c r="M36" s="531"/>
      <c r="N36" s="531"/>
      <c r="O36" s="531"/>
      <c r="P36" s="54"/>
      <c r="Q36" s="912"/>
      <c r="R36" s="630"/>
      <c r="S36" s="54"/>
      <c r="T36" s="54"/>
      <c r="U36" s="53"/>
      <c r="V36" s="53"/>
      <c r="W36" s="53"/>
      <c r="X36" s="531"/>
      <c r="Y36" s="531"/>
      <c r="Z36" s="531"/>
      <c r="AA36" s="531"/>
      <c r="AB36" s="531"/>
      <c r="AC36" s="54"/>
      <c r="AE36" s="536"/>
    </row>
    <row r="37" spans="1:31" x14ac:dyDescent="0.25">
      <c r="A37" s="9" t="s">
        <v>25</v>
      </c>
      <c r="B37" s="9" t="s">
        <v>266</v>
      </c>
      <c r="C37" s="9" t="str">
        <f>B37</f>
        <v>Discolour</v>
      </c>
      <c r="D37" s="514" t="s">
        <v>369</v>
      </c>
      <c r="E37" s="431">
        <f ca="1">INDEX(INDIRECT("ExtWTP_"&amp;$C37&amp;"_UnitValues"),MATCH(A$36, INDIRECT("ExtWTP_Comps_"&amp;C37),0),MATCH("HH",ExtWTP_Group,0))</f>
        <v>830</v>
      </c>
      <c r="F37" s="521">
        <f t="shared" ref="F37:G40" ca="1" si="25">INDEX(INDIRECT("SSW_WTPCore2_"&amp;$B37&amp;"_Levels"),1,MATCH(F$4,WTPCore2_AttLevels,0))</f>
        <v>6.6666666666666666E-2</v>
      </c>
      <c r="G37" s="521">
        <f t="shared" ca="1" si="25"/>
        <v>0.04</v>
      </c>
      <c r="H37" s="20">
        <f ca="1">INDEX(INDIRECT("SSW_WTPCore2_"&amp;$B37&amp;"_LevelValues"),1,MATCH("S1 MEAN",WTPCore2_LevelValues,0))</f>
        <v>3.3679929677046498</v>
      </c>
      <c r="I37" s="20">
        <f ca="1">INDEX(INDIRECT("SSW_WTPCore2_"&amp;$B37&amp;"_LevelValues"),1,MATCH("S2 MEAN",WTPCore2_LevelValues,0))</f>
        <v>0.60669022375558512</v>
      </c>
      <c r="J37" s="20">
        <f ca="1">SUM(H37:I37)</f>
        <v>3.974683191460235</v>
      </c>
      <c r="K37" s="278">
        <f ca="1">E37*(F37-G37)</f>
        <v>22.133333333333333</v>
      </c>
      <c r="L37" s="579">
        <f ca="1">INDEX(INDIRECT("SSW_WTPCore_DCE_"&amp;$C37&amp;"_UnitValues"),MATCH("COMBINED-HH",WTPCore_Group,0),MATCH("MEAN",LMH,0))</f>
        <v>27.809917858229387</v>
      </c>
      <c r="M37" s="579">
        <f ca="1">L37*(F37-G37)*(AllProps_CAM/HHProps_CAM)</f>
        <v>0.79820832936597319</v>
      </c>
      <c r="N37" s="117">
        <f ca="1">INDEX(INDIRECT("SSW_WTPCore2_"&amp;$C37&amp;"_UnitValues"),1,MATCH("MEAN",LMH,0))</f>
        <v>139.68750774741403</v>
      </c>
      <c r="O37" s="579">
        <f ca="1">N37*($F37-$G37)*(AllProps_CAM/HHProps_CAM)</f>
        <v>4.0093513674066923</v>
      </c>
      <c r="P37" s="20">
        <f ca="1">K37*N$42/K$41</f>
        <v>3.6863212671804839</v>
      </c>
      <c r="Q37" s="514" t="s">
        <v>369</v>
      </c>
      <c r="R37" s="534">
        <f ca="1">P37*HHProps_SSW/((F37-G37)*AllProps_SSW)</f>
        <v>129.55322619802379</v>
      </c>
      <c r="S37" s="16">
        <f t="shared" ref="S37:T40" ca="1" si="26">INDEX(INDIRECT("CAM_WTPCore2_"&amp;$B37&amp;"_Levels"),1,MATCH(S$4,WTPCore2_AttLevels,0))</f>
        <v>2.2222222222222223E-2</v>
      </c>
      <c r="T37" s="16">
        <f t="shared" ca="1" si="26"/>
        <v>1.5384615384615385E-2</v>
      </c>
      <c r="U37" s="216">
        <f ca="1">INDEX(INDIRECT("CAM_WTPCore2_"&amp;$B37&amp;"_LevelValues"),1,MATCH("S1 MEAN",WTPCore2_LevelValues,0))</f>
        <v>3.1155463151224057</v>
      </c>
      <c r="V37" s="216">
        <f ca="1">INDEX(INDIRECT("CAM_WTPCore2_"&amp;$B37&amp;"_LevelValues"),1,MATCH("S2 MEAN",WTPCore2_LevelValues,0))</f>
        <v>1.3419840000849801</v>
      </c>
      <c r="W37" s="216">
        <f ca="1">SUM(U37:V37)</f>
        <v>4.4575303152073857</v>
      </c>
      <c r="X37" s="825">
        <f ca="1">E37*(S37-T37)</f>
        <v>5.6752136752136755</v>
      </c>
      <c r="Y37" s="579">
        <f ca="1">INDEX(INDIRECT("CAM_WTPCore_"&amp;$C37&amp;"_UnitValues"),MATCH("COMBINED-HH",WTPCore_Group,0),MATCH("MEAN",LMH,0))</f>
        <v>305.14240121580548</v>
      </c>
      <c r="Z37" s="579">
        <f ca="1">Y37*($S37-$T37)*(AllProps_CAM/HHProps_CAM)</f>
        <v>2.2457142857142856</v>
      </c>
      <c r="AA37" s="117">
        <f ca="1">INDEX(INDIRECT("CAM_WTPCore2_"&amp;$C37&amp;"_UnitValues"),1,MATCH("MEAN",LMH,0))</f>
        <v>605.67878671262065</v>
      </c>
      <c r="AB37" s="579">
        <f ca="1">AA37*($S37-$T37)*(AllProps_CAM/HHProps_CAM)</f>
        <v>4.4575303152073857</v>
      </c>
      <c r="AC37" s="216">
        <f ca="1">X37*AA$42/X$41</f>
        <v>3.9097122266743418</v>
      </c>
      <c r="AD37" s="341" t="str">
        <f>Q37</f>
        <v>Property affected</v>
      </c>
      <c r="AE37" s="534">
        <f ca="1">(AC37*HHProps_CAM)/((S37-T37)*AllProps_CAM)</f>
        <v>531.24254697019182</v>
      </c>
    </row>
    <row r="38" spans="1:31" x14ac:dyDescent="0.25">
      <c r="A38" s="9" t="s">
        <v>117</v>
      </c>
      <c r="B38" s="9" t="s">
        <v>265</v>
      </c>
      <c r="C38" s="9" t="str">
        <f>B38</f>
        <v>TasteSmell</v>
      </c>
      <c r="D38" s="514" t="s">
        <v>369</v>
      </c>
      <c r="E38" s="431">
        <f ca="1">INDEX(INDIRECT("ExtWTP_"&amp;$C38&amp;"_UnitValues"),MATCH(A$36, INDIRECT("ExtWTP_Comps_"&amp;C38),0),MATCH("HH",ExtWTP_Group,0))</f>
        <v>885</v>
      </c>
      <c r="F38" s="521">
        <f t="shared" ca="1" si="25"/>
        <v>1.6666666666666666E-2</v>
      </c>
      <c r="G38" s="521">
        <f t="shared" ca="1" si="25"/>
        <v>1.1111111111111112E-2</v>
      </c>
      <c r="H38" s="20">
        <f ca="1">INDEX(INDIRECT("SSW_WTPCore2_"&amp;$B38&amp;"_LevelValues"),1,MATCH("S1 MEAN",WTPCore2_LevelValues,0))</f>
        <v>0.30818609087835352</v>
      </c>
      <c r="I38" s="20">
        <f ca="1">INDEX(INDIRECT("SSW_WTPCore2_"&amp;$B38&amp;"_LevelValues"),1,MATCH("S2 MEAN",WTPCore2_LevelValues,0))</f>
        <v>0.18578205633963885</v>
      </c>
      <c r="J38" s="20">
        <f ca="1">SUM(H38:I38)</f>
        <v>0.49396814721799237</v>
      </c>
      <c r="K38" s="278">
        <f ca="1">E38*(F38-G38)</f>
        <v>4.9166666666666661</v>
      </c>
      <c r="L38" s="579">
        <f ca="1">INDEX(INDIRECT("SSW_WTPCore_DCE_"&amp;$B38&amp;"_UnitValues"),MATCH("COMBINED-HH",WTPCore_Group,0),MATCH("MEAN",LMH,0))</f>
        <v>171.97536823750744</v>
      </c>
      <c r="M38" s="579">
        <f ca="1">L38*($F38-$G38)*(AllProps_SSW/HHProps_SSW)</f>
        <v>1.0194594594594593</v>
      </c>
      <c r="N38" s="117">
        <f ca="1">INDEX(INDIRECT("SSW_WTPCore2_"&amp;$B38&amp;"_UnitValues"),1,MATCH("MEAN",LMH,0))</f>
        <v>83.328820216603944</v>
      </c>
      <c r="O38" s="579">
        <f ca="1">N38*($F38-$G38)*(AllProps_SSW/HHProps_SSW)</f>
        <v>0.49396814721799231</v>
      </c>
      <c r="P38" s="20">
        <f t="shared" ref="P38:P40" ca="1" si="27">K38*N$42/K$41</f>
        <v>0.81887407667036349</v>
      </c>
      <c r="Q38" s="514" t="s">
        <v>369</v>
      </c>
      <c r="R38" s="534">
        <f ca="1">P38*HHProps_SSW/((F38-G38)*AllProps_SSW)</f>
        <v>138.13807853644707</v>
      </c>
      <c r="S38" s="16">
        <f t="shared" ca="1" si="26"/>
        <v>1.4285714285714285E-2</v>
      </c>
      <c r="T38" s="16">
        <f t="shared" ca="1" si="26"/>
        <v>0.01</v>
      </c>
      <c r="U38" s="216">
        <f ca="1">INDEX(INDIRECT("CAM_WTPCore2_"&amp;$B38&amp;"_LevelValues"),1,MATCH("S1 MEAN",WTPCore2_LevelValues,0))</f>
        <v>4.7204807663126298E-2</v>
      </c>
      <c r="V38" s="216">
        <f ca="1">INDEX(INDIRECT("CAM_WTPCore2_"&amp;$B38&amp;"_LevelValues"),1,MATCH("S2 MEAN",WTPCore2_LevelValues,0))</f>
        <v>0.1217094578997745</v>
      </c>
      <c r="W38" s="216">
        <f t="shared" ref="W38:W40" ca="1" si="28">SUM(U38:V38)</f>
        <v>0.16891426556290079</v>
      </c>
      <c r="X38" s="825">
        <f ca="1">E38*(S38-T38)</f>
        <v>3.7928571428571423</v>
      </c>
      <c r="Y38" s="579">
        <f t="shared" ref="Y38" ca="1" si="29">INDEX(INDIRECT("CAM_WTPCore_"&amp;$C38&amp;"_UnitValues"),MATCH("COMBINED-HH",WTPCore_Group,0),MATCH("MEAN",LMH,0))</f>
        <v>205.16697061803447</v>
      </c>
      <c r="Z38" s="579">
        <f ca="1">Y38*(S38-T38)*(AllProps_CAM/HHProps_CAM)</f>
        <v>0.94640816326530608</v>
      </c>
      <c r="AA38" s="117">
        <f t="shared" ref="AA38" ca="1" si="30">INDEX(INDIRECT("CAM_WTPCore2_"&amp;$C38&amp;"_UnitValues"),1,MATCH("MEAN",LMH,0))</f>
        <v>36.618057097205678</v>
      </c>
      <c r="AB38" s="579">
        <f ca="1">AA38*($S38-$T38)*(AllProps_CAM/HHProps_CAM)</f>
        <v>0.16891426556290076</v>
      </c>
      <c r="AC38" s="216">
        <f t="shared" ref="AC38:AC40" ca="1" si="31">X38*AA$42/X$41</f>
        <v>2.6129377313532358</v>
      </c>
      <c r="AD38" s="341" t="str">
        <f>Q38</f>
        <v>Property affected</v>
      </c>
      <c r="AE38" s="534">
        <f ca="1">(AC38*HHProps_CAM)/((S38-T38)*AllProps_CAM)</f>
        <v>566.44536634773465</v>
      </c>
    </row>
    <row r="39" spans="1:31" x14ac:dyDescent="0.25">
      <c r="A39" s="9" t="s">
        <v>180</v>
      </c>
      <c r="B39" s="9" t="s">
        <v>269</v>
      </c>
      <c r="C39" s="9" t="s">
        <v>331</v>
      </c>
      <c r="D39" s="514" t="s">
        <v>369</v>
      </c>
      <c r="E39" s="431">
        <f ca="1">INDEX(INDIRECT("ExtWTP_"&amp;$C39&amp;"_UnitValues"),MATCH(A$36, INDIRECT("ExtWTP_Comps_"&amp;C39),0),MATCH("HH",ExtWTP_Group,0))</f>
        <v>102</v>
      </c>
      <c r="F39" s="521">
        <f t="shared" ca="1" si="25"/>
        <v>1.4285714285714285E-2</v>
      </c>
      <c r="G39" s="521">
        <f t="shared" ca="1" si="25"/>
        <v>9.5238095238095247E-3</v>
      </c>
      <c r="H39" s="20">
        <f ca="1">INDEX(INDIRECT("SSW_WTPCore2_"&amp;$B39&amp;"_LevelValues"),1,MATCH("S1 MEAN",WTPCore2_LevelValues,0))</f>
        <v>0.39718669024665654</v>
      </c>
      <c r="I39" s="20">
        <f ca="1">INDEX(INDIRECT("SSW_WTPCore2_"&amp;$B39&amp;"_LevelValues"),1,MATCH("S2 MEAN",WTPCore2_LevelValues,0))</f>
        <v>0.53859352958370721</v>
      </c>
      <c r="J39" s="20">
        <f ca="1">SUM(H39:I39)</f>
        <v>0.93578021983036375</v>
      </c>
      <c r="K39" s="278">
        <f ca="1">E39*(F39-G39)</f>
        <v>0.4857142857142856</v>
      </c>
      <c r="L39" s="579">
        <f ca="1">INDEX(INDIRECT("SSW_WTPCore_DCE_"&amp;$B39&amp;"_UnitValues"),MATCH("COMBINED-HH",WTPCore_Group,0),MATCH("MEAN",LMH,0))</f>
        <v>160.37052631578945</v>
      </c>
      <c r="M39" s="579">
        <f ca="1">L39*($F39-$G39)*(AllProps_SSW/HHProps_SSW)</f>
        <v>0.8148571428571425</v>
      </c>
      <c r="N39" s="117">
        <f ca="1">INDEX(INDIRECT("SSW_WTPCore2_"&amp;$B39&amp;"_UnitValues"),1,MATCH("MEAN",LMH,0))</f>
        <v>184.16917331534088</v>
      </c>
      <c r="O39" s="579">
        <f ca="1">N39*($F39-$G39)*(AllProps_SSW/HHProps_SSW)</f>
        <v>0.93578021983036364</v>
      </c>
      <c r="P39" s="20">
        <f t="shared" ca="1" si="27"/>
        <v>8.0896034692859137E-2</v>
      </c>
      <c r="Q39" s="514" t="s">
        <v>369</v>
      </c>
      <c r="R39" s="534">
        <f ca="1">P39*HHProps_SSW/((F39-G39)*AllProps_SSW)</f>
        <v>15.92099888216678</v>
      </c>
      <c r="S39" s="16">
        <f t="shared" ca="1" si="26"/>
        <v>2.5000000000000001E-2</v>
      </c>
      <c r="T39" s="16">
        <f t="shared" ca="1" si="26"/>
        <v>1.6666666666666666E-2</v>
      </c>
      <c r="U39" s="216">
        <f ca="1">INDEX(INDIRECT("CAM_WTPCore2_"&amp;$B39&amp;"_LevelValues"),1,MATCH("S1 MEAN",WTPCore2_LevelValues,0))</f>
        <v>5.3490671066612649E-2</v>
      </c>
      <c r="V39" s="216">
        <f ca="1">INDEX(INDIRECT("CAM_WTPCore2_"&amp;$B39&amp;"_LevelValues"),1,MATCH("S2 MEAN",WTPCore2_LevelValues,0))</f>
        <v>0.33457681646237136</v>
      </c>
      <c r="W39" s="216">
        <f t="shared" ca="1" si="28"/>
        <v>0.38806748752898401</v>
      </c>
      <c r="X39" s="825">
        <f ca="1">E39*(S39-T39)</f>
        <v>0.8500000000000002</v>
      </c>
      <c r="Y39" s="579">
        <f ca="1">INDEX(INDIRECT("CAM_WTPCore_"&amp;$B39&amp;"_UnitValues"),MATCH("COMBINED-HH",WTPCore_Group,0),MATCH("MEAN",LMH,0))</f>
        <v>27.921526908635794</v>
      </c>
      <c r="Z39" s="579">
        <f ca="1">Y39*($S39-$T39)*(AllProps_CAM/HHProps_CAM)</f>
        <v>0.25044117647058822</v>
      </c>
      <c r="AA39" s="117">
        <f ca="1">INDEX(INDIRECT("CAM_WTPCore2_"&amp;$B39&amp;"_UnitValues"),1,MATCH("MEAN",LMH,0))</f>
        <v>43.265396481954809</v>
      </c>
      <c r="AB39" s="579">
        <f ca="1">AA39*($S39-$T39)*(AllProps_CAM/HHProps_CAM)</f>
        <v>0.38806748752898401</v>
      </c>
      <c r="AC39" s="216">
        <f t="shared" ca="1" si="31"/>
        <v>0.58557361587765577</v>
      </c>
      <c r="AD39" s="341" t="str">
        <f>Q39</f>
        <v>Property affected</v>
      </c>
      <c r="AE39" s="534">
        <f ca="1">(AC39*HHProps_CAM)/((S39-T39)*AllProps_CAM)</f>
        <v>65.28522866380672</v>
      </c>
    </row>
    <row r="40" spans="1:31" x14ac:dyDescent="0.25">
      <c r="A40" s="9" t="s">
        <v>330</v>
      </c>
      <c r="B40" s="9" t="s">
        <v>319</v>
      </c>
      <c r="C40" s="9" t="str">
        <f>B40</f>
        <v>TempBan</v>
      </c>
      <c r="D40" s="514" t="s">
        <v>369</v>
      </c>
      <c r="E40" s="431">
        <f ca="1">INDEX(INDIRECT("ExtWTP_"&amp;$C40&amp;"_UnitValues"),MATCH(A$36, INDIRECT("ExtWTP_Comps_"&amp;C40),0),MATCH("HH",ExtWTP_Group,0))</f>
        <v>9</v>
      </c>
      <c r="F40" s="521">
        <f t="shared" ca="1" si="25"/>
        <v>2.5000000000000001E-2</v>
      </c>
      <c r="G40" s="521">
        <f t="shared" ca="1" si="25"/>
        <v>1.5384615384615385E-2</v>
      </c>
      <c r="H40" s="20">
        <f ca="1">INDEX(INDIRECT("SSW_WTPCore2_"&amp;$B40&amp;"_LevelValues"),1,MATCH("S1 MEAN",WTPCore2_LevelValues,0))</f>
        <v>0.4084226191643695</v>
      </c>
      <c r="I40" s="20">
        <f ca="1">INDEX(INDIRECT("SSW_WTPCore2_"&amp;$B40&amp;"_LevelValues"),1,MATCH("S2 MEAN",WTPCore2_LevelValues,0))</f>
        <v>0.28250000903457151</v>
      </c>
      <c r="J40" s="20">
        <f ca="1">SUM(H40:I40)</f>
        <v>0.69092262819894101</v>
      </c>
      <c r="K40" s="278">
        <f ca="1">E40*(F40-G40)</f>
        <v>8.6538461538461536E-2</v>
      </c>
      <c r="L40" s="820">
        <f t="shared" ref="L40" ca="1" si="32">INDEX(INDIRECT("SSW_WTPCore_DCE_"&amp;$C40&amp;"_UnitValues"),MATCH("COMBINED-HH",WTPCore_Group,0),MATCH("MEAN",LMH,0))</f>
        <v>251711.99999999994</v>
      </c>
      <c r="M40" s="579">
        <f ca="1">L40*(F40-G40)/HHProps_SSW*100</f>
        <v>0.43846153846153835</v>
      </c>
      <c r="N40" s="343">
        <f t="shared" ref="N40" ca="1" si="33">INDEX(INDIRECT("SSW_WTPCore2_"&amp;$C40&amp;"_UnitValues"),1,MATCH("MEAN",LMH,0))</f>
        <v>396644.86239644804</v>
      </c>
      <c r="O40" s="579">
        <f ca="1">N40*(F40-G40)/HHProps_SSW*100</f>
        <v>0.69092262819894101</v>
      </c>
      <c r="P40" s="20">
        <f t="shared" ca="1" si="27"/>
        <v>1.4413037855345383E-2</v>
      </c>
      <c r="Q40" s="643" t="s">
        <v>422</v>
      </c>
      <c r="R40" s="534">
        <f ca="1">P40*HHProps_SSW/((F40-G40)*100)</f>
        <v>8274.2367719966769</v>
      </c>
      <c r="S40" s="16">
        <f t="shared" ca="1" si="26"/>
        <v>0.05</v>
      </c>
      <c r="T40" s="16">
        <f t="shared" ca="1" si="26"/>
        <v>3.3333333333333333E-2</v>
      </c>
      <c r="U40" s="216">
        <f ca="1">INDEX(INDIRECT("CAM_WTPCore2_"&amp;$B40&amp;"_LevelValues"),1,MATCH("S1 MEAN",WTPCore2_LevelValues,0))</f>
        <v>0.15591350717379643</v>
      </c>
      <c r="V40" s="216">
        <f ca="1">INDEX(INDIRECT("CAM_WTPCore2_"&amp;$B40&amp;"_LevelValues"),1,MATCH("S2 MEAN",WTPCore2_LevelValues,0))</f>
        <v>5.0130987785217407E-2</v>
      </c>
      <c r="W40" s="216">
        <f t="shared" ca="1" si="28"/>
        <v>0.20604449495901384</v>
      </c>
      <c r="X40" s="825">
        <f ca="1">E40*(S40-T40)</f>
        <v>0.15000000000000002</v>
      </c>
      <c r="Y40" s="820">
        <f ca="1">INDEX(INDIRECT("CAM_WTPCore_"&amp;$C40&amp;"_UnitValues"),MATCH("COMBINED-HH",WTPCore_Group,0),MATCH("MEAN",LMH,0))</f>
        <v>452735.99999999994</v>
      </c>
      <c r="Z40" s="579">
        <f ca="1">Y40*(S40-T40)/HHProps_CAM*100</f>
        <v>5.7600000000000007</v>
      </c>
      <c r="AA40" s="343">
        <f ca="1">INDEX(INDIRECT("CAM_WTPCore2_"&amp;$C40&amp;"_UnitValues"),1,MATCH("MEAN",LMH,0))</f>
        <v>16195.097303778484</v>
      </c>
      <c r="AB40" s="579">
        <f ca="1">AA40*(S40-T40)/HHProps_CAM*100</f>
        <v>0.20604449495901386</v>
      </c>
      <c r="AC40" s="216">
        <f t="shared" ca="1" si="31"/>
        <v>0.10333652044899806</v>
      </c>
      <c r="AD40" s="341" t="str">
        <f>Q40</f>
        <v>1% change in risk</v>
      </c>
      <c r="AE40" s="534">
        <f ca="1">(AC40*HHProps_CAM)/((S40-T40)*100)</f>
        <v>8122.2505072912463</v>
      </c>
    </row>
    <row r="41" spans="1:31" x14ac:dyDescent="0.25">
      <c r="D41" s="514"/>
      <c r="E41" s="431"/>
      <c r="F41" s="20"/>
      <c r="G41" s="20"/>
      <c r="H41" s="20"/>
      <c r="I41" s="20"/>
      <c r="J41" s="445">
        <f ca="1">SUM(J37:J40)</f>
        <v>6.0953541867075325</v>
      </c>
      <c r="K41" s="446">
        <f ca="1">SUM(K37:K40)</f>
        <v>27.622252747252741</v>
      </c>
      <c r="L41" s="446"/>
      <c r="M41" s="446">
        <f ca="1">SUM(M37:M40)</f>
        <v>3.070986470144113</v>
      </c>
      <c r="N41" s="446"/>
      <c r="O41" s="446">
        <f ca="1">SUM(O37:O40)</f>
        <v>6.1300223626539898</v>
      </c>
      <c r="P41" s="445">
        <f ca="1">SUM(P37:P40)</f>
        <v>4.6005044163990521</v>
      </c>
      <c r="Q41" s="37"/>
      <c r="R41" s="834"/>
      <c r="S41" s="216"/>
      <c r="T41" s="216"/>
      <c r="U41" s="216"/>
      <c r="V41" s="216"/>
      <c r="W41" s="52">
        <f ca="1">SUM(W37:W40)</f>
        <v>5.2205565632582838</v>
      </c>
      <c r="X41" s="531">
        <f ca="1">SUM(X37:X40)</f>
        <v>10.468070818070817</v>
      </c>
      <c r="Y41" s="532"/>
      <c r="Z41" s="532">
        <f ca="1">SUM(Z37:Z40)</f>
        <v>9.2025636254501801</v>
      </c>
      <c r="AA41" s="532"/>
      <c r="AB41" s="532">
        <f ca="1">SUM(AB37:AB40)</f>
        <v>5.2205565632582838</v>
      </c>
      <c r="AC41" s="52">
        <f ca="1">SUM(AC37:AC40)</f>
        <v>7.2115600943542315</v>
      </c>
      <c r="AE41" s="534"/>
    </row>
    <row r="42" spans="1:31" x14ac:dyDescent="0.25">
      <c r="A42" s="60"/>
      <c r="B42" s="60"/>
      <c r="C42" s="60"/>
      <c r="D42" s="516"/>
      <c r="E42" s="523"/>
      <c r="F42" s="524"/>
      <c r="G42" s="524"/>
      <c r="H42" s="524"/>
      <c r="I42" s="524"/>
      <c r="J42" s="524"/>
      <c r="K42" s="31"/>
      <c r="L42" s="31"/>
      <c r="M42" s="45" t="s">
        <v>997</v>
      </c>
      <c r="N42" s="737">
        <f ca="1">AVERAGE(M41,O41)</f>
        <v>4.6005044163990512</v>
      </c>
      <c r="O42" s="45"/>
      <c r="P42" s="15"/>
      <c r="Q42" s="60"/>
      <c r="R42" s="629"/>
      <c r="S42" s="17"/>
      <c r="T42" s="17"/>
      <c r="U42" s="17"/>
      <c r="V42" s="17"/>
      <c r="W42" s="17"/>
      <c r="X42" s="31"/>
      <c r="Y42" s="31"/>
      <c r="Z42" s="533" t="s">
        <v>997</v>
      </c>
      <c r="AA42" s="737">
        <f ca="1">AVERAGE(Z41,AB41)</f>
        <v>7.2115600943542315</v>
      </c>
      <c r="AB42" s="533"/>
      <c r="AC42" s="15"/>
      <c r="AD42" s="60"/>
      <c r="AE42" s="535"/>
    </row>
    <row r="43" spans="1:31" x14ac:dyDescent="0.25">
      <c r="A43" s="61" t="s">
        <v>170</v>
      </c>
      <c r="B43" s="237"/>
      <c r="D43" s="515"/>
      <c r="E43" s="522"/>
      <c r="F43" s="448"/>
      <c r="G43" s="448"/>
      <c r="H43" s="497"/>
      <c r="I43" s="497"/>
      <c r="J43" s="497"/>
      <c r="K43" s="531"/>
      <c r="L43" s="531"/>
      <c r="M43" s="531"/>
      <c r="N43" s="531"/>
      <c r="O43" s="531"/>
      <c r="P43" s="54"/>
      <c r="Q43" s="912"/>
      <c r="R43" s="630"/>
      <c r="S43" s="54"/>
      <c r="T43" s="54"/>
      <c r="U43" s="53"/>
      <c r="V43" s="53"/>
      <c r="W43" s="53"/>
      <c r="X43" s="531"/>
      <c r="Y43" s="531"/>
      <c r="Z43" s="531"/>
      <c r="AA43" s="531"/>
      <c r="AB43" s="531"/>
      <c r="AC43" s="54"/>
      <c r="AE43" s="536"/>
    </row>
    <row r="44" spans="1:31" x14ac:dyDescent="0.25">
      <c r="A44" s="9" t="s">
        <v>181</v>
      </c>
      <c r="B44" s="9" t="s">
        <v>269</v>
      </c>
      <c r="C44" s="9" t="s">
        <v>328</v>
      </c>
      <c r="D44" s="514" t="s">
        <v>369</v>
      </c>
      <c r="E44" s="431">
        <f ca="1">INDEX(INDIRECT("ExtWTP_"&amp;$C44&amp;"_UnitValues"),MATCH(A$43, INDIRECT("ExtWTP_Comps_"&amp;C44),0),MATCH("HH",ExtWTP_Group,0))</f>
        <v>50</v>
      </c>
      <c r="F44" s="521">
        <f ca="1">INDEX(INDIRECT("SSW_WTPCore2_"&amp;$B44&amp;"_Levels"),1,MATCH(F$4,WTPCore2_AttLevels,0))</f>
        <v>1.4285714285714285E-2</v>
      </c>
      <c r="G44" s="521">
        <f ca="1">INDEX(INDIRECT("SSW_WTPCore2_"&amp;$B44&amp;"_Levels"),1,MATCH(G$4,WTPCore2_AttLevels,0))</f>
        <v>9.5238095238095247E-3</v>
      </c>
      <c r="H44" s="20">
        <f ca="1">INDEX(INDIRECT("SSW_WTPCore2_"&amp;$B44&amp;"_LevelValues"),1,MATCH("S1 MEAN",WTPCore2_LevelValues,0))</f>
        <v>0.39718669024665654</v>
      </c>
      <c r="I44" s="20">
        <f ca="1">INDEX(INDIRECT("SSW_WTPCore2_"&amp;$B44&amp;"_LevelValues"),1,MATCH("S2 MEAN",WTPCore2_LevelValues,0))</f>
        <v>0.53859352958370721</v>
      </c>
      <c r="J44" s="20">
        <f ca="1">SUM(H44:I44)</f>
        <v>0.93578021983036375</v>
      </c>
      <c r="K44" s="278">
        <f ca="1">E44*(F44-G44)</f>
        <v>0.23809523809523803</v>
      </c>
      <c r="L44" s="579">
        <f ca="1">INDEX(INDIRECT("SSW_WTPCore_DCE_"&amp;$B44&amp;"_UnitValues"),MATCH("COMBINED-HH",WTPCore_Group,0),MATCH("MEAN",LMH,0))</f>
        <v>160.37052631578945</v>
      </c>
      <c r="M44" s="579">
        <f ca="1">L44*($F44-$G44)*(AllProps_SSW/HHProps_SSW)</f>
        <v>0.8148571428571425</v>
      </c>
      <c r="N44" s="117">
        <f ca="1">INDEX(INDIRECT("SSW_WTPCore2_"&amp;$B44&amp;"_UnitValues"),1,MATCH("MEAN",LMH,0))</f>
        <v>184.16917331534088</v>
      </c>
      <c r="O44" s="579">
        <f ca="1">N44*($F44-$G44)*(AllProps_SSW/HHProps_SSW)</f>
        <v>0.93578021983036364</v>
      </c>
      <c r="P44" s="20">
        <f ca="1">K44*N$47/K$46</f>
        <v>0.60681166744771153</v>
      </c>
      <c r="Q44" s="514" t="s">
        <v>369</v>
      </c>
      <c r="R44" s="534">
        <f ca="1">P44*HHProps_SSW/((F44-G44)*AllProps_SSW)</f>
        <v>119.42548130821518</v>
      </c>
      <c r="S44" s="16">
        <f ca="1">INDEX(INDIRECT("CAM_WTPCore2_"&amp;$B44&amp;"_Levels"),1,MATCH(S$4,WTPCore2_AttLevels,0))</f>
        <v>2.5000000000000001E-2</v>
      </c>
      <c r="T44" s="16">
        <f ca="1">INDEX(INDIRECT("CAM_WTPCore2_"&amp;$B44&amp;"_Levels"),1,MATCH(T$4,WTPCore2_AttLevels,0))</f>
        <v>1.6666666666666666E-2</v>
      </c>
      <c r="U44" s="216">
        <f ca="1">INDEX(INDIRECT("CAM_WTPCore2_"&amp;$B44&amp;"_LevelValues"),1,MATCH("S1 MEAN",WTPCore2_LevelValues,0))</f>
        <v>5.3490671066612649E-2</v>
      </c>
      <c r="V44" s="216">
        <f ca="1">INDEX(INDIRECT("CAM_WTPCore2_"&amp;$B44&amp;"_LevelValues"),1,MATCH("S2 MEAN",WTPCore2_LevelValues,0))</f>
        <v>0.33457681646237136</v>
      </c>
      <c r="W44" s="216">
        <f ca="1">SUM(U44:V44)</f>
        <v>0.38806748752898401</v>
      </c>
      <c r="X44" s="825">
        <f ca="1">E44*(S44-T44)</f>
        <v>0.41666666666666674</v>
      </c>
      <c r="Y44" s="579">
        <f ca="1">INDEX(INDIRECT("CAM_WTPCore_"&amp;$B44&amp;"_UnitValues"),MATCH("COMBINED-HH",WTPCore_Group,0),MATCH("MEAN",LMH,0))</f>
        <v>27.921526908635794</v>
      </c>
      <c r="Z44" s="579">
        <f ca="1">Y44*($S44-$T44)*(AllProps_CAM/HHProps_CAM)</f>
        <v>0.25044117647058822</v>
      </c>
      <c r="AA44" s="117">
        <f ca="1">INDEX(INDIRECT("CAM_WTPCore2_"&amp;$B44&amp;"_UnitValues"),1,MATCH("MEAN",LMH,0))</f>
        <v>43.265396481954809</v>
      </c>
      <c r="AB44" s="579">
        <f ca="1">AA44*($S44-$T44)*(AllProps_CAM/HHProps_CAM)</f>
        <v>0.38806748752898401</v>
      </c>
      <c r="AC44" s="216">
        <f ca="1">X44*AA$47/X$46</f>
        <v>1.3992697370674969</v>
      </c>
      <c r="AD44" s="341" t="str">
        <f>Q44</f>
        <v>Property affected</v>
      </c>
      <c r="AE44" s="534">
        <f ca="1">(AC44*HHProps_CAM)/((S44-T44)*AllProps_CAM)</f>
        <v>156.0036898347592</v>
      </c>
    </row>
    <row r="45" spans="1:31" x14ac:dyDescent="0.25">
      <c r="A45" s="9" t="s">
        <v>330</v>
      </c>
      <c r="B45" s="9" t="s">
        <v>319</v>
      </c>
      <c r="C45" s="9" t="str">
        <f>B45</f>
        <v>TempBan</v>
      </c>
      <c r="D45" s="514" t="s">
        <v>369</v>
      </c>
      <c r="E45" s="431">
        <f ca="1">INDEX(INDIRECT("ExtWTP_"&amp;$C45&amp;"_UnitValues"),MATCH(A$43, INDIRECT("ExtWTP_Comps_"&amp;C45),0),MATCH("HH",ExtWTP_Group,0))</f>
        <v>34</v>
      </c>
      <c r="F45" s="521">
        <f ca="1">INDEX(INDIRECT("SSW_WTPCore2_"&amp;$B45&amp;"_Levels"),1,MATCH(F$4,WTPCore2_AttLevels,0))</f>
        <v>2.5000000000000001E-2</v>
      </c>
      <c r="G45" s="521">
        <f ca="1">INDEX(INDIRECT("SSW_WTPCore2_"&amp;$B45&amp;"_Levels"),1,MATCH(G$4,WTPCore2_AttLevels,0))</f>
        <v>1.5384615384615385E-2</v>
      </c>
      <c r="H45" s="20">
        <f ca="1">INDEX(INDIRECT("SSW_WTPCore2_"&amp;$B45&amp;"_LevelValues"),1,MATCH("S1 MEAN",WTPCore2_LevelValues,0))</f>
        <v>0.4084226191643695</v>
      </c>
      <c r="I45" s="20">
        <f ca="1">INDEX(INDIRECT("SSW_WTPCore2_"&amp;$B45&amp;"_LevelValues"),1,MATCH("S2 MEAN",WTPCore2_LevelValues,0))</f>
        <v>0.28250000903457151</v>
      </c>
      <c r="J45" s="20">
        <f ca="1">SUM(H45:I45)</f>
        <v>0.69092262819894101</v>
      </c>
      <c r="K45" s="278">
        <f ca="1">E45*(F45-G45)</f>
        <v>0.32692307692307693</v>
      </c>
      <c r="L45" s="820">
        <f t="shared" ref="L45" ca="1" si="34">INDEX(INDIRECT("SSW_WTPCore_DCE_"&amp;$C45&amp;"_UnitValues"),MATCH("COMBINED-HH",WTPCore_Group,0),MATCH("MEAN",LMH,0))</f>
        <v>251711.99999999994</v>
      </c>
      <c r="M45" s="579">
        <f ca="1">L45*(F45-G45)/HHProps_SSW*100</f>
        <v>0.43846153846153835</v>
      </c>
      <c r="N45" s="343">
        <f t="shared" ref="N45" ca="1" si="35">INDEX(INDIRECT("SSW_WTPCore2_"&amp;$C45&amp;"_UnitValues"),1,MATCH("MEAN",LMH,0))</f>
        <v>396644.86239644804</v>
      </c>
      <c r="O45" s="579">
        <f ca="1">N45*(F45-G45)/HHProps_SSW*100</f>
        <v>0.69092262819894101</v>
      </c>
      <c r="P45" s="20">
        <f ca="1">K45*N$47/K$46</f>
        <v>0.83319909722628105</v>
      </c>
      <c r="Q45" s="643" t="s">
        <v>422</v>
      </c>
      <c r="R45" s="534">
        <f ca="1">P45*HHProps_SSW/((F45-G45)*100)</f>
        <v>478322.93773566344</v>
      </c>
      <c r="S45" s="16">
        <f ca="1">INDEX(INDIRECT("CAM_WTPCore2_"&amp;$B45&amp;"_Levels"),1,MATCH(S$4,WTPCore2_AttLevels,0))</f>
        <v>0.05</v>
      </c>
      <c r="T45" s="16">
        <f ca="1">INDEX(INDIRECT("CAM_WTPCore2_"&amp;$B45&amp;"_Levels"),1,MATCH(T$4,WTPCore2_AttLevels,0))</f>
        <v>3.3333333333333333E-2</v>
      </c>
      <c r="U45" s="216">
        <f ca="1">INDEX(INDIRECT("CAM_WTPCore2_"&amp;$B45&amp;"_LevelValues"),1,MATCH("S1 MEAN",WTPCore2_LevelValues,0))</f>
        <v>0.15591350717379643</v>
      </c>
      <c r="V45" s="216">
        <f ca="1">INDEX(INDIRECT("CAM_WTPCore2_"&amp;$B45&amp;"_LevelValues"),1,MATCH("S2 MEAN",WTPCore2_LevelValues,0))</f>
        <v>5.0130987785217407E-2</v>
      </c>
      <c r="W45" s="216">
        <f ca="1">SUM(U45:V45)</f>
        <v>0.20604449495901384</v>
      </c>
      <c r="X45" s="825">
        <f ca="1">E45*(S45-T45)</f>
        <v>0.56666666666666676</v>
      </c>
      <c r="Y45" s="820">
        <f ca="1">INDEX(INDIRECT("CAM_WTPCore_"&amp;$C45&amp;"_UnitValues"),MATCH("COMBINED-HH",WTPCore_Group,0),MATCH("MEAN",LMH,0))</f>
        <v>452735.99999999994</v>
      </c>
      <c r="Z45" s="579">
        <f ca="1">Y45*(S45-T45)/HHProps_CAM*100</f>
        <v>5.7600000000000007</v>
      </c>
      <c r="AA45" s="343">
        <f ca="1">INDEX(INDIRECT("CAM_WTPCore2_"&amp;$C45&amp;"_UnitValues"),1,MATCH("MEAN",LMH,0))</f>
        <v>16195.097303778484</v>
      </c>
      <c r="AB45" s="579">
        <f ca="1">AA45*(S45-T45)/HHProps_CAM*100</f>
        <v>0.20604449495901386</v>
      </c>
      <c r="AC45" s="216">
        <f ca="1">X45*AA$47/X$46</f>
        <v>1.9030068424117961</v>
      </c>
      <c r="AD45" s="341" t="str">
        <f>Q45</f>
        <v>1% change in risk</v>
      </c>
      <c r="AE45" s="534">
        <f ca="1">(AC45*HHProps_CAM)/((S45-T45)*100)</f>
        <v>149576.33781356714</v>
      </c>
    </row>
    <row r="46" spans="1:31" x14ac:dyDescent="0.25">
      <c r="D46" s="514"/>
      <c r="E46" s="431"/>
      <c r="F46" s="20"/>
      <c r="G46" s="20"/>
      <c r="H46" s="20"/>
      <c r="I46" s="20"/>
      <c r="J46" s="445">
        <f ca="1">SUM(J44:J45)</f>
        <v>1.6267028480293049</v>
      </c>
      <c r="K46" s="446">
        <f ca="1">SUM(K44:K45)</f>
        <v>0.56501831501831501</v>
      </c>
      <c r="L46" s="446"/>
      <c r="M46" s="446">
        <f ca="1">SUM(M44:M45)</f>
        <v>1.2533186813186807</v>
      </c>
      <c r="N46" s="446"/>
      <c r="O46" s="289">
        <f ca="1">SUM(O44:O45)</f>
        <v>1.6267028480293046</v>
      </c>
      <c r="P46" s="445">
        <f ca="1">SUM(P44:P45)</f>
        <v>1.4400107646739926</v>
      </c>
      <c r="Q46" s="265"/>
      <c r="R46" s="834"/>
      <c r="S46" s="216"/>
      <c r="T46" s="216"/>
      <c r="U46" s="216"/>
      <c r="V46" s="216"/>
      <c r="W46" s="52">
        <f ca="1">SUM(W44:W45)</f>
        <v>0.5941119824879979</v>
      </c>
      <c r="X46" s="531">
        <f ca="1">SUM(X44:X45)</f>
        <v>0.9833333333333335</v>
      </c>
      <c r="Y46" s="532"/>
      <c r="Z46" s="532">
        <f ca="1">SUM(Z43:Z45)</f>
        <v>6.0104411764705885</v>
      </c>
      <c r="AA46" s="532"/>
      <c r="AB46" s="287">
        <f ca="1">SUM(AB43:AB45)</f>
        <v>0.5941119824879979</v>
      </c>
      <c r="AC46" s="52">
        <f ca="1">SUM(AC44:AC45)</f>
        <v>3.302276579479293</v>
      </c>
      <c r="AE46" s="534"/>
    </row>
    <row r="47" spans="1:31" x14ac:dyDescent="0.25">
      <c r="A47" s="60"/>
      <c r="B47" s="60"/>
      <c r="C47" s="60"/>
      <c r="D47" s="516"/>
      <c r="E47" s="523"/>
      <c r="F47" s="524"/>
      <c r="G47" s="524"/>
      <c r="H47" s="524"/>
      <c r="I47" s="524"/>
      <c r="J47" s="524"/>
      <c r="K47" s="31"/>
      <c r="L47" s="31"/>
      <c r="M47" s="45" t="s">
        <v>997</v>
      </c>
      <c r="N47" s="737">
        <f ca="1">AVERAGE(M46,O46)</f>
        <v>1.4400107646739926</v>
      </c>
      <c r="O47" s="45"/>
      <c r="P47" s="15"/>
      <c r="Q47" s="60"/>
      <c r="R47" s="629"/>
      <c r="S47" s="17"/>
      <c r="T47" s="17"/>
      <c r="U47" s="17"/>
      <c r="V47" s="17"/>
      <c r="W47" s="17"/>
      <c r="X47" s="31"/>
      <c r="Y47" s="31"/>
      <c r="Z47" s="533" t="s">
        <v>997</v>
      </c>
      <c r="AA47" s="737">
        <f ca="1">AVERAGE(Z46,AB46)</f>
        <v>3.302276579479293</v>
      </c>
      <c r="AB47" s="533"/>
      <c r="AC47" s="15"/>
      <c r="AD47" s="60"/>
      <c r="AE47" s="535"/>
    </row>
    <row r="48" spans="1:31" x14ac:dyDescent="0.25">
      <c r="A48" s="61" t="s">
        <v>179</v>
      </c>
      <c r="B48" s="237"/>
      <c r="D48" s="515"/>
      <c r="E48" s="522"/>
      <c r="F48" s="448"/>
      <c r="G48" s="448"/>
      <c r="H48" s="497"/>
      <c r="I48" s="497"/>
      <c r="J48" s="497"/>
      <c r="K48" s="531"/>
      <c r="L48" s="531"/>
      <c r="M48" s="531"/>
      <c r="N48" s="531"/>
      <c r="O48" s="531"/>
      <c r="P48" s="54"/>
      <c r="Q48" s="912"/>
      <c r="R48" s="630"/>
      <c r="S48" s="54"/>
      <c r="T48" s="54"/>
      <c r="U48" s="53"/>
      <c r="V48" s="53"/>
      <c r="W48" s="53"/>
      <c r="X48" s="531"/>
      <c r="Y48" s="531"/>
      <c r="Z48" s="531"/>
      <c r="AA48" s="531"/>
      <c r="AB48" s="531"/>
      <c r="AC48" s="54"/>
      <c r="AE48" s="536"/>
    </row>
    <row r="49" spans="1:31" x14ac:dyDescent="0.25">
      <c r="A49" s="9" t="s">
        <v>181</v>
      </c>
      <c r="B49" s="9" t="s">
        <v>269</v>
      </c>
      <c r="C49" s="9" t="s">
        <v>328</v>
      </c>
      <c r="D49" s="514" t="s">
        <v>369</v>
      </c>
      <c r="E49" s="431">
        <f ca="1">INDEX(INDIRECT("ExtWTP_"&amp;$C49&amp;"_UnitValues"),MATCH(A$48, INDIRECT("ExtWTP_Comps_"&amp;C49),0),MATCH("HH",ExtWTP_Group,0))</f>
        <v>320</v>
      </c>
      <c r="F49" s="521">
        <f t="shared" ref="F49:G51" ca="1" si="36">INDEX(INDIRECT("SSW_WTPCore2_"&amp;$B49&amp;"_Levels"),1,MATCH(F$4,WTPCore2_AttLevels,0))</f>
        <v>1.4285714285714285E-2</v>
      </c>
      <c r="G49" s="521">
        <f t="shared" ca="1" si="36"/>
        <v>9.5238095238095247E-3</v>
      </c>
      <c r="H49" s="20">
        <f ca="1">INDEX(INDIRECT("SSW_WTPCore2_"&amp;$B49&amp;"_LevelValues"),1,MATCH("S1 MEAN",WTPCore2_LevelValues,0))</f>
        <v>0.39718669024665654</v>
      </c>
      <c r="I49" s="20">
        <f ca="1">INDEX(INDIRECT("SSW_WTPCore2_"&amp;$B49&amp;"_LevelValues"),1,MATCH("S2 MEAN",WTPCore2_LevelValues,0))</f>
        <v>0.53859352958370721</v>
      </c>
      <c r="J49" s="20">
        <f ca="1">SUM(H49:I49)</f>
        <v>0.93578021983036375</v>
      </c>
      <c r="K49" s="278">
        <f ca="1">E49*(F49-G49)</f>
        <v>1.5238095238095233</v>
      </c>
      <c r="L49" s="579">
        <f ca="1">INDEX(INDIRECT("SSW_WTPCore_DCE_"&amp;$B49&amp;"_UnitValues"),MATCH("COMBINED-HH",WTPCore_Group,0),MATCH("MEAN",LMH,0))</f>
        <v>160.37052631578945</v>
      </c>
      <c r="M49" s="579">
        <f ca="1">L49*($F49-$G49)*(AllProps_SSW/HHProps_SSW)</f>
        <v>0.8148571428571425</v>
      </c>
      <c r="N49" s="117">
        <f ca="1">INDEX(INDIRECT("SSW_WTPCore2_"&amp;$B49&amp;"_UnitValues"),1,MATCH("MEAN",LMH,0))</f>
        <v>184.16917331534088</v>
      </c>
      <c r="O49" s="579">
        <f ca="1">N49*($F49-$G49)*(AllProps_SSW/HHProps_SSW)</f>
        <v>0.93578021983036364</v>
      </c>
      <c r="P49" s="20">
        <f ca="1">K49*N$53/K$52</f>
        <v>0.3783178100089854</v>
      </c>
      <c r="Q49" s="514" t="s">
        <v>369</v>
      </c>
      <c r="R49" s="534">
        <f ca="1">P49*HHProps_SSW/((F49-G49)*AllProps_SSW)</f>
        <v>74.456028075113068</v>
      </c>
      <c r="S49" s="16">
        <f t="shared" ref="S49:T51" ca="1" si="37">INDEX(INDIRECT("CAM_WTPCore2_"&amp;$B49&amp;"_Levels"),1,MATCH(S$4,WTPCore2_AttLevels,0))</f>
        <v>2.5000000000000001E-2</v>
      </c>
      <c r="T49" s="16">
        <f t="shared" ca="1" si="37"/>
        <v>1.6666666666666666E-2</v>
      </c>
      <c r="U49" s="216">
        <f ca="1">INDEX(INDIRECT("CAM_WTPCore2_"&amp;$B49&amp;"_LevelValues"),1,MATCH("S1 MEAN",WTPCore2_LevelValues,0))</f>
        <v>5.3490671066612649E-2</v>
      </c>
      <c r="V49" s="216">
        <f ca="1">INDEX(INDIRECT("CAM_WTPCore2_"&amp;$B49&amp;"_LevelValues"),1,MATCH("S2 MEAN",WTPCore2_LevelValues,0))</f>
        <v>0.33457681646237136</v>
      </c>
      <c r="W49" s="216">
        <f ca="1">SUM(U49:V49)</f>
        <v>0.38806748752898401</v>
      </c>
      <c r="X49" s="825">
        <f ca="1">E49*(S49-T49)</f>
        <v>2.666666666666667</v>
      </c>
      <c r="Y49" s="579">
        <f ca="1">INDEX(INDIRECT("CAM_WTPCore_"&amp;$B49&amp;"_UnitValues"),MATCH("COMBINED-HH",WTPCore_Group,0),MATCH("MEAN",LMH,0))</f>
        <v>27.921526908635794</v>
      </c>
      <c r="Z49" s="579">
        <f ca="1">Y49*($S49-$T49)*(AllProps_CAM/HHProps_CAM)</f>
        <v>0.25044117647058822</v>
      </c>
      <c r="AA49" s="117">
        <f ca="1">INDEX(INDIRECT("CAM_WTPCore2_"&amp;$B49&amp;"_UnitValues"),1,MATCH("MEAN",LMH,0))</f>
        <v>43.265396481954809</v>
      </c>
      <c r="AB49" s="579">
        <f ca="1">AA49*($S49-$T49)*(AllProps_CAM/HHProps_CAM)</f>
        <v>0.38806748752898401</v>
      </c>
      <c r="AC49" s="216">
        <f ca="1">X49*AA$53/X$52</f>
        <v>1.5573071376212584</v>
      </c>
      <c r="AD49" s="341" t="str">
        <f>Q49</f>
        <v>Property affected</v>
      </c>
      <c r="AE49" s="534">
        <f ca="1">(AC49*HHProps_CAM)/((S49-T49)*AllProps_CAM)</f>
        <v>173.62317874756152</v>
      </c>
    </row>
    <row r="50" spans="1:31" x14ac:dyDescent="0.25">
      <c r="A50" s="9" t="s">
        <v>330</v>
      </c>
      <c r="B50" s="9" t="s">
        <v>319</v>
      </c>
      <c r="C50" s="9" t="str">
        <f>B50</f>
        <v>TempBan</v>
      </c>
      <c r="D50" s="514" t="s">
        <v>369</v>
      </c>
      <c r="E50" s="431">
        <f ca="1">INDEX(INDIRECT("ExtWTP_"&amp;$C50&amp;"_UnitValues"),MATCH(A$48, INDIRECT("ExtWTP_Comps_"&amp;C50),0),MATCH("HH",ExtWTP_Group,0))</f>
        <v>24</v>
      </c>
      <c r="F50" s="521">
        <f t="shared" ca="1" si="36"/>
        <v>2.5000000000000001E-2</v>
      </c>
      <c r="G50" s="521">
        <f t="shared" ca="1" si="36"/>
        <v>1.5384615384615385E-2</v>
      </c>
      <c r="H50" s="20">
        <f ca="1">INDEX(INDIRECT("SSW_WTPCore2_"&amp;$B50&amp;"_LevelValues"),1,MATCH("S1 MEAN",WTPCore2_LevelValues,0))</f>
        <v>0.4084226191643695</v>
      </c>
      <c r="I50" s="20">
        <f ca="1">INDEX(INDIRECT("SSW_WTPCore2_"&amp;$B50&amp;"_LevelValues"),1,MATCH("S2 MEAN",WTPCore2_LevelValues,0))</f>
        <v>0.28250000903457151</v>
      </c>
      <c r="J50" s="20">
        <f ca="1">SUM(H50:I50)</f>
        <v>0.69092262819894101</v>
      </c>
      <c r="K50" s="278">
        <f ca="1">E50*(F50-G50)</f>
        <v>0.23076923076923078</v>
      </c>
      <c r="L50" s="820">
        <f t="shared" ref="L50:L51" ca="1" si="38">INDEX(INDIRECT("SSW_WTPCore_DCE_"&amp;$C50&amp;"_UnitValues"),MATCH("COMBINED-HH",WTPCore_Group,0),MATCH("MEAN",LMH,0))</f>
        <v>251711.99999999994</v>
      </c>
      <c r="M50" s="579">
        <f ca="1">L50*(F50-G50)/HHProps_SSW*100</f>
        <v>0.43846153846153835</v>
      </c>
      <c r="N50" s="343">
        <f t="shared" ref="N50:N51" ca="1" si="39">INDEX(INDIRECT("SSW_WTPCore2_"&amp;$C50&amp;"_UnitValues"),1,MATCH("MEAN",LMH,0))</f>
        <v>396644.86239644804</v>
      </c>
      <c r="O50" s="579">
        <f ca="1">N50*(F50-G50)/HHProps_SSW*100</f>
        <v>0.69092262819894101</v>
      </c>
      <c r="P50" s="20">
        <f t="shared" ref="P50:P51" ca="1" si="40">K50*N$53/K$52</f>
        <v>5.7293322188860796E-2</v>
      </c>
      <c r="Q50" s="643" t="s">
        <v>422</v>
      </c>
      <c r="R50" s="534">
        <f ca="1">P50*HHProps_SSW/((F50-G50)*100)</f>
        <v>32890.950402181203</v>
      </c>
      <c r="S50" s="16">
        <f t="shared" ca="1" si="37"/>
        <v>0.05</v>
      </c>
      <c r="T50" s="16">
        <f t="shared" ca="1" si="37"/>
        <v>3.3333333333333333E-2</v>
      </c>
      <c r="U50" s="216">
        <f ca="1">INDEX(INDIRECT("CAM_WTPCore2_"&amp;$B50&amp;"_LevelValues"),1,MATCH("S1 MEAN",WTPCore2_LevelValues,0))</f>
        <v>0.15591350717379643</v>
      </c>
      <c r="V50" s="216">
        <f ca="1">INDEX(INDIRECT("CAM_WTPCore2_"&amp;$B50&amp;"_LevelValues"),1,MATCH("S2 MEAN",WTPCore2_LevelValues,0))</f>
        <v>5.0130987785217407E-2</v>
      </c>
      <c r="W50" s="216">
        <f t="shared" ref="W50:W51" ca="1" si="41">SUM(U50:V50)</f>
        <v>0.20604449495901384</v>
      </c>
      <c r="X50" s="825">
        <f ca="1">E50*(S50-T50)</f>
        <v>0.40000000000000008</v>
      </c>
      <c r="Y50" s="820">
        <f ca="1">INDEX(INDIRECT("CAM_WTPCore_"&amp;$C50&amp;"_UnitValues"),MATCH("COMBINED-HH",WTPCore_Group,0),MATCH("MEAN",LMH,0))</f>
        <v>452735.99999999994</v>
      </c>
      <c r="Z50" s="579">
        <f ca="1">Y50*(S50-T50)/HHProps_CAM*100</f>
        <v>5.7600000000000007</v>
      </c>
      <c r="AA50" s="343">
        <f ca="1">INDEX(INDIRECT("CAM_WTPCore2_"&amp;$C50&amp;"_UnitValues"),1,MATCH("MEAN",LMH,0))</f>
        <v>16195.097303778484</v>
      </c>
      <c r="AB50" s="579">
        <f ca="1">AA50*(S50-T50)/HHProps_CAM*100</f>
        <v>0.20604449495901386</v>
      </c>
      <c r="AC50" s="216">
        <f t="shared" ref="AC50:AC51" ca="1" si="42">X50*AA$53/X$52</f>
        <v>0.23359607064318877</v>
      </c>
      <c r="AD50" s="341" t="str">
        <f>Q50</f>
        <v>1% change in risk</v>
      </c>
      <c r="AE50" s="534">
        <f ca="1">(AC50*HHProps_CAM)/((S50-T50)*100)</f>
        <v>18360.651152554634</v>
      </c>
    </row>
    <row r="51" spans="1:31" x14ac:dyDescent="0.25">
      <c r="A51" s="9" t="s">
        <v>185</v>
      </c>
      <c r="B51" s="9" t="s">
        <v>270</v>
      </c>
      <c r="C51" s="9" t="str">
        <f>B51</f>
        <v>LowPressure</v>
      </c>
      <c r="D51" s="514" t="s">
        <v>369</v>
      </c>
      <c r="E51" s="431">
        <f ca="1">INDEX(INDIRECT("ExtWTP_"&amp;$C51&amp;"_UnitValues"),MATCH(A$48, INDIRECT("ExtWTP_Comps_"&amp;C51),0),MATCH("HH",ExtWTP_Group,0))</f>
        <v>229</v>
      </c>
      <c r="F51" s="521">
        <f t="shared" ca="1" si="36"/>
        <v>0.1</v>
      </c>
      <c r="G51" s="521">
        <f t="shared" ca="1" si="36"/>
        <v>6.6666666666666666E-2</v>
      </c>
      <c r="H51" s="20">
        <f ca="1">INDEX(INDIRECT("SSW_WTPCore2_"&amp;$B51&amp;"_LevelValues"),1,MATCH("S1 MEAN",WTPCore2_LevelValues,0))</f>
        <v>0.78010561855806027</v>
      </c>
      <c r="I51" s="20">
        <f ca="1">INDEX(INDIRECT("SSW_WTPCore2_"&amp;$B51&amp;"_LevelValues"),1,MATCH("S2 MEAN",WTPCore2_LevelValues,0))</f>
        <v>0.37050953266002729</v>
      </c>
      <c r="J51" s="20">
        <f ca="1">SUM(H51:I51)</f>
        <v>1.1506151512180876</v>
      </c>
      <c r="K51" s="278">
        <f ca="1">E51*(F51-G51)</f>
        <v>7.6333333333333346</v>
      </c>
      <c r="L51" s="579">
        <f t="shared" ca="1" si="38"/>
        <v>40.646907591559547</v>
      </c>
      <c r="M51" s="579">
        <f ca="1">L51*(F51-G51)*(AllProps_SSW/HHProps_SSW)</f>
        <v>1.445714285714286</v>
      </c>
      <c r="N51" s="117">
        <f t="shared" ca="1" si="39"/>
        <v>32.35006265563927</v>
      </c>
      <c r="O51" s="579">
        <f ca="1">N51*($F51-$G51)*(AllProps_SSW/HHProps_SSW)</f>
        <v>1.1506151512180878</v>
      </c>
      <c r="P51" s="20">
        <f t="shared" ca="1" si="40"/>
        <v>1.8951357795137622</v>
      </c>
      <c r="Q51" s="514" t="s">
        <v>369</v>
      </c>
      <c r="R51" s="534">
        <f ca="1">P51*HHProps_SSW/((F51-G51)*AllProps_SSW)</f>
        <v>53.282595091252794</v>
      </c>
      <c r="S51" s="16">
        <f t="shared" ca="1" si="37"/>
        <v>9.0909090909090912E-2</v>
      </c>
      <c r="T51" s="16">
        <f t="shared" ca="1" si="37"/>
        <v>6.6666666666666666E-2</v>
      </c>
      <c r="U51" s="216">
        <f ca="1">INDEX(INDIRECT("CAM_WTPCore2_"&amp;$B51&amp;"_LevelValues"),1,MATCH("S1 MEAN",WTPCore2_LevelValues,0))</f>
        <v>2.1416418362159599</v>
      </c>
      <c r="V51" s="216">
        <f ca="1">INDEX(INDIRECT("CAM_WTPCore2_"&amp;$B51&amp;"_LevelValues"),1,MATCH("S2 MEAN",WTPCore2_LevelValues,0))</f>
        <v>0.84070533256091329</v>
      </c>
      <c r="W51" s="216">
        <f t="shared" ca="1" si="41"/>
        <v>2.9823471687768732</v>
      </c>
      <c r="X51" s="825">
        <f ca="1">E51*(S51-T51)</f>
        <v>5.5515151515151526</v>
      </c>
      <c r="Y51" s="579">
        <f ca="1">INDEX(INDIRECT("CAM_WTPCore_"&amp;$B51&amp;"_UnitValues"),MATCH("COMBINED-HH",WTPCore_Group,0),MATCH("MEAN",LMH,0))</f>
        <v>18.356144634344844</v>
      </c>
      <c r="Z51" s="579">
        <f ca="1">Y51*($S51-$T51)*(AllProps_CAM/HHProps_CAM)</f>
        <v>0.47896671634376553</v>
      </c>
      <c r="AA51" s="117">
        <f ca="1">INDEX(INDIRECT("CAM_WTPCore2_"&amp;$B51&amp;"_UnitValues"),1,MATCH("MEAN",LMH,0))</f>
        <v>114.29686888849665</v>
      </c>
      <c r="AB51" s="579">
        <f ca="1">AA51*($S51-$T51)*(AllProps_CAM/HHProps_CAM)</f>
        <v>2.9823471687768732</v>
      </c>
      <c r="AC51" s="216">
        <f t="shared" ca="1" si="42"/>
        <v>3.2420303137751656</v>
      </c>
      <c r="AD51" s="341" t="str">
        <f>Q51</f>
        <v>Property affected</v>
      </c>
      <c r="AE51" s="534">
        <f ca="1">(AC51*HHProps_CAM)/((S51-T51)*AllProps_CAM)</f>
        <v>124.24908729122376</v>
      </c>
    </row>
    <row r="52" spans="1:31" x14ac:dyDescent="0.25">
      <c r="D52" s="514"/>
      <c r="E52" s="431"/>
      <c r="F52" s="521"/>
      <c r="G52" s="521"/>
      <c r="H52" s="20"/>
      <c r="I52" s="20"/>
      <c r="J52" s="826">
        <f ca="1">SUM(J49:J51)</f>
        <v>2.7773179992473924</v>
      </c>
      <c r="K52" s="446">
        <f ca="1">SUM(K49:K51)</f>
        <v>9.3879120879120883</v>
      </c>
      <c r="L52" s="446"/>
      <c r="M52" s="446">
        <f ca="1">SUM(M50:M51)</f>
        <v>1.8841758241758244</v>
      </c>
      <c r="N52" s="446"/>
      <c r="O52" s="446">
        <f ca="1">SUM(O49:O51)</f>
        <v>2.7773179992473924</v>
      </c>
      <c r="P52" s="445">
        <f ca="1">SUM(P49:P51)</f>
        <v>2.3307469117116084</v>
      </c>
      <c r="Q52" s="37"/>
      <c r="R52" s="927"/>
      <c r="S52" s="16"/>
      <c r="T52" s="16"/>
      <c r="U52" s="216"/>
      <c r="V52" s="216"/>
      <c r="W52" s="52">
        <f ca="1">SUM(W49:W51)</f>
        <v>3.5764591512648711</v>
      </c>
      <c r="X52" s="531">
        <f ca="1">SUM(X49:X51)</f>
        <v>8.6181818181818191</v>
      </c>
      <c r="Y52" s="532"/>
      <c r="Z52" s="532">
        <f ca="1">SUM(Z49:Z51)</f>
        <v>6.4894078928143539</v>
      </c>
      <c r="AA52" s="532"/>
      <c r="AB52" s="287">
        <f ca="1">SUM(AB49:AB51)</f>
        <v>3.5764591512648711</v>
      </c>
      <c r="AC52" s="52">
        <f ca="1">SUM(AC49:AC51)</f>
        <v>5.0329335220396132</v>
      </c>
      <c r="AE52" s="534"/>
    </row>
    <row r="53" spans="1:31" x14ac:dyDescent="0.25">
      <c r="A53" s="60"/>
      <c r="B53" s="60"/>
      <c r="C53" s="60"/>
      <c r="D53" s="516"/>
      <c r="E53" s="523"/>
      <c r="F53" s="524"/>
      <c r="G53" s="524"/>
      <c r="H53" s="524"/>
      <c r="I53" s="524"/>
      <c r="J53" s="524"/>
      <c r="K53" s="31"/>
      <c r="L53" s="31"/>
      <c r="M53" s="45" t="s">
        <v>997</v>
      </c>
      <c r="N53" s="737">
        <f ca="1">AVERAGE(M52,O52)</f>
        <v>2.3307469117116084</v>
      </c>
      <c r="O53" s="45"/>
      <c r="P53" s="15"/>
      <c r="Q53" s="60"/>
      <c r="R53" s="629"/>
      <c r="S53" s="17"/>
      <c r="T53" s="17"/>
      <c r="U53" s="17"/>
      <c r="V53" s="17"/>
      <c r="W53" s="17"/>
      <c r="X53" s="31"/>
      <c r="Y53" s="31"/>
      <c r="Z53" s="533" t="s">
        <v>997</v>
      </c>
      <c r="AA53" s="737">
        <f ca="1">AVERAGE(Z52,AB52)</f>
        <v>5.0329335220396123</v>
      </c>
      <c r="AB53" s="533"/>
      <c r="AC53" s="15"/>
      <c r="AD53" s="60"/>
      <c r="AE53" s="535"/>
    </row>
    <row r="54" spans="1:31" x14ac:dyDescent="0.25">
      <c r="A54" s="61" t="s">
        <v>174</v>
      </c>
      <c r="B54" s="237"/>
      <c r="D54" s="515"/>
      <c r="E54" s="522"/>
      <c r="F54" s="448"/>
      <c r="G54" s="448"/>
      <c r="H54" s="497"/>
      <c r="I54" s="497"/>
      <c r="J54" s="497"/>
      <c r="K54" s="531"/>
      <c r="L54" s="531"/>
      <c r="M54" s="531"/>
      <c r="N54" s="531"/>
      <c r="O54" s="531"/>
      <c r="P54" s="54"/>
      <c r="Q54" s="912"/>
      <c r="R54" s="630"/>
      <c r="S54" s="54"/>
      <c r="T54" s="54"/>
      <c r="U54" s="53"/>
      <c r="V54" s="53"/>
      <c r="W54" s="53"/>
      <c r="X54" s="531"/>
      <c r="Y54" s="531"/>
      <c r="Z54" s="531"/>
      <c r="AA54" s="531"/>
      <c r="AB54" s="531"/>
      <c r="AC54" s="54"/>
      <c r="AE54" s="536"/>
    </row>
    <row r="55" spans="1:31" x14ac:dyDescent="0.25">
      <c r="A55" s="9" t="s">
        <v>25</v>
      </c>
      <c r="B55" s="9" t="s">
        <v>266</v>
      </c>
      <c r="C55" s="9" t="str">
        <f>B55</f>
        <v>Discolour</v>
      </c>
      <c r="D55" s="514" t="s">
        <v>369</v>
      </c>
      <c r="E55" s="431">
        <f ca="1">INDEX(INDIRECT("ExtWTP_"&amp;$C55&amp;"_UnitValues"),MATCH(A$54, INDIRECT("ExtWTP_Comps_"&amp;C55),0),MATCH("HH",ExtWTP_Group,0))</f>
        <v>6510</v>
      </c>
      <c r="F55" s="521">
        <f t="shared" ref="F55:G58" ca="1" si="43">INDEX(INDIRECT("SSW_WTPCore2_"&amp;$B55&amp;"_Levels"),1,MATCH(F$4,WTPCore2_AttLevels,0))</f>
        <v>6.6666666666666666E-2</v>
      </c>
      <c r="G55" s="521">
        <f t="shared" ca="1" si="43"/>
        <v>0.04</v>
      </c>
      <c r="H55" s="20">
        <f ca="1">INDEX(INDIRECT("SSW_WTPCore2_"&amp;$B55&amp;"_LevelValues"),1,MATCH("S1 MEAN",WTPCore2_LevelValues,0))</f>
        <v>3.3679929677046498</v>
      </c>
      <c r="I55" s="20">
        <f ca="1">INDEX(INDIRECT("SSW_WTPCore2_"&amp;$B55&amp;"_LevelValues"),1,MATCH("S2 MEAN",WTPCore2_LevelValues,0))</f>
        <v>0.60669022375558512</v>
      </c>
      <c r="J55" s="20">
        <f ca="1">SUM(H55:I55)</f>
        <v>3.974683191460235</v>
      </c>
      <c r="K55" s="278">
        <f ca="1">E55*(F55-G55)</f>
        <v>173.6</v>
      </c>
      <c r="L55" s="579">
        <f ca="1">INDEX(INDIRECT("SSW_WTPCore_DCE_"&amp;$C55&amp;"_UnitValues"),MATCH("COMBINED-HH",WTPCore_Group,0),MATCH("MEAN",LMH,0))</f>
        <v>27.809917858229387</v>
      </c>
      <c r="M55" s="579">
        <f ca="1">L55*(F55-G55)*(AllProps_SSW/HHProps_SSW)</f>
        <v>0.79130635838150276</v>
      </c>
      <c r="N55" s="117">
        <f ca="1">INDEX(INDIRECT("SSW_WTPCore2_"&amp;$C55&amp;"_UnitValues"),1,MATCH("MEAN",LMH,0))</f>
        <v>139.68750774741403</v>
      </c>
      <c r="O55" s="579">
        <f ca="1">N55*($F55-$G55)*(AllProps_SSW/HHProps_SSW)</f>
        <v>3.974683191460235</v>
      </c>
      <c r="P55" s="20">
        <f ca="1">K55*N$60/K$59</f>
        <v>4.535232544523967</v>
      </c>
      <c r="Q55" s="514" t="s">
        <v>369</v>
      </c>
      <c r="R55" s="534">
        <f ca="1">P55*HHProps_SSW/((F55-G55)*AllProps_SSW)</f>
        <v>159.3876293236776</v>
      </c>
      <c r="S55" s="16">
        <f t="shared" ref="S55:T58" ca="1" si="44">INDEX(INDIRECT("CAM_WTPCore2_"&amp;$B55&amp;"_Levels"),1,MATCH(S$4,WTPCore2_AttLevels,0))</f>
        <v>2.2222222222222223E-2</v>
      </c>
      <c r="T55" s="16">
        <f t="shared" ca="1" si="44"/>
        <v>1.5384615384615385E-2</v>
      </c>
      <c r="U55" s="216">
        <f ca="1">INDEX(INDIRECT("CAM_WTPCore2_"&amp;$B55&amp;"_LevelValues"),1,MATCH("S1 MEAN",WTPCore2_LevelValues,0))</f>
        <v>3.1155463151224057</v>
      </c>
      <c r="V55" s="216">
        <f ca="1">INDEX(INDIRECT("CAM_WTPCore2_"&amp;$B55&amp;"_LevelValues"),1,MATCH("S2 MEAN",WTPCore2_LevelValues,0))</f>
        <v>1.3419840000849801</v>
      </c>
      <c r="W55" s="216">
        <f ca="1">SUM(U55:V55)</f>
        <v>4.4575303152073857</v>
      </c>
      <c r="X55" s="825">
        <f ca="1">E55*(S55-T55)</f>
        <v>44.512820512820511</v>
      </c>
      <c r="Y55" s="579">
        <f ca="1">INDEX(INDIRECT("CAM_WTPCore_"&amp;$C55&amp;"_UnitValues"),MATCH("COMBINED-HH",WTPCore_Group,0),MATCH("MEAN",LMH,0))</f>
        <v>305.14240121580548</v>
      </c>
      <c r="Z55" s="579">
        <f ca="1">Y55*($S55-$T55)*(AllProps_CAM/HHProps_CAM)</f>
        <v>2.2457142857142856</v>
      </c>
      <c r="AA55" s="117">
        <f ca="1">INDEX(INDIRECT("CAM_WTPCore2_"&amp;$C55&amp;"_UnitValues"),1,MATCH("MEAN",LMH,0))</f>
        <v>605.67878671262065</v>
      </c>
      <c r="AB55" s="579">
        <f ca="1">AA55*($S55-$T55)*(AllProps_CAM/HHProps_CAM)</f>
        <v>4.4575303152073857</v>
      </c>
      <c r="AC55" s="216">
        <f ca="1">X55*AA$60/X$59</f>
        <v>5.770978778898999</v>
      </c>
      <c r="AD55" s="341" t="str">
        <f>Q55</f>
        <v>Property affected</v>
      </c>
      <c r="AE55" s="534">
        <f ca="1">(AC55*HHProps_CAM)/((S55-T55)*AllProps_CAM)</f>
        <v>784.14708993071781</v>
      </c>
    </row>
    <row r="56" spans="1:31" x14ac:dyDescent="0.25">
      <c r="A56" s="9" t="s">
        <v>182</v>
      </c>
      <c r="B56" s="9" t="s">
        <v>269</v>
      </c>
      <c r="C56" s="9" t="s">
        <v>326</v>
      </c>
      <c r="D56" s="514" t="s">
        <v>369</v>
      </c>
      <c r="E56" s="431">
        <f ca="1">INDEX(INDIRECT("ExtWTP_"&amp;$C56&amp;"_UnitValues"),MATCH(A$54, INDIRECT("ExtWTP_Comps_"&amp;C56),0),MATCH("HH",ExtWTP_Group,0))</f>
        <v>790</v>
      </c>
      <c r="F56" s="521">
        <f t="shared" ca="1" si="43"/>
        <v>1.4285714285714285E-2</v>
      </c>
      <c r="G56" s="521">
        <f t="shared" ca="1" si="43"/>
        <v>9.5238095238095247E-3</v>
      </c>
      <c r="H56" s="20">
        <f ca="1">INDEX(INDIRECT("SSW_WTPCore2_"&amp;$B56&amp;"_LevelValues"),1,MATCH("S1 MEAN",WTPCore2_LevelValues,0))</f>
        <v>0.39718669024665654</v>
      </c>
      <c r="I56" s="20">
        <f ca="1">INDEX(INDIRECT("SSW_WTPCore2_"&amp;$B56&amp;"_LevelValues"),1,MATCH("S2 MEAN",WTPCore2_LevelValues,0))</f>
        <v>0.53859352958370721</v>
      </c>
      <c r="J56" s="20">
        <f ca="1">SUM(H56:I56)</f>
        <v>0.93578021983036375</v>
      </c>
      <c r="K56" s="278">
        <f ca="1">E56*(F56-G56)</f>
        <v>3.761904761904761</v>
      </c>
      <c r="L56" s="579">
        <f ca="1">INDEX(INDIRECT("SSW_WTPCore_DCE_"&amp;$B56&amp;"_UnitValues"),MATCH("COMBINED-HH",WTPCore_Group,0),MATCH("MEAN",LMH,0))</f>
        <v>160.37052631578945</v>
      </c>
      <c r="M56" s="579">
        <f ca="1">L56*($F56-$G56)*(AllProps_SSW/HHProps_SSW)</f>
        <v>0.8148571428571425</v>
      </c>
      <c r="N56" s="117">
        <f ca="1">INDEX(INDIRECT("SSW_WTPCore2_"&amp;$B56&amp;"_UnitValues"),1,MATCH("MEAN",LMH,0))</f>
        <v>184.16917331534088</v>
      </c>
      <c r="O56" s="579">
        <f ca="1">N56*($F56-$G56)*(AllProps_SSW/HHProps_SSW)</f>
        <v>0.93578021983036364</v>
      </c>
      <c r="P56" s="20">
        <f t="shared" ref="P56:P58" ca="1" si="45">K56*N$60/K$59</f>
        <v>9.8278300147408737E-2</v>
      </c>
      <c r="Q56" s="514" t="s">
        <v>369</v>
      </c>
      <c r="R56" s="534">
        <f ca="1">P56*HHProps_SSW/((F56-G56)*AllProps_SSW)</f>
        <v>19.341970378756574</v>
      </c>
      <c r="S56" s="16">
        <f t="shared" ca="1" si="44"/>
        <v>2.5000000000000001E-2</v>
      </c>
      <c r="T56" s="16">
        <f t="shared" ca="1" si="44"/>
        <v>1.6666666666666666E-2</v>
      </c>
      <c r="U56" s="216">
        <f ca="1">INDEX(INDIRECT("CAM_WTPCore2_"&amp;$B56&amp;"_LevelValues"),1,MATCH("S1 MEAN",WTPCore2_LevelValues,0))</f>
        <v>5.3490671066612649E-2</v>
      </c>
      <c r="V56" s="216">
        <f ca="1">INDEX(INDIRECT("CAM_WTPCore2_"&amp;$B56&amp;"_LevelValues"),1,MATCH("S2 MEAN",WTPCore2_LevelValues,0))</f>
        <v>0.33457681646237136</v>
      </c>
      <c r="W56" s="216">
        <f t="shared" ref="W56:W58" ca="1" si="46">SUM(U56:V56)</f>
        <v>0.38806748752898401</v>
      </c>
      <c r="X56" s="825">
        <f ca="1">E56*(S56-T56)</f>
        <v>6.5833333333333348</v>
      </c>
      <c r="Y56" s="579">
        <f ca="1">INDEX(INDIRECT("CAM_WTPCore_"&amp;$B56&amp;"_UnitValues"),MATCH("COMBINED-HH",WTPCore_Group,0),MATCH("MEAN",LMH,0))</f>
        <v>27.921526908635794</v>
      </c>
      <c r="Z56" s="579">
        <f ca="1">Y56*($S56-$T56)*(AllProps_CAM/HHProps_CAM)</f>
        <v>0.25044117647058822</v>
      </c>
      <c r="AA56" s="117">
        <f ca="1">INDEX(INDIRECT("CAM_WTPCore2_"&amp;$B56&amp;"_UnitValues"),1,MATCH("MEAN",LMH,0))</f>
        <v>43.265396481954809</v>
      </c>
      <c r="AB56" s="579">
        <f ca="1">AA56*($S56-$T56)*(AllProps_CAM/HHProps_CAM)</f>
        <v>0.38806748752898401</v>
      </c>
      <c r="AC56" s="216">
        <f t="shared" ref="AC56:AC58" ca="1" si="47">X56*AA$60/X$59</f>
        <v>0.85351313449442301</v>
      </c>
      <c r="AD56" s="341" t="str">
        <f>Q56</f>
        <v>Property affected</v>
      </c>
      <c r="AE56" s="534">
        <f ca="1">(AC56*HHProps_CAM)/((S56-T56)*AllProps_CAM)</f>
        <v>95.157634569165438</v>
      </c>
    </row>
    <row r="57" spans="1:31" x14ac:dyDescent="0.25">
      <c r="A57" s="9" t="s">
        <v>330</v>
      </c>
      <c r="B57" s="9" t="s">
        <v>319</v>
      </c>
      <c r="C57" s="9" t="str">
        <f>B57</f>
        <v>TempBan</v>
      </c>
      <c r="D57" s="514" t="s">
        <v>369</v>
      </c>
      <c r="E57" s="431">
        <f ca="1">INDEX(INDIRECT("ExtWTP_"&amp;$C57&amp;"_UnitValues"),MATCH(A$54, INDIRECT("ExtWTP_Comps_"&amp;C57),0),MATCH("HH",ExtWTP_Group,0))</f>
        <v>0</v>
      </c>
      <c r="F57" s="521">
        <f t="shared" ca="1" si="43"/>
        <v>2.5000000000000001E-2</v>
      </c>
      <c r="G57" s="521">
        <f t="shared" ca="1" si="43"/>
        <v>1.5384615384615385E-2</v>
      </c>
      <c r="H57" s="20">
        <f ca="1">INDEX(INDIRECT("SSW_WTPCore2_"&amp;$B57&amp;"_LevelValues"),1,MATCH("S1 MEAN",WTPCore2_LevelValues,0))</f>
        <v>0.4084226191643695</v>
      </c>
      <c r="I57" s="20">
        <f ca="1">INDEX(INDIRECT("SSW_WTPCore2_"&amp;$B57&amp;"_LevelValues"),1,MATCH("S2 MEAN",WTPCore2_LevelValues,0))</f>
        <v>0.28250000903457151</v>
      </c>
      <c r="J57" s="20">
        <f ca="1">SUM(H57:I57)</f>
        <v>0.69092262819894101</v>
      </c>
      <c r="K57" s="278">
        <f ca="1">E57*(F57-G57)</f>
        <v>0</v>
      </c>
      <c r="L57" s="820">
        <f t="shared" ref="L57:L58" ca="1" si="48">INDEX(INDIRECT("SSW_WTPCore_DCE_"&amp;$C57&amp;"_UnitValues"),MATCH("COMBINED-HH",WTPCore_Group,0),MATCH("MEAN",LMH,0))</f>
        <v>251711.99999999994</v>
      </c>
      <c r="M57" s="579">
        <f ca="1">L57*(F57-G57)/HHProps_SSW*100</f>
        <v>0.43846153846153835</v>
      </c>
      <c r="N57" s="343">
        <f t="shared" ref="N57:N58" ca="1" si="49">INDEX(INDIRECT("SSW_WTPCore2_"&amp;$C57&amp;"_UnitValues"),1,MATCH("MEAN",LMH,0))</f>
        <v>396644.86239644804</v>
      </c>
      <c r="O57" s="579">
        <f ca="1">N57*(F57-G57)/HHProps_SSW*100</f>
        <v>0.69092262819894101</v>
      </c>
      <c r="P57" s="20">
        <f ca="1">K57*N$60/K$59</f>
        <v>0</v>
      </c>
      <c r="Q57" s="643" t="s">
        <v>422</v>
      </c>
      <c r="R57" s="534">
        <f ca="1">P57*HHProps_SSW/((F57-G57)*100)</f>
        <v>0</v>
      </c>
      <c r="S57" s="16">
        <f t="shared" ca="1" si="44"/>
        <v>0.05</v>
      </c>
      <c r="T57" s="16">
        <f t="shared" ca="1" si="44"/>
        <v>3.3333333333333333E-2</v>
      </c>
      <c r="U57" s="216">
        <f ca="1">INDEX(INDIRECT("CAM_WTPCore2_"&amp;$B57&amp;"_LevelValues"),1,MATCH("S1 MEAN",WTPCore2_LevelValues,0))</f>
        <v>0.15591350717379643</v>
      </c>
      <c r="V57" s="216">
        <f ca="1">INDEX(INDIRECT("CAM_WTPCore2_"&amp;$B57&amp;"_LevelValues"),1,MATCH("S2 MEAN",WTPCore2_LevelValues,0))</f>
        <v>5.0130987785217407E-2</v>
      </c>
      <c r="W57" s="216">
        <f t="shared" ca="1" si="46"/>
        <v>0.20604449495901384</v>
      </c>
      <c r="X57" s="825">
        <f ca="1">E57*(S57-T57)</f>
        <v>0</v>
      </c>
      <c r="Y57" s="820">
        <f ca="1">INDEX(INDIRECT("CAM_WTPCore_"&amp;$C57&amp;"_UnitValues"),MATCH("COMBINED-HH",WTPCore_Group,0),MATCH("MEAN",LMH,0))</f>
        <v>452735.99999999994</v>
      </c>
      <c r="Z57" s="579">
        <f ca="1">Y57*(S57-T57)/HHProps_CAM*100</f>
        <v>5.7600000000000007</v>
      </c>
      <c r="AA57" s="343">
        <f ca="1">INDEX(INDIRECT("CAM_WTPCore2_"&amp;$C57&amp;"_UnitValues"),1,MATCH("MEAN",LMH,0))</f>
        <v>16195.097303778484</v>
      </c>
      <c r="AB57" s="579">
        <f ca="1">AA57*(S57-T57)/HHProps_CAM*100</f>
        <v>0.20604449495901386</v>
      </c>
      <c r="AC57" s="216">
        <f t="shared" ca="1" si="47"/>
        <v>0</v>
      </c>
      <c r="AD57" s="341" t="str">
        <f>Q57</f>
        <v>1% change in risk</v>
      </c>
      <c r="AE57" s="534">
        <f ca="1">(AC57*HHProps_CAM)/((S57-T57)*100)</f>
        <v>0</v>
      </c>
    </row>
    <row r="58" spans="1:31" x14ac:dyDescent="0.25">
      <c r="A58" s="9" t="s">
        <v>185</v>
      </c>
      <c r="B58" s="9" t="s">
        <v>270</v>
      </c>
      <c r="C58" s="9" t="str">
        <f>B58</f>
        <v>LowPressure</v>
      </c>
      <c r="D58" s="514" t="s">
        <v>369</v>
      </c>
      <c r="E58" s="431">
        <f ca="1">INDEX(INDIRECT("ExtWTP_"&amp;$C58&amp;"_UnitValues"),MATCH(A$54, INDIRECT("ExtWTP_Comps_"&amp;C58),0),MATCH("HH",ExtWTP_Group,0))</f>
        <v>560</v>
      </c>
      <c r="F58" s="521">
        <f t="shared" ca="1" si="43"/>
        <v>0.1</v>
      </c>
      <c r="G58" s="521">
        <f t="shared" ca="1" si="43"/>
        <v>6.6666666666666666E-2</v>
      </c>
      <c r="H58" s="20">
        <f ca="1">INDEX(INDIRECT("SSW_WTPCore2_"&amp;$B58&amp;"_LevelValues"),1,MATCH("S1 MEAN",WTPCore2_LevelValues,0))</f>
        <v>0.78010561855806027</v>
      </c>
      <c r="I58" s="20">
        <f ca="1">INDEX(INDIRECT("SSW_WTPCore2_"&amp;$B58&amp;"_LevelValues"),1,MATCH("S2 MEAN",WTPCore2_LevelValues,0))</f>
        <v>0.37050953266002729</v>
      </c>
      <c r="J58" s="20">
        <f ca="1">SUM(H58:I58)</f>
        <v>1.1506151512180876</v>
      </c>
      <c r="K58" s="278">
        <f ca="1">E58*(F58-G58)</f>
        <v>18.666666666666671</v>
      </c>
      <c r="L58" s="579">
        <f t="shared" ca="1" si="48"/>
        <v>40.646907591559547</v>
      </c>
      <c r="M58" s="579">
        <f ca="1">L58*(F58-G58)*(AllProps_SSW/HHProps_SSW)</f>
        <v>1.445714285714286</v>
      </c>
      <c r="N58" s="117">
        <f t="shared" ca="1" si="49"/>
        <v>32.35006265563927</v>
      </c>
      <c r="O58" s="579">
        <f ca="1">N58*($F58-$G58)*(AllProps_SSW/HHProps_SSW)</f>
        <v>1.1506151512180878</v>
      </c>
      <c r="P58" s="20">
        <f t="shared" ca="1" si="45"/>
        <v>0.487659413389674</v>
      </c>
      <c r="Q58" s="514" t="s">
        <v>369</v>
      </c>
      <c r="R58" s="534">
        <f ca="1">P58*HHProps_SSW/((F58-G58)*AllProps_SSW)</f>
        <v>13.710763812789475</v>
      </c>
      <c r="S58" s="16">
        <f t="shared" ca="1" si="44"/>
        <v>9.0909090909090912E-2</v>
      </c>
      <c r="T58" s="16">
        <f t="shared" ca="1" si="44"/>
        <v>6.6666666666666666E-2</v>
      </c>
      <c r="U58" s="216">
        <f ca="1">INDEX(INDIRECT("CAM_WTPCore2_"&amp;$B58&amp;"_LevelValues"),1,MATCH("S1 MEAN",WTPCore2_LevelValues,0))</f>
        <v>2.1416418362159599</v>
      </c>
      <c r="V58" s="216">
        <f ca="1">INDEX(INDIRECT("CAM_WTPCore2_"&amp;$B58&amp;"_LevelValues"),1,MATCH("S2 MEAN",WTPCore2_LevelValues,0))</f>
        <v>0.84070533256091329</v>
      </c>
      <c r="W58" s="216">
        <f t="shared" ca="1" si="46"/>
        <v>2.9823471687768732</v>
      </c>
      <c r="X58" s="825">
        <f ca="1">E58*(S58-T58)</f>
        <v>13.575757575757578</v>
      </c>
      <c r="Y58" s="579">
        <f ca="1">INDEX(INDIRECT("CAM_WTPCore_"&amp;$B58&amp;"_UnitValues"),MATCH("COMBINED-HH",WTPCore_Group,0),MATCH("MEAN",LMH,0))</f>
        <v>18.356144634344844</v>
      </c>
      <c r="Z58" s="579">
        <f ca="1">Y58*($S58-$T58)*(AllProps_CAM/HHProps_CAM)</f>
        <v>0.47896671634376553</v>
      </c>
      <c r="AA58" s="117">
        <f ca="1">INDEX(INDIRECT("CAM_WTPCore2_"&amp;$B58&amp;"_UnitValues"),1,MATCH("MEAN",LMH,0))</f>
        <v>114.29686888849665</v>
      </c>
      <c r="AB58" s="579">
        <f ca="1">AA58*($S58-$T58)*(AllProps_CAM/HHProps_CAM)</f>
        <v>2.9823471687768732</v>
      </c>
      <c r="AC58" s="216">
        <f t="shared" ca="1" si="47"/>
        <v>1.7600639091070263</v>
      </c>
      <c r="AD58" s="341" t="str">
        <f>Q58</f>
        <v>Property affected</v>
      </c>
      <c r="AE58" s="534">
        <f ca="1">(AC58*HHProps_CAM)/((S58-T58)*AllProps_CAM)</f>
        <v>67.453513112319811</v>
      </c>
    </row>
    <row r="59" spans="1:31" x14ac:dyDescent="0.25">
      <c r="D59" s="514"/>
      <c r="E59" s="431"/>
      <c r="F59" s="521"/>
      <c r="G59" s="521"/>
      <c r="H59" s="20"/>
      <c r="I59" s="20"/>
      <c r="J59" s="445">
        <f ca="1">SUM(J55:J58)</f>
        <v>6.7520011907076274</v>
      </c>
      <c r="K59" s="446">
        <f ca="1">SUM(K55:K58)</f>
        <v>196.02857142857141</v>
      </c>
      <c r="L59" s="446"/>
      <c r="M59" s="446">
        <f ca="1">SUM(M55:M58)</f>
        <v>3.4903393254144692</v>
      </c>
      <c r="N59" s="446"/>
      <c r="O59" s="289">
        <f ca="1">SUM(O55:O58)</f>
        <v>6.7520011907076283</v>
      </c>
      <c r="P59" s="445">
        <f ca="1">SUM(P55:P58)</f>
        <v>5.1211702580610501</v>
      </c>
      <c r="Q59" s="37"/>
      <c r="R59" s="927"/>
      <c r="S59" s="16"/>
      <c r="T59" s="16"/>
      <c r="U59" s="216"/>
      <c r="V59" s="216"/>
      <c r="W59" s="52">
        <f ca="1">SUM(W55:W58)</f>
        <v>8.0339894664722564</v>
      </c>
      <c r="X59" s="531">
        <f ca="1">SUM(X55:X58)</f>
        <v>64.671911421911432</v>
      </c>
      <c r="Y59" s="532"/>
      <c r="Z59" s="532">
        <f ca="1">SUM(Z55:Z58)</f>
        <v>8.7351221785286413</v>
      </c>
      <c r="AA59" s="532"/>
      <c r="AB59" s="287">
        <f ca="1">SUM(AB55:AB58)</f>
        <v>8.0339894664722564</v>
      </c>
      <c r="AC59" s="52">
        <f ca="1">SUM(AC55:AC58)</f>
        <v>8.3845558225004488</v>
      </c>
      <c r="AE59" s="534"/>
    </row>
    <row r="60" spans="1:31" x14ac:dyDescent="0.25">
      <c r="A60" s="60"/>
      <c r="B60" s="60"/>
      <c r="C60" s="60"/>
      <c r="D60" s="516"/>
      <c r="E60" s="523"/>
      <c r="F60" s="524"/>
      <c r="G60" s="524"/>
      <c r="H60" s="524"/>
      <c r="I60" s="524"/>
      <c r="J60" s="524"/>
      <c r="K60" s="31"/>
      <c r="L60" s="31"/>
      <c r="M60" s="45" t="s">
        <v>997</v>
      </c>
      <c r="N60" s="737">
        <f ca="1">AVERAGE(M59,O59)</f>
        <v>5.1211702580610492</v>
      </c>
      <c r="O60" s="45"/>
      <c r="P60" s="15"/>
      <c r="Q60" s="60"/>
      <c r="R60" s="629"/>
      <c r="S60" s="17"/>
      <c r="T60" s="17"/>
      <c r="U60" s="17"/>
      <c r="V60" s="17"/>
      <c r="W60" s="17"/>
      <c r="X60" s="31"/>
      <c r="Y60" s="31"/>
      <c r="Z60" s="533" t="s">
        <v>997</v>
      </c>
      <c r="AA60" s="737">
        <f ca="1">AVERAGE(Z59,AB59)</f>
        <v>8.3845558225004488</v>
      </c>
      <c r="AB60" s="533"/>
      <c r="AC60" s="15"/>
      <c r="AD60" s="60"/>
      <c r="AE60" s="535"/>
    </row>
    <row r="61" spans="1:31" x14ac:dyDescent="0.25">
      <c r="A61" s="61" t="s">
        <v>171</v>
      </c>
      <c r="B61" s="237"/>
      <c r="D61" s="515"/>
      <c r="E61" s="522"/>
      <c r="F61" s="448"/>
      <c r="G61" s="448"/>
      <c r="H61" s="497"/>
      <c r="I61" s="497"/>
      <c r="J61" s="497"/>
      <c r="K61" s="531"/>
      <c r="L61" s="531"/>
      <c r="M61" s="531"/>
      <c r="N61" s="531"/>
      <c r="O61" s="531"/>
      <c r="P61" s="54"/>
      <c r="Q61" s="912"/>
      <c r="R61" s="630"/>
      <c r="S61" s="54"/>
      <c r="T61" s="54"/>
      <c r="U61" s="53"/>
      <c r="V61" s="53"/>
      <c r="W61" s="53"/>
      <c r="X61" s="531"/>
      <c r="Y61" s="531"/>
      <c r="Z61" s="531"/>
      <c r="AA61" s="531"/>
      <c r="AB61" s="531"/>
      <c r="AC61" s="54"/>
      <c r="AE61" s="536"/>
    </row>
    <row r="62" spans="1:31" x14ac:dyDescent="0.25">
      <c r="A62" s="9" t="s">
        <v>181</v>
      </c>
      <c r="B62" s="9" t="s">
        <v>269</v>
      </c>
      <c r="C62" s="9" t="s">
        <v>328</v>
      </c>
      <c r="D62" s="514" t="s">
        <v>369</v>
      </c>
      <c r="E62" s="431">
        <f ca="1">INDEX(INDIRECT("ExtWTP_"&amp;$C62&amp;"_UnitValues"),MATCH(A$61, INDIRECT("ExtWTP_Comps_"&amp;C62),0),MATCH("HH",ExtWTP_Group,0))</f>
        <v>1670</v>
      </c>
      <c r="F62" s="521">
        <f t="shared" ref="F62:G65" ca="1" si="50">INDEX(INDIRECT("SSW_WTPCore2_"&amp;$B62&amp;"_Levels"),1,MATCH(F$4,WTPCore2_AttLevels,0))</f>
        <v>1.4285714285714285E-2</v>
      </c>
      <c r="G62" s="521">
        <f t="shared" ca="1" si="50"/>
        <v>9.5238095238095247E-3</v>
      </c>
      <c r="H62" s="20">
        <f ca="1">INDEX(INDIRECT("SSW_WTPCore2_"&amp;$B62&amp;"_LevelValues"),1,MATCH("S1 MEAN",WTPCore2_LevelValues,0))</f>
        <v>0.39718669024665654</v>
      </c>
      <c r="I62" s="20">
        <f ca="1">INDEX(INDIRECT("SSW_WTPCore2_"&amp;$B62&amp;"_LevelValues"),1,MATCH("S2 MEAN",WTPCore2_LevelValues,0))</f>
        <v>0.53859352958370721</v>
      </c>
      <c r="J62" s="20">
        <f ca="1">SUM(H62:I62)</f>
        <v>0.93578021983036375</v>
      </c>
      <c r="K62" s="278">
        <f ca="1">E62*(F62-G62)</f>
        <v>7.9523809523809499</v>
      </c>
      <c r="L62" s="579">
        <f ca="1">INDEX(INDIRECT("SSW_WTPCore_DCE_"&amp;$B62&amp;"_UnitValues"),MATCH("COMBINED-HH",WTPCore_Group,0),MATCH("MEAN",LMH,0))</f>
        <v>160.37052631578945</v>
      </c>
      <c r="M62" s="579">
        <f ca="1">L62*($F62-$G62)*(AllProps_SSW/HHProps_SSW)</f>
        <v>0.8148571428571425</v>
      </c>
      <c r="N62" s="117">
        <f ca="1">INDEX(INDIRECT("SSW_WTPCore2_"&amp;$B62&amp;"_UnitValues"),1,MATCH("MEAN",LMH,0))</f>
        <v>184.16917331534088</v>
      </c>
      <c r="O62" s="579">
        <f ca="1">N62*($F62-$G62)*(AllProps_SSW/HHProps_SSW)</f>
        <v>0.93578021983036364</v>
      </c>
      <c r="P62" s="20">
        <f ca="1">K62*N$67/K$66</f>
        <v>2.0697049699316188</v>
      </c>
      <c r="Q62" s="514" t="s">
        <v>369</v>
      </c>
      <c r="R62" s="928">
        <f ca="1">P62*HHProps_SSW/((F62-G62)*AllProps_SSW)</f>
        <v>407.33480494817195</v>
      </c>
      <c r="S62" s="16">
        <f t="shared" ref="S62:T65" ca="1" si="51">INDEX(INDIRECT("CAM_WTPCore2_"&amp;$B62&amp;"_Levels"),1,MATCH(S$4,WTPCore2_AttLevels,0))</f>
        <v>2.5000000000000001E-2</v>
      </c>
      <c r="T62" s="16">
        <f t="shared" ca="1" si="51"/>
        <v>1.6666666666666666E-2</v>
      </c>
      <c r="U62" s="216">
        <f ca="1">INDEX(INDIRECT("CAM_WTPCore2_"&amp;$B62&amp;"_LevelValues"),1,MATCH("S1 MEAN",WTPCore2_LevelValues,0))</f>
        <v>5.3490671066612649E-2</v>
      </c>
      <c r="V62" s="216">
        <f ca="1">INDEX(INDIRECT("CAM_WTPCore2_"&amp;$B62&amp;"_LevelValues"),1,MATCH("S2 MEAN",WTPCore2_LevelValues,0))</f>
        <v>0.33457681646237136</v>
      </c>
      <c r="W62" s="216">
        <f ca="1">SUM(U62:V62)</f>
        <v>0.38806748752898401</v>
      </c>
      <c r="X62" s="825">
        <f ca="1">E62*(S62-T62)</f>
        <v>13.91666666666667</v>
      </c>
      <c r="Y62" s="579">
        <f ca="1">INDEX(INDIRECT("CAM_WTPCore_"&amp;$B62&amp;"_UnitValues"),MATCH("COMBINED-HH",WTPCore_Group,0),MATCH("MEAN",LMH,0))</f>
        <v>27.921526908635794</v>
      </c>
      <c r="Z62" s="579">
        <f ca="1">Y62*($S62-$T62)*(AllProps_CAM/HHProps_CAM)</f>
        <v>0.25044117647058822</v>
      </c>
      <c r="AA62" s="117">
        <f ca="1">INDEX(INDIRECT("CAM_WTPCore2_"&amp;$B62&amp;"_UnitValues"),1,MATCH("MEAN",LMH,0))</f>
        <v>43.265396481954809</v>
      </c>
      <c r="AB62" s="579">
        <f ca="1">AA62*($S62-$T62)*(AllProps_CAM/HHProps_CAM)</f>
        <v>0.38806748752898401</v>
      </c>
      <c r="AC62" s="216">
        <f ca="1">X62*AA$67/X$66</f>
        <v>5.0319308430827476</v>
      </c>
      <c r="AD62" s="341" t="str">
        <f>Q62</f>
        <v>Property affected</v>
      </c>
      <c r="AE62" s="534">
        <f ca="1">(AC62*HHProps_CAM)/((S62-T62)*AllProps_CAM)</f>
        <v>561.00675782454459</v>
      </c>
    </row>
    <row r="63" spans="1:31" x14ac:dyDescent="0.25">
      <c r="A63" s="9" t="s">
        <v>330</v>
      </c>
      <c r="B63" s="9" t="s">
        <v>319</v>
      </c>
      <c r="C63" s="9" t="str">
        <f>B63</f>
        <v>TempBan</v>
      </c>
      <c r="D63" s="514" t="s">
        <v>369</v>
      </c>
      <c r="E63" s="431">
        <f ca="1">INDEX(INDIRECT("ExtWTP_"&amp;$C63&amp;"_UnitValues"),MATCH(A$61, INDIRECT("ExtWTP_Comps_"&amp;C63),0),MATCH("HH",ExtWTP_Group,0))</f>
        <v>123</v>
      </c>
      <c r="F63" s="521">
        <f t="shared" ca="1" si="50"/>
        <v>2.5000000000000001E-2</v>
      </c>
      <c r="G63" s="521">
        <f t="shared" ca="1" si="50"/>
        <v>1.5384615384615385E-2</v>
      </c>
      <c r="H63" s="20">
        <f ca="1">INDEX(INDIRECT("SSW_WTPCore2_"&amp;$B63&amp;"_LevelValues"),1,MATCH("S1 MEAN",WTPCore2_LevelValues,0))</f>
        <v>0.4084226191643695</v>
      </c>
      <c r="I63" s="20">
        <f ca="1">INDEX(INDIRECT("SSW_WTPCore2_"&amp;$B63&amp;"_LevelValues"),1,MATCH("S2 MEAN",WTPCore2_LevelValues,0))</f>
        <v>0.28250000903457151</v>
      </c>
      <c r="J63" s="20">
        <f ca="1">SUM(H63:I63)</f>
        <v>0.69092262819894101</v>
      </c>
      <c r="K63" s="278">
        <f ca="1">E63*(F63-G63)</f>
        <v>1.1826923076923077</v>
      </c>
      <c r="L63" s="820">
        <f t="shared" ref="L63:L65" ca="1" si="52">INDEX(INDIRECT("SSW_WTPCore_DCE_"&amp;$C63&amp;"_UnitValues"),MATCH("COMBINED-HH",WTPCore_Group,0),MATCH("MEAN",LMH,0))</f>
        <v>251711.99999999994</v>
      </c>
      <c r="M63" s="579">
        <f ca="1">L63*(F63-G63)/HHProps_SSW*100</f>
        <v>0.43846153846153835</v>
      </c>
      <c r="N63" s="343">
        <f t="shared" ref="N63:N65" ca="1" si="53">INDEX(INDIRECT("SSW_WTPCore2_"&amp;$C63&amp;"_UnitValues"),1,MATCH("MEAN",LMH,0))</f>
        <v>396644.86239644804</v>
      </c>
      <c r="O63" s="579">
        <f ca="1">N63*(F63-G63)/HHProps_SSW*100</f>
        <v>0.69092262819894101</v>
      </c>
      <c r="P63" s="20">
        <f t="shared" ref="P63:P65" ca="1" si="54">K63*N$67/K$66</f>
        <v>0.30781022209427528</v>
      </c>
      <c r="Q63" s="643" t="s">
        <v>422</v>
      </c>
      <c r="R63" s="534">
        <f ca="1">P63*HHProps_SSW/((F63-G63)*100)</f>
        <v>176707.69229988154</v>
      </c>
      <c r="S63" s="16">
        <f t="shared" ca="1" si="51"/>
        <v>0.05</v>
      </c>
      <c r="T63" s="16">
        <f t="shared" ca="1" si="51"/>
        <v>3.3333333333333333E-2</v>
      </c>
      <c r="U63" s="216">
        <f ca="1">INDEX(INDIRECT("CAM_WTPCore2_"&amp;$B63&amp;"_LevelValues"),1,MATCH("S1 MEAN",WTPCore2_LevelValues,0))</f>
        <v>0.15591350717379643</v>
      </c>
      <c r="V63" s="216">
        <f ca="1">INDEX(INDIRECT("CAM_WTPCore2_"&amp;$B63&amp;"_LevelValues"),1,MATCH("S2 MEAN",WTPCore2_LevelValues,0))</f>
        <v>5.0130987785217407E-2</v>
      </c>
      <c r="W63" s="216">
        <f t="shared" ref="W63:W65" ca="1" si="55">SUM(U63:V63)</f>
        <v>0.20604449495901384</v>
      </c>
      <c r="X63" s="825">
        <f ca="1">E63*(S63-T63)</f>
        <v>2.0500000000000003</v>
      </c>
      <c r="Y63" s="820">
        <f ca="1">INDEX(INDIRECT("CAM_WTPCore_"&amp;$C63&amp;"_UnitValues"),MATCH("COMBINED-HH",WTPCore_Group,0),MATCH("MEAN",LMH,0))</f>
        <v>452735.99999999994</v>
      </c>
      <c r="Z63" s="579">
        <f ca="1">Y63*(S63-T63)/HHProps_CAM*100</f>
        <v>5.7600000000000007</v>
      </c>
      <c r="AA63" s="343">
        <f ca="1">INDEX(INDIRECT("CAM_WTPCore2_"&amp;$C63&amp;"_UnitValues"),1,MATCH("MEAN",LMH,0))</f>
        <v>16195.097303778484</v>
      </c>
      <c r="AB63" s="579">
        <f ca="1">AA63*(S63-T63)/HHProps_CAM*100</f>
        <v>0.20604449495901386</v>
      </c>
      <c r="AC63" s="216">
        <f t="shared" ref="AC63:AC65" ca="1" si="56">X63*AA$67/X$66</f>
        <v>0.74123053137626105</v>
      </c>
      <c r="AD63" s="341" t="str">
        <f>Q63</f>
        <v>1% change in risk</v>
      </c>
      <c r="AE63" s="534">
        <f ca="1">(AC63*HHProps_CAM)/((S63-T63)*100)</f>
        <v>58260.719766174101</v>
      </c>
    </row>
    <row r="64" spans="1:31" x14ac:dyDescent="0.25">
      <c r="A64" s="9" t="s">
        <v>186</v>
      </c>
      <c r="B64" s="9" t="s">
        <v>268</v>
      </c>
      <c r="C64" s="9" t="str">
        <f>B64</f>
        <v>Hardness</v>
      </c>
      <c r="D64" s="514" t="s">
        <v>369</v>
      </c>
      <c r="E64" s="431">
        <f ca="1">INDEX(INDIRECT("ExtWTP_"&amp;$C64&amp;"_UnitValues"),MATCH(A$61, INDIRECT("ExtWTP_Comps_"&amp;C64),0),MATCH("HH",ExtWTP_Group,0))</f>
        <v>7</v>
      </c>
      <c r="F64" s="600">
        <f t="shared" ca="1" si="50"/>
        <v>0</v>
      </c>
      <c r="G64" s="600">
        <f t="shared" ca="1" si="50"/>
        <v>4000</v>
      </c>
      <c r="H64" s="20">
        <f ca="1">INDEX(INDIRECT("SSW_WTPCore2_"&amp;$B64&amp;"_LevelValues"),1,MATCH("S1 MEAN",WTPCore2_LevelValues,0))</f>
        <v>5.2894480160712298</v>
      </c>
      <c r="I64" s="20">
        <f ca="1">INDEX(INDIRECT("SSW_WTPCore2_"&amp;$B64&amp;"_LevelValues"),1,MATCH("S2 MEAN",WTPCore2_LevelValues,0))</f>
        <v>0.60625599239311434</v>
      </c>
      <c r="J64" s="20">
        <f ca="1">SUM(H64:I64)</f>
        <v>5.8957040084643442</v>
      </c>
      <c r="K64" s="278">
        <f ca="1">-E64*(F64-G64)/HHProps_SSW</f>
        <v>5.0724637681159424E-2</v>
      </c>
      <c r="L64" s="579">
        <f t="shared" ca="1" si="52"/>
        <v>6.1197962648556876</v>
      </c>
      <c r="M64" s="579">
        <f ca="1">-L64*(F64-G64)/HHProps_SSW</f>
        <v>4.4346349745331068E-2</v>
      </c>
      <c r="N64" s="117">
        <f t="shared" ca="1" si="53"/>
        <v>813.60715316807944</v>
      </c>
      <c r="O64" s="579">
        <f ca="1">-N64*(F64-G64)/HHProps_SSW</f>
        <v>5.8957040084643442</v>
      </c>
      <c r="P64" s="20">
        <f t="shared" ca="1" si="54"/>
        <v>1.3201710951138942E-2</v>
      </c>
      <c r="Q64" s="514" t="s">
        <v>369</v>
      </c>
      <c r="R64" s="928">
        <f ca="1">-P64*HHProps_SSW/((F64-G64))</f>
        <v>1.8218361112571739</v>
      </c>
      <c r="S64" s="620">
        <f t="shared" ca="1" si="51"/>
        <v>0</v>
      </c>
      <c r="T64" s="620">
        <f t="shared" ca="1" si="51"/>
        <v>1350</v>
      </c>
      <c r="U64" s="216">
        <f ca="1">INDEX(INDIRECT("CAM_WTPCore2_"&amp;$B64&amp;"_LevelValues"),1,MATCH("S1 MEAN",WTPCore2_LevelValues,0))</f>
        <v>2.6407734226292283</v>
      </c>
      <c r="V64" s="216">
        <f ca="1">INDEX(INDIRECT("CAM_WTPCore2_"&amp;$B64&amp;"_LevelValues"),1,MATCH("S2 MEAN",WTPCore2_LevelValues,0))</f>
        <v>0.50756688037153719</v>
      </c>
      <c r="W64" s="216">
        <f t="shared" ca="1" si="55"/>
        <v>3.1483403030007655</v>
      </c>
      <c r="X64" s="825">
        <f ca="1">-E64*(S64-T64)/HHProps_CAM</f>
        <v>7.2137404580152678E-2</v>
      </c>
      <c r="Y64" s="579">
        <f t="shared" ref="Y64" ca="1" si="57">INDEX(INDIRECT("CAM_WTPCore_"&amp;$C64&amp;"_UnitValues"),MATCH("COMBINED-HH",WTPCore_Group,0),MATCH("MEAN",LMH,0))</f>
        <v>5.6209219858156025</v>
      </c>
      <c r="Z64" s="579">
        <f ca="1">-Y64*(S64-T64)/HHProps_CAM</f>
        <v>5.7925531914893615E-2</v>
      </c>
      <c r="AA64" s="117">
        <f t="shared" ref="AA64" ca="1" si="58">INDEX(INDIRECT("CAM_WTPCore2_"&amp;$C64&amp;"_UnitValues"),1,MATCH("MEAN",LMH,0))</f>
        <v>305.50561458748172</v>
      </c>
      <c r="AB64" s="579">
        <f ca="1">-AA64*(R64-T64)/HHProps_CAM</f>
        <v>3.1440915918492598</v>
      </c>
      <c r="AC64" s="216">
        <f t="shared" ca="1" si="56"/>
        <v>2.6083144745878487E-2</v>
      </c>
      <c r="AD64" s="341" t="str">
        <f>Q64</f>
        <v>Property affected</v>
      </c>
      <c r="AE64" s="928">
        <f ca="1">-(AC64*HHProps_CAM)/((S64-T64))</f>
        <v>2.5310310827482088</v>
      </c>
    </row>
    <row r="65" spans="1:31" x14ac:dyDescent="0.25">
      <c r="A65" s="9" t="s">
        <v>3</v>
      </c>
      <c r="B65" s="9" t="s">
        <v>3</v>
      </c>
      <c r="C65" s="9" t="s">
        <v>3</v>
      </c>
      <c r="D65" s="514" t="s">
        <v>875</v>
      </c>
      <c r="E65" s="431">
        <f ca="1">INDEX(INDIRECT("ExtWTP_"&amp;$C65&amp;"_UnitValues"),MATCH(A$61, INDIRECT("ExtWTP_Comps_"&amp;C65),0),MATCH("HH",ExtWTP_Group,0))</f>
        <v>247500</v>
      </c>
      <c r="F65" s="598">
        <f t="shared" ca="1" si="50"/>
        <v>70.5</v>
      </c>
      <c r="G65" s="598">
        <f t="shared" ca="1" si="50"/>
        <v>35.25</v>
      </c>
      <c r="H65" s="20">
        <f ca="1">INDEX(INDIRECT("SSW_WTPCore2_"&amp;$B65&amp;"_LevelValues"),1,MATCH("S1 MEAN",WTPCore2_LevelValues,0))</f>
        <v>1.2301339708448666</v>
      </c>
      <c r="I65" s="20">
        <f ca="1">INDEX(INDIRECT("SSW_WTPCore2_"&amp;$B65&amp;"_LevelValues"),1,MATCH("S2 MEAN",WTPCore2_LevelValues,0))</f>
        <v>0.44133293088857806</v>
      </c>
      <c r="J65" s="20">
        <f ca="1">SUM(H65:I65)</f>
        <v>1.6714669017334447</v>
      </c>
      <c r="K65" s="278">
        <f ca="1">E65*(F65-G65)/AllProps_SSW</f>
        <v>14.812181663837013</v>
      </c>
      <c r="L65" s="579">
        <f t="shared" ca="1" si="52"/>
        <v>31319.148936170212</v>
      </c>
      <c r="M65" s="579">
        <f ca="1">L65*(F65-G65)/HHProps_SSW</f>
        <v>2</v>
      </c>
      <c r="N65" s="117">
        <f t="shared" ca="1" si="53"/>
        <v>26174.460418634368</v>
      </c>
      <c r="O65" s="579">
        <f ca="1">N65*(F65-G65)/HHProps_SSW</f>
        <v>1.6714669017334447</v>
      </c>
      <c r="P65" s="20">
        <f t="shared" ca="1" si="54"/>
        <v>3.8550524916685203</v>
      </c>
      <c r="Q65" s="514" t="s">
        <v>875</v>
      </c>
      <c r="R65" s="534">
        <f ca="1">P65*HHProps_SSW/((F65-G65))</f>
        <v>60368.481571660239</v>
      </c>
      <c r="S65" s="599">
        <f t="shared" ca="1" si="51"/>
        <v>13.5</v>
      </c>
      <c r="T65" s="599">
        <f t="shared" ca="1" si="51"/>
        <v>6.75</v>
      </c>
      <c r="U65" s="216">
        <f ca="1">INDEX(INDIRECT("CAM_WTPCore2_"&amp;$B65&amp;"_LevelValues"),1,MATCH("S1 MEAN",WTPCore2_LevelValues,0))</f>
        <v>3.1349723048319831</v>
      </c>
      <c r="V65" s="216">
        <f ca="1">INDEX(INDIRECT("CAM_WTPCore2_"&amp;$B65&amp;"_LevelValues"),1,MATCH("S2 MEAN",WTPCore2_LevelValues,0))</f>
        <v>5.1405797633106154E-3</v>
      </c>
      <c r="W65" s="216">
        <f t="shared" ca="1" si="55"/>
        <v>3.1401128845952937</v>
      </c>
      <c r="X65" s="825">
        <f ca="1">E65*(S65-T65)/AllProps_CAM</f>
        <v>11.848404255319149</v>
      </c>
      <c r="Y65" s="579">
        <f ca="1">INDEX(INDIRECT("CAM_WTPCore_"&amp;$C65&amp;"_UnitValues"),MATCH("COMBINED-HH",WTPCore_Group,0),MATCH("MEAN",LMH,0))</f>
        <v>140121.48148148149</v>
      </c>
      <c r="Z65" s="579">
        <f ca="1">Y65*(S65-T65)/HHProps_CAM</f>
        <v>7.22</v>
      </c>
      <c r="AA65" s="117">
        <f ca="1">INDEX(INDIRECT("CAM_WTPCore2_"&amp;$C65&amp;"_UnitValues"),1,MATCH("MEAN",LMH,0))</f>
        <v>60941.450056590147</v>
      </c>
      <c r="AB65" s="579">
        <f ca="1">AA65*(S65-T65)/HHProps_CAM</f>
        <v>3.1401128845952937</v>
      </c>
      <c r="AC65" s="216">
        <f t="shared" ca="1" si="56"/>
        <v>4.2840970644541292</v>
      </c>
      <c r="AD65" s="341" t="s">
        <v>875</v>
      </c>
      <c r="AE65" s="534">
        <f ca="1">AC65*HHProps_CAM/((S65-T65))</f>
        <v>83143.217102739392</v>
      </c>
    </row>
    <row r="66" spans="1:31" x14ac:dyDescent="0.25">
      <c r="D66" s="514"/>
      <c r="E66" s="431"/>
      <c r="F66" s="525"/>
      <c r="G66" s="525"/>
      <c r="H66" s="432"/>
      <c r="I66" s="432"/>
      <c r="J66" s="445">
        <f ca="1">SUM(J62:J65)</f>
        <v>9.1938737582270935</v>
      </c>
      <c r="K66" s="446">
        <f ca="1">SUM(K62:K65)</f>
        <v>23.997979561591428</v>
      </c>
      <c r="L66" s="446"/>
      <c r="M66" s="446">
        <f ca="1">SUM(M62:M65)</f>
        <v>3.2976650310640121</v>
      </c>
      <c r="N66" s="446"/>
      <c r="O66" s="446">
        <f ca="1">SUM(O62:O65)</f>
        <v>9.1938737582270935</v>
      </c>
      <c r="P66" s="445">
        <f ca="1">SUM(P62:P65)</f>
        <v>6.2457693946455528</v>
      </c>
      <c r="Q66" s="913"/>
      <c r="R66" s="929"/>
      <c r="S66" s="55"/>
      <c r="T66" s="55"/>
      <c r="U66" s="34"/>
      <c r="V66" s="34"/>
      <c r="W66" s="52">
        <f ca="1">SUM(W62:W65)</f>
        <v>6.8825651700840567</v>
      </c>
      <c r="X66" s="531">
        <f ca="1">SUM(X62:X65)</f>
        <v>27.887208326565972</v>
      </c>
      <c r="Y66" s="532"/>
      <c r="Z66" s="532">
        <f ca="1">SUM(Z62:Z65)</f>
        <v>13.288366708385482</v>
      </c>
      <c r="AA66" s="532"/>
      <c r="AB66" s="287">
        <f ca="1">SUM(AB62:AB65)</f>
        <v>6.8783164589325514</v>
      </c>
      <c r="AC66" s="52">
        <f ca="1">SUM(AC62:AC65)</f>
        <v>10.083341583659017</v>
      </c>
      <c r="AE66" s="534"/>
    </row>
    <row r="67" spans="1:31" x14ac:dyDescent="0.25">
      <c r="A67" s="60"/>
      <c r="B67" s="60"/>
      <c r="C67" s="60"/>
      <c r="D67" s="516"/>
      <c r="E67" s="523"/>
      <c r="F67" s="524"/>
      <c r="G67" s="524"/>
      <c r="H67" s="524"/>
      <c r="I67" s="524"/>
      <c r="J67" s="524"/>
      <c r="K67" s="31"/>
      <c r="L67" s="31"/>
      <c r="M67" s="45" t="s">
        <v>997</v>
      </c>
      <c r="N67" s="737">
        <f ca="1">AVERAGE(M66,O66)</f>
        <v>6.2457693946455528</v>
      </c>
      <c r="O67" s="45"/>
      <c r="P67" s="15"/>
      <c r="Q67" s="60"/>
      <c r="R67" s="629"/>
      <c r="S67" s="17"/>
      <c r="T67" s="17"/>
      <c r="U67" s="17"/>
      <c r="V67" s="17"/>
      <c r="W67" s="17"/>
      <c r="X67" s="31"/>
      <c r="Y67" s="31"/>
      <c r="Z67" s="533" t="s">
        <v>997</v>
      </c>
      <c r="AA67" s="737">
        <f ca="1">AVERAGE(Z66,AB66)</f>
        <v>10.083341583659017</v>
      </c>
      <c r="AB67" s="533"/>
      <c r="AC67" s="15"/>
      <c r="AD67" s="60"/>
      <c r="AE67" s="535"/>
    </row>
    <row r="68" spans="1:31" s="64" customFormat="1" x14ac:dyDescent="0.25">
      <c r="A68" s="165" t="s">
        <v>168</v>
      </c>
      <c r="D68" s="517"/>
      <c r="E68" s="526"/>
      <c r="F68" s="527"/>
      <c r="G68" s="527"/>
      <c r="H68" s="527"/>
      <c r="I68" s="527"/>
      <c r="J68" s="527"/>
      <c r="K68" s="217"/>
      <c r="L68" s="217"/>
      <c r="M68" s="217"/>
      <c r="N68" s="217"/>
      <c r="O68" s="217"/>
      <c r="P68" s="10"/>
      <c r="R68" s="628"/>
      <c r="S68" s="14"/>
      <c r="T68" s="14"/>
      <c r="U68" s="14"/>
      <c r="V68" s="14"/>
      <c r="W68" s="14"/>
      <c r="X68" s="217"/>
      <c r="Y68" s="217"/>
      <c r="Z68" s="217"/>
      <c r="AA68" s="217"/>
      <c r="AB68" s="217"/>
      <c r="AC68" s="10"/>
      <c r="AE68" s="627"/>
    </row>
    <row r="69" spans="1:31" s="64" customFormat="1" x14ac:dyDescent="0.25">
      <c r="A69" s="9" t="s">
        <v>25</v>
      </c>
      <c r="B69" s="9" t="s">
        <v>266</v>
      </c>
      <c r="C69" s="9" t="str">
        <f>B69</f>
        <v>Discolour</v>
      </c>
      <c r="D69" s="514" t="s">
        <v>369</v>
      </c>
      <c r="E69" s="431">
        <f ca="1">INDEX(INDIRECT("ExtWTP_"&amp;$C69&amp;"_UnitValues"),MATCH(A$68, INDIRECT("ExtWTP_Comps_"&amp;C69),0),MATCH("HH",ExtWTP_Group,0))</f>
        <v>1430</v>
      </c>
      <c r="F69" s="521">
        <f t="shared" ref="F69:G73" ca="1" si="59">INDEX(INDIRECT("SSW_WTPCore2_"&amp;$B69&amp;"_Levels"),1,MATCH(F$4,WTPCore2_AttLevels,0))</f>
        <v>6.6666666666666666E-2</v>
      </c>
      <c r="G69" s="521">
        <f t="shared" ca="1" si="59"/>
        <v>0.04</v>
      </c>
      <c r="H69" s="20">
        <f ca="1">INDEX(INDIRECT("SSW_WTPCore2_"&amp;$B69&amp;"_LevelValues"),1,MATCH("S1 MEAN",WTPCore2_LevelValues,0))</f>
        <v>3.3679929677046498</v>
      </c>
      <c r="I69" s="20">
        <f ca="1">INDEX(INDIRECT("SSW_WTPCore2_"&amp;$B69&amp;"_LevelValues"),1,MATCH("S2 MEAN",WTPCore2_LevelValues,0))</f>
        <v>0.60669022375558512</v>
      </c>
      <c r="J69" s="20">
        <f ca="1">SUM(H69:I69)</f>
        <v>3.974683191460235</v>
      </c>
      <c r="K69" s="278">
        <f ca="1">E69*(F69-G69)</f>
        <v>38.133333333333333</v>
      </c>
      <c r="L69" s="579">
        <f ca="1">INDEX(INDIRECT("SSW_WTPCore_DCE_"&amp;$C69&amp;"_UnitValues"),MATCH("COMBINED-HH",WTPCore_Group,0),MATCH("MEAN",LMH,0))</f>
        <v>27.809917858229387</v>
      </c>
      <c r="M69" s="579">
        <f ca="1">L69*(F69-G69)*(AllProps_CAM/HHProps_CAM)</f>
        <v>0.79820832936597319</v>
      </c>
      <c r="N69" s="117">
        <f ca="1">INDEX(INDIRECT("SSW_WTPCore2_"&amp;$C69&amp;"_UnitValues"),1,MATCH("MEAN",LMH,0))</f>
        <v>139.68750774741403</v>
      </c>
      <c r="O69" s="579">
        <f ca="1">N69*($F69-$G69)*(AllProps_CAM/HHProps_CAM)</f>
        <v>4.0093513674066923</v>
      </c>
      <c r="P69" s="20">
        <f ca="1">K69*$N$75/K$74</f>
        <v>3.53155685307736</v>
      </c>
      <c r="Q69" s="514" t="s">
        <v>369</v>
      </c>
      <c r="R69" s="534">
        <f ca="1">P69*HHProps_SSW/((F69-G69)*AllProps_SSW)</f>
        <v>124.11413728132658</v>
      </c>
      <c r="S69" s="16">
        <f t="shared" ref="S69:T73" ca="1" si="60">INDEX(INDIRECT("CAM_WTPCore2_"&amp;$B69&amp;"_Levels"),1,MATCH(S$4,WTPCore2_AttLevels,0))</f>
        <v>2.2222222222222223E-2</v>
      </c>
      <c r="T69" s="16">
        <f t="shared" ca="1" si="60"/>
        <v>1.5384615384615385E-2</v>
      </c>
      <c r="U69" s="216">
        <f ca="1">INDEX(INDIRECT("CAM_WTPCore2_"&amp;$B69&amp;"_LevelValues"),1,MATCH("S1 MEAN",WTPCore2_LevelValues,0))</f>
        <v>3.1155463151224057</v>
      </c>
      <c r="V69" s="216">
        <f ca="1">INDEX(INDIRECT("CAM_WTPCore2_"&amp;$B69&amp;"_LevelValues"),1,MATCH("S2 MEAN",WTPCore2_LevelValues,0))</f>
        <v>1.3419840000849801</v>
      </c>
      <c r="W69" s="216">
        <f ca="1">SUM(U69:V69)</f>
        <v>4.4575303152073857</v>
      </c>
      <c r="X69" s="825">
        <f ca="1">E69*(S69-T69)</f>
        <v>9.7777777777777786</v>
      </c>
      <c r="Y69" s="579">
        <f ca="1">INDEX(INDIRECT("CAM_WTPCore_"&amp;$C69&amp;"_UnitValues"),MATCH("COMBINED-HH",WTPCore_Group,0),MATCH("MEAN",LMH,0))</f>
        <v>305.14240121580548</v>
      </c>
      <c r="Z69" s="579">
        <f ca="1">Y69*($S69-$T69)*(AllProps_CAM/HHProps_CAM)</f>
        <v>2.2457142857142856</v>
      </c>
      <c r="AA69" s="117">
        <f ca="1">INDEX(INDIRECT("CAM_WTPCore2_"&amp;$C69&amp;"_UnitValues"),1,MATCH("MEAN",LMH,0))</f>
        <v>605.67878671262065</v>
      </c>
      <c r="AB69" s="579">
        <f ca="1">AA69*($S69-$T69)*(AllProps_CAM/HHProps_CAM)</f>
        <v>4.4575303152073857</v>
      </c>
      <c r="AC69" s="216">
        <f ca="1">X69*AA$75/X$74</f>
        <v>2.8200444767088411</v>
      </c>
      <c r="AD69" s="341" t="str">
        <f>Q69</f>
        <v>Property affected</v>
      </c>
      <c r="AE69" s="534">
        <f ca="1">(AC69*HHProps_CAM)/((S69-T69)*AllProps_CAM)</f>
        <v>383.18104339110289</v>
      </c>
    </row>
    <row r="70" spans="1:31" s="64" customFormat="1" x14ac:dyDescent="0.25">
      <c r="A70" s="9" t="s">
        <v>117</v>
      </c>
      <c r="B70" s="9" t="s">
        <v>265</v>
      </c>
      <c r="C70" s="9" t="str">
        <f>B70</f>
        <v>TasteSmell</v>
      </c>
      <c r="D70" s="514" t="s">
        <v>369</v>
      </c>
      <c r="E70" s="431">
        <f ca="1">INDEX(INDIRECT("ExtWTP_"&amp;$C70&amp;"_UnitValues"),MATCH(A$68, INDIRECT("ExtWTP_Comps_"&amp;C70),0),MATCH("HH",ExtWTP_Group,0))</f>
        <v>2445</v>
      </c>
      <c r="F70" s="521">
        <f t="shared" ca="1" si="59"/>
        <v>1.6666666666666666E-2</v>
      </c>
      <c r="G70" s="521">
        <f t="shared" ca="1" si="59"/>
        <v>1.1111111111111112E-2</v>
      </c>
      <c r="H70" s="20">
        <f ca="1">INDEX(INDIRECT("SSW_WTPCore2_"&amp;$B70&amp;"_LevelValues"),1,MATCH("S1 MEAN",WTPCore2_LevelValues,0))</f>
        <v>0.30818609087835352</v>
      </c>
      <c r="I70" s="20">
        <f ca="1">INDEX(INDIRECT("SSW_WTPCore2_"&amp;$B70&amp;"_LevelValues"),1,MATCH("S2 MEAN",WTPCore2_LevelValues,0))</f>
        <v>0.18578205633963885</v>
      </c>
      <c r="J70" s="20">
        <f ca="1">SUM(H70:I70)</f>
        <v>0.49396814721799237</v>
      </c>
      <c r="K70" s="278">
        <f ca="1">E70*(F70-G70)</f>
        <v>13.583333333333332</v>
      </c>
      <c r="L70" s="579">
        <f ca="1">INDEX(INDIRECT("SSW_WTPCore_DCE_"&amp;$B70&amp;"_UnitValues"),MATCH("COMBINED-HH",WTPCore_Group,0),MATCH("MEAN",LMH,0))</f>
        <v>171.97536823750744</v>
      </c>
      <c r="M70" s="579">
        <f ca="1">L70*($F70-$G70)*(AllProps_SSW/HHProps_SSW)</f>
        <v>1.0194594594594593</v>
      </c>
      <c r="N70" s="117">
        <f ca="1">INDEX(INDIRECT("SSW_WTPCore2_"&amp;$B70&amp;"_UnitValues"),1,MATCH("MEAN",LMH,0))</f>
        <v>83.328820216603944</v>
      </c>
      <c r="O70" s="579">
        <f ca="1">N70*($F70-$G70)*(AllProps_SSW/HHProps_SSW)</f>
        <v>0.49396814721799231</v>
      </c>
      <c r="P70" s="20">
        <f t="shared" ref="P70:P73" ca="1" si="61">K70*$N$75/K$74</f>
        <v>1.2579627776477484</v>
      </c>
      <c r="Q70" s="514" t="s">
        <v>369</v>
      </c>
      <c r="R70" s="534">
        <f ca="1">P70*HHProps_SSW/((F70-G70)*AllProps_SSW)</f>
        <v>212.2091368201703</v>
      </c>
      <c r="S70" s="16">
        <f t="shared" ca="1" si="60"/>
        <v>1.4285714285714285E-2</v>
      </c>
      <c r="T70" s="16">
        <f t="shared" ca="1" si="60"/>
        <v>0.01</v>
      </c>
      <c r="U70" s="216">
        <f ca="1">INDEX(INDIRECT("CAM_WTPCore2_"&amp;$B70&amp;"_LevelValues"),1,MATCH("S1 MEAN",WTPCore2_LevelValues,0))</f>
        <v>4.7204807663126298E-2</v>
      </c>
      <c r="V70" s="216">
        <f ca="1">INDEX(INDIRECT("CAM_WTPCore2_"&amp;$B70&amp;"_LevelValues"),1,MATCH("S2 MEAN",WTPCore2_LevelValues,0))</f>
        <v>0.1217094578997745</v>
      </c>
      <c r="W70" s="216">
        <f t="shared" ref="W70:W73" ca="1" si="62">SUM(U70:V70)</f>
        <v>0.16891426556290079</v>
      </c>
      <c r="X70" s="825">
        <f ca="1">E70*(S70-T70)</f>
        <v>10.478571428571428</v>
      </c>
      <c r="Y70" s="579">
        <f t="shared" ref="Y70" ca="1" si="63">INDEX(INDIRECT("CAM_WTPCore_"&amp;$C70&amp;"_UnitValues"),MATCH("COMBINED-HH",WTPCore_Group,0),MATCH("MEAN",LMH,0))</f>
        <v>205.16697061803447</v>
      </c>
      <c r="Z70" s="579">
        <f ca="1">Y70*(S70-T70)*(AllProps_CAM/HHProps_CAM)</f>
        <v>0.94640816326530608</v>
      </c>
      <c r="AA70" s="117">
        <f t="shared" ref="AA70" ca="1" si="64">INDEX(INDIRECT("CAM_WTPCore2_"&amp;$C70&amp;"_UnitValues"),1,MATCH("MEAN",LMH,0))</f>
        <v>36.618057097205678</v>
      </c>
      <c r="AB70" s="579">
        <f ca="1">AA70*($S70-$T70)*(AllProps_CAM/HHProps_CAM)</f>
        <v>0.16891426556290076</v>
      </c>
      <c r="AC70" s="216">
        <f t="shared" ref="AC70:AC73" ca="1" si="65">X70*AA$75/X$74</f>
        <v>3.0221629241872421</v>
      </c>
      <c r="AD70" s="341" t="str">
        <f>Q70</f>
        <v>Property affected</v>
      </c>
      <c r="AE70" s="534">
        <f ca="1">(AC70*HHProps_CAM)/((S70-T70)*AllProps_CAM)</f>
        <v>655.15919656730523</v>
      </c>
    </row>
    <row r="71" spans="1:31" s="64" customFormat="1" x14ac:dyDescent="0.25">
      <c r="A71" s="9" t="s">
        <v>181</v>
      </c>
      <c r="B71" s="9" t="s">
        <v>269</v>
      </c>
      <c r="C71" s="9" t="s">
        <v>328</v>
      </c>
      <c r="D71" s="514" t="s">
        <v>369</v>
      </c>
      <c r="E71" s="431">
        <f ca="1">INDEX(INDIRECT("ExtWTP_"&amp;$C71&amp;"_UnitValues"),MATCH(A$68, INDIRECT("ExtWTP_Comps_"&amp;C71),0),MATCH("HH",ExtWTP_Group,0))</f>
        <v>206</v>
      </c>
      <c r="F71" s="521">
        <f t="shared" ca="1" si="59"/>
        <v>1.4285714285714285E-2</v>
      </c>
      <c r="G71" s="521">
        <f t="shared" ca="1" si="59"/>
        <v>9.5238095238095247E-3</v>
      </c>
      <c r="H71" s="20">
        <f ca="1">INDEX(INDIRECT("SSW_WTPCore2_"&amp;$B71&amp;"_LevelValues"),1,MATCH("S1 MEAN",WTPCore2_LevelValues,0))</f>
        <v>0.39718669024665654</v>
      </c>
      <c r="I71" s="20">
        <f ca="1">INDEX(INDIRECT("SSW_WTPCore2_"&amp;$B71&amp;"_LevelValues"),1,MATCH("S2 MEAN",WTPCore2_LevelValues,0))</f>
        <v>0.53859352958370721</v>
      </c>
      <c r="J71" s="20">
        <f ca="1">SUM(H71:I71)</f>
        <v>0.93578021983036375</v>
      </c>
      <c r="K71" s="278">
        <f ca="1">E71*(F71-G71)</f>
        <v>0.98095238095238069</v>
      </c>
      <c r="L71" s="579">
        <f ca="1">INDEX(INDIRECT("SSW_WTPCore_DCE_"&amp;$B71&amp;"_UnitValues"),MATCH("COMBINED-HH",WTPCore_Group,0),MATCH("MEAN",LMH,0))</f>
        <v>160.37052631578945</v>
      </c>
      <c r="M71" s="579">
        <f ca="1">L71*($F71-$G71)*(AllProps_SSW/HHProps_SSW)</f>
        <v>0.8148571428571425</v>
      </c>
      <c r="N71" s="117">
        <f ca="1">INDEX(INDIRECT("SSW_WTPCore2_"&amp;$B71&amp;"_UnitValues"),1,MATCH("MEAN",LMH,0))</f>
        <v>184.16917331534088</v>
      </c>
      <c r="O71" s="579">
        <f ca="1">N71*($F71-$G71)*(AllProps_SSW/HHProps_SSW)</f>
        <v>0.93578021983036364</v>
      </c>
      <c r="P71" s="20">
        <f t="shared" ca="1" si="61"/>
        <v>9.0846742224517482E-2</v>
      </c>
      <c r="Q71" s="514" t="s">
        <v>369</v>
      </c>
      <c r="R71" s="534">
        <f ca="1">P71*HHProps_SSW/((F71-G71)*AllProps_SSW)</f>
        <v>17.879379216750539</v>
      </c>
      <c r="S71" s="16">
        <f t="shared" ca="1" si="60"/>
        <v>2.5000000000000001E-2</v>
      </c>
      <c r="T71" s="16">
        <f t="shared" ca="1" si="60"/>
        <v>1.6666666666666666E-2</v>
      </c>
      <c r="U71" s="216">
        <f ca="1">INDEX(INDIRECT("CAM_WTPCore2_"&amp;$B71&amp;"_LevelValues"),1,MATCH("S1 MEAN",WTPCore2_LevelValues,0))</f>
        <v>5.3490671066612649E-2</v>
      </c>
      <c r="V71" s="216">
        <f ca="1">INDEX(INDIRECT("CAM_WTPCore2_"&amp;$B71&amp;"_LevelValues"),1,MATCH("S2 MEAN",WTPCore2_LevelValues,0))</f>
        <v>0.33457681646237136</v>
      </c>
      <c r="W71" s="216">
        <f t="shared" ca="1" si="62"/>
        <v>0.38806748752898401</v>
      </c>
      <c r="X71" s="825">
        <f ca="1">E71*(S71-T71)</f>
        <v>1.716666666666667</v>
      </c>
      <c r="Y71" s="579">
        <f ca="1">INDEX(INDIRECT("CAM_WTPCore_"&amp;$B71&amp;"_UnitValues"),MATCH("COMBINED-HH",WTPCore_Group,0),MATCH("MEAN",LMH,0))</f>
        <v>27.921526908635794</v>
      </c>
      <c r="Z71" s="579">
        <f ca="1">Y71*($S71-$T71)*(AllProps_CAM/HHProps_CAM)</f>
        <v>0.25044117647058822</v>
      </c>
      <c r="AA71" s="117">
        <f ca="1">INDEX(INDIRECT("CAM_WTPCore2_"&amp;$B71&amp;"_UnitValues"),1,MATCH("MEAN",LMH,0))</f>
        <v>43.265396481954809</v>
      </c>
      <c r="AB71" s="579">
        <f ca="1">AA71*($S71-$T71)*(AllProps_CAM/HHProps_CAM)</f>
        <v>0.38806748752898401</v>
      </c>
      <c r="AC71" s="216">
        <f t="shared" ca="1" si="65"/>
        <v>0.49511008142217727</v>
      </c>
      <c r="AD71" s="341" t="str">
        <f>Q71</f>
        <v>Property affected</v>
      </c>
      <c r="AE71" s="534">
        <f ca="1">(AC71*HHProps_CAM)/((S71-T71)*AllProps_CAM)</f>
        <v>55.199506950046988</v>
      </c>
    </row>
    <row r="72" spans="1:31" s="64" customFormat="1" x14ac:dyDescent="0.25">
      <c r="A72" s="9" t="s">
        <v>330</v>
      </c>
      <c r="B72" s="9" t="s">
        <v>319</v>
      </c>
      <c r="C72" s="9" t="str">
        <f>B72</f>
        <v>TempBan</v>
      </c>
      <c r="D72" s="514" t="s">
        <v>369</v>
      </c>
      <c r="E72" s="431">
        <f ca="1">INDEX(INDIRECT("ExtWTP_"&amp;$C72&amp;"_UnitValues"),MATCH(A$68, INDIRECT("ExtWTP_Comps_"&amp;C72),0),MATCH("HH",ExtWTP_Group,0))</f>
        <v>107</v>
      </c>
      <c r="F72" s="521">
        <f t="shared" ca="1" si="59"/>
        <v>2.5000000000000001E-2</v>
      </c>
      <c r="G72" s="521">
        <f t="shared" ca="1" si="59"/>
        <v>1.5384615384615385E-2</v>
      </c>
      <c r="H72" s="20">
        <f ca="1">INDEX(INDIRECT("SSW_WTPCore2_"&amp;$B72&amp;"_LevelValues"),1,MATCH("S1 MEAN",WTPCore2_LevelValues,0))</f>
        <v>0.4084226191643695</v>
      </c>
      <c r="I72" s="20">
        <f ca="1">INDEX(INDIRECT("SSW_WTPCore2_"&amp;$B72&amp;"_LevelValues"),1,MATCH("S2 MEAN",WTPCore2_LevelValues,0))</f>
        <v>0.28250000903457151</v>
      </c>
      <c r="J72" s="20">
        <f ca="1">SUM(H72:I72)</f>
        <v>0.69092262819894101</v>
      </c>
      <c r="K72" s="278">
        <f ca="1">E72*(F72-G72)</f>
        <v>1.028846153846154</v>
      </c>
      <c r="L72" s="820">
        <f t="shared" ref="L72:L73" ca="1" si="66">INDEX(INDIRECT("SSW_WTPCore_DCE_"&amp;$C72&amp;"_UnitValues"),MATCH("COMBINED-HH",WTPCore_Group,0),MATCH("MEAN",LMH,0))</f>
        <v>251711.99999999994</v>
      </c>
      <c r="M72" s="579">
        <f ca="1">L72*(F72-G72)/HHProps_SSW*100</f>
        <v>0.43846153846153835</v>
      </c>
      <c r="N72" s="343">
        <f t="shared" ref="N72:N73" ca="1" si="67">INDEX(INDIRECT("SSW_WTPCore2_"&amp;$C72&amp;"_UnitValues"),1,MATCH("MEAN",LMH,0))</f>
        <v>396644.86239644804</v>
      </c>
      <c r="O72" s="579">
        <f ca="1">N72*(F72-G72)/HHProps_SSW*100</f>
        <v>0.69092262819894101</v>
      </c>
      <c r="P72" s="20">
        <f t="shared" ca="1" si="61"/>
        <v>9.5282220770393417E-2</v>
      </c>
      <c r="Q72" s="643" t="s">
        <v>422</v>
      </c>
      <c r="R72" s="534">
        <f ca="1">P72*HHProps_SSW/((F72-G72)*100)</f>
        <v>54699.617299867452</v>
      </c>
      <c r="S72" s="16">
        <f t="shared" ca="1" si="60"/>
        <v>0.05</v>
      </c>
      <c r="T72" s="16">
        <f t="shared" ca="1" si="60"/>
        <v>3.3333333333333333E-2</v>
      </c>
      <c r="U72" s="216">
        <f ca="1">INDEX(INDIRECT("CAM_WTPCore2_"&amp;$B72&amp;"_LevelValues"),1,MATCH("S1 MEAN",WTPCore2_LevelValues,0))</f>
        <v>0.15591350717379643</v>
      </c>
      <c r="V72" s="216">
        <f ca="1">INDEX(INDIRECT("CAM_WTPCore2_"&amp;$B72&amp;"_LevelValues"),1,MATCH("S2 MEAN",WTPCore2_LevelValues,0))</f>
        <v>5.0130987785217407E-2</v>
      </c>
      <c r="W72" s="216">
        <f t="shared" ca="1" si="62"/>
        <v>0.20604449495901384</v>
      </c>
      <c r="X72" s="825">
        <f ca="1">E72*(S72-T72)</f>
        <v>1.7833333333333337</v>
      </c>
      <c r="Y72" s="820">
        <f ca="1">INDEX(INDIRECT("CAM_WTPCore_"&amp;$C72&amp;"_UnitValues"),MATCH("COMBINED-HH",WTPCore_Group,0),MATCH("MEAN",LMH,0))</f>
        <v>452735.99999999994</v>
      </c>
      <c r="Z72" s="579">
        <f ca="1">Y72*(S72-T72)/HHProps_CAM*100</f>
        <v>5.7600000000000007</v>
      </c>
      <c r="AA72" s="343">
        <f ca="1">INDEX(INDIRECT("CAM_WTPCore2_"&amp;$C72&amp;"_UnitValues"),1,MATCH("MEAN",LMH,0))</f>
        <v>16195.097303778484</v>
      </c>
      <c r="AB72" s="579">
        <f ca="1">AA72*(S72-T72)/HHProps_CAM*100</f>
        <v>0.20604449495901386</v>
      </c>
      <c r="AC72" s="216">
        <f t="shared" ca="1" si="65"/>
        <v>0.51433765739973747</v>
      </c>
      <c r="AD72" s="341" t="str">
        <f>Q72</f>
        <v>1% change in risk</v>
      </c>
      <c r="AE72" s="534">
        <f ca="1">(AC72*HHProps_CAM)/((S72-T72)*100)</f>
        <v>40426.939871619361</v>
      </c>
    </row>
    <row r="73" spans="1:31" s="64" customFormat="1" x14ac:dyDescent="0.25">
      <c r="A73" s="9" t="s">
        <v>185</v>
      </c>
      <c r="B73" s="9" t="s">
        <v>270</v>
      </c>
      <c r="C73" s="9" t="str">
        <f>B73</f>
        <v>LowPressure</v>
      </c>
      <c r="D73" s="514" t="s">
        <v>369</v>
      </c>
      <c r="E73" s="431">
        <f ca="1">INDEX(INDIRECT("ExtWTP_"&amp;$C73&amp;"_UnitValues"),MATCH(A$68, INDIRECT("ExtWTP_Comps_"&amp;C73),0),MATCH("HH",ExtWTP_Group,0))</f>
        <v>299</v>
      </c>
      <c r="F73" s="521">
        <f t="shared" ca="1" si="59"/>
        <v>0.1</v>
      </c>
      <c r="G73" s="521">
        <f t="shared" ca="1" si="59"/>
        <v>6.6666666666666666E-2</v>
      </c>
      <c r="H73" s="20">
        <f ca="1">INDEX(INDIRECT("SSW_WTPCore2_"&amp;$B73&amp;"_LevelValues"),1,MATCH("S1 MEAN",WTPCore2_LevelValues,0))</f>
        <v>0.78010561855806027</v>
      </c>
      <c r="I73" s="20">
        <f ca="1">INDEX(INDIRECT("SSW_WTPCore2_"&amp;$B73&amp;"_LevelValues"),1,MATCH("S2 MEAN",WTPCore2_LevelValues,0))</f>
        <v>0.37050953266002729</v>
      </c>
      <c r="J73" s="20">
        <f ca="1">SUM(H73:I73)</f>
        <v>1.1506151512180876</v>
      </c>
      <c r="K73" s="278">
        <f ca="1">E73*(F73-G73)</f>
        <v>9.9666666666666686</v>
      </c>
      <c r="L73" s="579">
        <f t="shared" ca="1" si="66"/>
        <v>40.646907591559547</v>
      </c>
      <c r="M73" s="579">
        <f ca="1">L73*(F73-G73)*(AllProps_SSW/HHProps_SSW)</f>
        <v>1.445714285714286</v>
      </c>
      <c r="N73" s="117">
        <f t="shared" ca="1" si="67"/>
        <v>32.35006265563927</v>
      </c>
      <c r="O73" s="579">
        <f ca="1">N73*($F73-$G73)*(AllProps_SSW/HHProps_SSW)</f>
        <v>1.1506151512180878</v>
      </c>
      <c r="P73" s="20">
        <f t="shared" ca="1" si="61"/>
        <v>0.92302054114521936</v>
      </c>
      <c r="Q73" s="514" t="s">
        <v>369</v>
      </c>
      <c r="R73" s="534">
        <f ca="1">P73*HHProps_SSW/((F73-G73)*AllProps_SSW)</f>
        <v>25.951137795186472</v>
      </c>
      <c r="S73" s="16">
        <f t="shared" ca="1" si="60"/>
        <v>9.0909090909090912E-2</v>
      </c>
      <c r="T73" s="16">
        <f t="shared" ca="1" si="60"/>
        <v>6.6666666666666666E-2</v>
      </c>
      <c r="U73" s="216">
        <f ca="1">INDEX(INDIRECT("CAM_WTPCore2_"&amp;$B73&amp;"_LevelValues"),1,MATCH("S1 MEAN",WTPCore2_LevelValues,0))</f>
        <v>2.1416418362159599</v>
      </c>
      <c r="V73" s="216">
        <f ca="1">INDEX(INDIRECT("CAM_WTPCore2_"&amp;$B73&amp;"_LevelValues"),1,MATCH("S2 MEAN",WTPCore2_LevelValues,0))</f>
        <v>0.84070533256091329</v>
      </c>
      <c r="W73" s="216">
        <f t="shared" ca="1" si="62"/>
        <v>2.9823471687768732</v>
      </c>
      <c r="X73" s="825">
        <f ca="1">E73*(S73-T73)</f>
        <v>7.2484848484848499</v>
      </c>
      <c r="Y73" s="579">
        <f ca="1">INDEX(INDIRECT("CAM_WTPCore_"&amp;$B73&amp;"_UnitValues"),MATCH("COMBINED-HH",WTPCore_Group,0),MATCH("MEAN",LMH,0))</f>
        <v>18.356144634344844</v>
      </c>
      <c r="Z73" s="579">
        <f ca="1">Y73*($S73-$T73)*(AllProps_CAM/HHProps_CAM)</f>
        <v>0.47896671634376553</v>
      </c>
      <c r="AA73" s="117">
        <f ca="1">INDEX(INDIRECT("CAM_WTPCore2_"&amp;$B73&amp;"_UnitValues"),1,MATCH("MEAN",LMH,0))</f>
        <v>114.29686888849665</v>
      </c>
      <c r="AB73" s="579">
        <f ca="1">AA73*($S73-$T73)*(AllProps_CAM/HHProps_CAM)</f>
        <v>2.9823471687768732</v>
      </c>
      <c r="AC73" s="216">
        <f t="shared" ca="1" si="65"/>
        <v>2.0905618971965541</v>
      </c>
      <c r="AD73" s="341" t="str">
        <f>Q73</f>
        <v>Property affected</v>
      </c>
      <c r="AE73" s="534">
        <f ca="1">(AC73*HHProps_CAM)/((S73-T73)*AllProps_SSW)</f>
        <v>19.179751870926786</v>
      </c>
    </row>
    <row r="74" spans="1:31" s="64" customFormat="1" x14ac:dyDescent="0.25">
      <c r="D74" s="517"/>
      <c r="E74" s="526"/>
      <c r="F74" s="527"/>
      <c r="G74" s="527"/>
      <c r="H74" s="527"/>
      <c r="I74" s="527"/>
      <c r="J74" s="445">
        <f ca="1">SUM(J69:J73)</f>
        <v>7.2459693379256205</v>
      </c>
      <c r="K74" s="446">
        <f ca="1">SUM(K69:K73)</f>
        <v>63.693131868131871</v>
      </c>
      <c r="L74" s="446"/>
      <c r="M74" s="446">
        <f ca="1">SUM(M69:M73)</f>
        <v>4.5167007558583991</v>
      </c>
      <c r="N74" s="446"/>
      <c r="O74" s="446">
        <f ca="1">SUM(O69:O73)</f>
        <v>7.2806375138720778</v>
      </c>
      <c r="P74" s="445">
        <f ca="1">SUM(P69:P73)</f>
        <v>5.898669134865238</v>
      </c>
      <c r="R74" s="628"/>
      <c r="S74" s="14"/>
      <c r="T74" s="14"/>
      <c r="U74" s="14"/>
      <c r="V74" s="14"/>
      <c r="W74" s="52">
        <f ca="1">SUM(W69:W73)</f>
        <v>8.202903732035157</v>
      </c>
      <c r="X74" s="531">
        <f ca="1">SUM(X69:X73)</f>
        <v>31.00483405483406</v>
      </c>
      <c r="Y74" s="532"/>
      <c r="Z74" s="532">
        <f ca="1">SUM(Z69:Z73)</f>
        <v>9.6815303417939464</v>
      </c>
      <c r="AA74" s="532"/>
      <c r="AB74" s="532">
        <f ca="1">SUM(AB69:AB73)</f>
        <v>8.202903732035157</v>
      </c>
      <c r="AC74" s="52">
        <f ca="1">SUM(AC69:AC73)</f>
        <v>8.9422170369145508</v>
      </c>
      <c r="AE74" s="627"/>
    </row>
    <row r="75" spans="1:31" s="64" customFormat="1" x14ac:dyDescent="0.25">
      <c r="A75" s="60"/>
      <c r="B75" s="60"/>
      <c r="C75" s="60"/>
      <c r="D75" s="516"/>
      <c r="E75" s="523"/>
      <c r="F75" s="524"/>
      <c r="G75" s="524"/>
      <c r="H75" s="524"/>
      <c r="I75" s="524"/>
      <c r="J75" s="524"/>
      <c r="K75" s="31"/>
      <c r="L75" s="31"/>
      <c r="M75" s="45" t="s">
        <v>997</v>
      </c>
      <c r="N75" s="737">
        <f ca="1">AVERAGE(M74,O74)</f>
        <v>5.8986691348652389</v>
      </c>
      <c r="O75" s="45"/>
      <c r="P75" s="15"/>
      <c r="Q75" s="60"/>
      <c r="R75" s="629"/>
      <c r="S75" s="17"/>
      <c r="T75" s="17"/>
      <c r="U75" s="17"/>
      <c r="V75" s="17"/>
      <c r="W75" s="17"/>
      <c r="X75" s="31"/>
      <c r="Y75" s="31"/>
      <c r="Z75" s="533" t="s">
        <v>997</v>
      </c>
      <c r="AA75" s="737">
        <f ca="1">AVERAGE(Z74,AB74)</f>
        <v>8.9422170369145526</v>
      </c>
      <c r="AB75" s="533"/>
      <c r="AC75" s="15"/>
      <c r="AD75" s="60"/>
      <c r="AE75" s="535"/>
    </row>
    <row r="76" spans="1:31" x14ac:dyDescent="0.25">
      <c r="A76" s="61" t="s">
        <v>165</v>
      </c>
      <c r="B76" s="237"/>
      <c r="D76" s="515"/>
      <c r="E76" s="522"/>
      <c r="F76" s="448"/>
      <c r="G76" s="448"/>
      <c r="H76" s="497"/>
      <c r="I76" s="497"/>
      <c r="J76" s="497"/>
      <c r="K76" s="531"/>
      <c r="L76" s="531"/>
      <c r="M76" s="531"/>
      <c r="N76" s="531"/>
      <c r="O76" s="531"/>
      <c r="P76" s="54"/>
      <c r="Q76" s="912"/>
      <c r="R76" s="630"/>
      <c r="S76" s="54"/>
      <c r="T76" s="54"/>
      <c r="U76" s="53"/>
      <c r="V76" s="53"/>
      <c r="W76" s="53"/>
      <c r="X76" s="531"/>
      <c r="Y76" s="531"/>
      <c r="Z76" s="531"/>
      <c r="AA76" s="531"/>
      <c r="AB76" s="531"/>
      <c r="AC76" s="54"/>
      <c r="AE76" s="536"/>
    </row>
    <row r="77" spans="1:31" x14ac:dyDescent="0.25">
      <c r="A77" s="9" t="s">
        <v>25</v>
      </c>
      <c r="B77" s="9" t="s">
        <v>266</v>
      </c>
      <c r="C77" s="9" t="str">
        <f>B77</f>
        <v>Discolour</v>
      </c>
      <c r="D77" s="514" t="s">
        <v>369</v>
      </c>
      <c r="E77" s="431">
        <f ca="1">INDEX(INDIRECT("ExtWTP_"&amp;$C77&amp;"_UnitValues"),MATCH(A$76, INDIRECT("ExtWTP_Comps_"&amp;C77),0),MATCH("HH",ExtWTP_Group,0))</f>
        <v>109</v>
      </c>
      <c r="F77" s="521">
        <f t="shared" ref="F77:G81" ca="1" si="68">INDEX(INDIRECT("SSW_WTPCore2_"&amp;$B77&amp;"_Levels"),1,MATCH(F$4,WTPCore2_AttLevels,0))</f>
        <v>6.6666666666666666E-2</v>
      </c>
      <c r="G77" s="521">
        <f t="shared" ca="1" si="68"/>
        <v>0.04</v>
      </c>
      <c r="H77" s="20">
        <f ca="1">INDEX(INDIRECT("SSW_WTPCore2_"&amp;$B77&amp;"_LevelValues"),1,MATCH("S1 MEAN",WTPCore2_LevelValues,0))</f>
        <v>3.3679929677046498</v>
      </c>
      <c r="I77" s="20">
        <f ca="1">INDEX(INDIRECT("SSW_WTPCore2_"&amp;$B77&amp;"_LevelValues"),1,MATCH("S2 MEAN",WTPCore2_LevelValues,0))</f>
        <v>0.60669022375558512</v>
      </c>
      <c r="J77" s="20">
        <f ca="1">SUM(H77:I77)</f>
        <v>3.974683191460235</v>
      </c>
      <c r="K77" s="278">
        <f ca="1">E77*(F77-G77)</f>
        <v>2.9066666666666663</v>
      </c>
      <c r="L77" s="579">
        <f ca="1">INDEX(INDIRECT("SSW_WTPCore_DCE_"&amp;$C77&amp;"_UnitValues"),MATCH("COMBINED-HH",WTPCore_Group,0),MATCH("MEAN",LMH,0))</f>
        <v>27.809917858229387</v>
      </c>
      <c r="M77" s="579">
        <f ca="1">L77*(F77-G77)*(AllProps_CAM/HHProps_CAM)</f>
        <v>0.79820832936597319</v>
      </c>
      <c r="N77" s="117">
        <f ca="1">INDEX(INDIRECT("SSW_WTPCore2_"&amp;$C77&amp;"_UnitValues"),1,MATCH("MEAN",LMH,0))</f>
        <v>139.68750774741403</v>
      </c>
      <c r="O77" s="579">
        <f ca="1">N77*($F77-$G77)*(AllProps_CAM/HHProps_CAM)</f>
        <v>4.0093513674066923</v>
      </c>
      <c r="P77" s="20">
        <f ca="1">K77*N$83/K$82</f>
        <v>1.499119360189076</v>
      </c>
      <c r="Q77" s="514" t="s">
        <v>369</v>
      </c>
      <c r="R77" s="534">
        <f ca="1">P77*HHProps_SSW/((F77-G77)*AllProps_SSW)</f>
        <v>52.685519110210308</v>
      </c>
      <c r="S77" s="16">
        <f t="shared" ref="S77:T81" ca="1" si="69">INDEX(INDIRECT("CAM_WTPCore2_"&amp;$B77&amp;"_Levels"),1,MATCH(S$4,WTPCore2_AttLevels,0))</f>
        <v>2.2222222222222223E-2</v>
      </c>
      <c r="T77" s="16">
        <f t="shared" ca="1" si="69"/>
        <v>1.5384615384615385E-2</v>
      </c>
      <c r="U77" s="216">
        <f ca="1">INDEX(INDIRECT("CAM_WTPCore2_"&amp;$B77&amp;"_LevelValues"),1,MATCH("S1 MEAN",WTPCore2_LevelValues,0))</f>
        <v>3.1155463151224057</v>
      </c>
      <c r="V77" s="216">
        <f ca="1">INDEX(INDIRECT("CAM_WTPCore2_"&amp;$B77&amp;"_LevelValues"),1,MATCH("S2 MEAN",WTPCore2_LevelValues,0))</f>
        <v>1.3419840000849801</v>
      </c>
      <c r="W77" s="216">
        <f ca="1">SUM(U77:V77)</f>
        <v>4.4575303152073857</v>
      </c>
      <c r="X77" s="825">
        <f ca="1">E77*(S77-T77)</f>
        <v>0.74529914529914532</v>
      </c>
      <c r="Y77" s="579">
        <f ca="1">INDEX(INDIRECT("CAM_WTPCore_"&amp;$C77&amp;"_UnitValues"),MATCH("COMBINED-HH",WTPCore_Group,0),MATCH("MEAN",LMH,0))</f>
        <v>305.14240121580548</v>
      </c>
      <c r="Z77" s="579">
        <f ca="1">Y77*($S77-$T77)*(AllProps_CAM/HHProps_CAM)</f>
        <v>2.2457142857142856</v>
      </c>
      <c r="AA77" s="117">
        <f ca="1">INDEX(INDIRECT("CAM_WTPCore2_"&amp;$C77&amp;"_UnitValues"),1,MATCH("MEAN",LMH,0))</f>
        <v>605.67878671262065</v>
      </c>
      <c r="AB77" s="579">
        <f ca="1">AA77*($S77-$T77)*(AllProps_CAM/HHProps_CAM)</f>
        <v>4.4575303152073857</v>
      </c>
      <c r="AC77" s="216">
        <f ca="1">X77*AA$83/X$82</f>
        <v>0.97470906362810972</v>
      </c>
      <c r="AD77" s="341" t="str">
        <f>Q77</f>
        <v>Property affected</v>
      </c>
      <c r="AE77" s="534">
        <f ca="1">(AC77*HHProps_CAM)/((S77-T77)*AllProps_CAM)</f>
        <v>132.44118633180884</v>
      </c>
    </row>
    <row r="78" spans="1:31" x14ac:dyDescent="0.25">
      <c r="A78" s="9" t="s">
        <v>117</v>
      </c>
      <c r="B78" s="9" t="s">
        <v>265</v>
      </c>
      <c r="C78" s="9" t="str">
        <f>B78</f>
        <v>TasteSmell</v>
      </c>
      <c r="D78" s="514" t="s">
        <v>369</v>
      </c>
      <c r="E78" s="431">
        <f ca="1">INDEX(INDIRECT("ExtWTP_"&amp;$C78&amp;"_UnitValues"),MATCH(A$76, INDIRECT("ExtWTP_Comps_"&amp;C78),0),MATCH("HH",ExtWTP_Group,0))</f>
        <v>196</v>
      </c>
      <c r="F78" s="521">
        <f t="shared" ca="1" si="68"/>
        <v>1.6666666666666666E-2</v>
      </c>
      <c r="G78" s="521">
        <f t="shared" ca="1" si="68"/>
        <v>1.1111111111111112E-2</v>
      </c>
      <c r="H78" s="20">
        <f ca="1">INDEX(INDIRECT("SSW_WTPCore2_"&amp;$B78&amp;"_LevelValues"),1,MATCH("S1 MEAN",WTPCore2_LevelValues,0))</f>
        <v>0.30818609087835352</v>
      </c>
      <c r="I78" s="20">
        <f ca="1">INDEX(INDIRECT("SSW_WTPCore2_"&amp;$B78&amp;"_LevelValues"),1,MATCH("S2 MEAN",WTPCore2_LevelValues,0))</f>
        <v>0.18578205633963885</v>
      </c>
      <c r="J78" s="20">
        <f ca="1">SUM(H78:I78)</f>
        <v>0.49396814721799237</v>
      </c>
      <c r="K78" s="278">
        <f ca="1">E78*(F78-G78)</f>
        <v>1.0888888888888888</v>
      </c>
      <c r="L78" s="579">
        <f ca="1">INDEX(INDIRECT("SSW_WTPCore_DCE_"&amp;$B78&amp;"_UnitValues"),MATCH("COMBINED-HH",WTPCore_Group,0),MATCH("MEAN",LMH,0))</f>
        <v>171.97536823750744</v>
      </c>
      <c r="M78" s="579">
        <f ca="1">L78*($F78-$G78)*(AllProps_SSW/HHProps_SSW)</f>
        <v>1.0194594594594593</v>
      </c>
      <c r="N78" s="117">
        <f ca="1">INDEX(INDIRECT("SSW_WTPCore2_"&amp;$B78&amp;"_UnitValues"),1,MATCH("MEAN",LMH,0))</f>
        <v>83.328820216603944</v>
      </c>
      <c r="O78" s="579">
        <f ca="1">N78*($F78-$G78)*(AllProps_SSW/HHProps_SSW)</f>
        <v>0.49396814721799231</v>
      </c>
      <c r="P78" s="20">
        <f t="shared" ref="P78:P81" ca="1" si="70">K78*N$83/K$82</f>
        <v>0.56159670221150404</v>
      </c>
      <c r="Q78" s="514" t="s">
        <v>369</v>
      </c>
      <c r="R78" s="534">
        <f ca="1">P78*HHProps_SSW/((F78-G78)*AllProps_SSW)</f>
        <v>94.737263721112129</v>
      </c>
      <c r="S78" s="16">
        <f t="shared" ca="1" si="69"/>
        <v>1.4285714285714285E-2</v>
      </c>
      <c r="T78" s="16">
        <f t="shared" ca="1" si="69"/>
        <v>0.01</v>
      </c>
      <c r="U78" s="216">
        <f ca="1">INDEX(INDIRECT("CAM_WTPCore2_"&amp;$B78&amp;"_LevelValues"),1,MATCH("S1 MEAN",WTPCore2_LevelValues,0))</f>
        <v>4.7204807663126298E-2</v>
      </c>
      <c r="V78" s="216">
        <f ca="1">INDEX(INDIRECT("CAM_WTPCore2_"&amp;$B78&amp;"_LevelValues"),1,MATCH("S2 MEAN",WTPCore2_LevelValues,0))</f>
        <v>0.1217094578997745</v>
      </c>
      <c r="W78" s="216">
        <f t="shared" ref="W78:W81" ca="1" si="71">SUM(U78:V78)</f>
        <v>0.16891426556290079</v>
      </c>
      <c r="X78" s="825">
        <f ca="1">E78*(S78-T78)</f>
        <v>0.83999999999999986</v>
      </c>
      <c r="Y78" s="579">
        <f t="shared" ref="Y78" ca="1" si="72">INDEX(INDIRECT("CAM_WTPCore_"&amp;$C78&amp;"_UnitValues"),MATCH("COMBINED-HH",WTPCore_Group,0),MATCH("MEAN",LMH,0))</f>
        <v>205.16697061803447</v>
      </c>
      <c r="Z78" s="579">
        <f ca="1">Y78*(S78-T78)*(AllProps_CAM/HHProps_CAM)</f>
        <v>0.94640816326530608</v>
      </c>
      <c r="AA78" s="117">
        <f t="shared" ref="AA78" ca="1" si="73">INDEX(INDIRECT("CAM_WTPCore2_"&amp;$C78&amp;"_UnitValues"),1,MATCH("MEAN",LMH,0))</f>
        <v>36.618057097205678</v>
      </c>
      <c r="AB78" s="579">
        <f ca="1">AA78*($S78-$T78)*(AllProps_CAM/HHProps_CAM)</f>
        <v>0.16891426556290076</v>
      </c>
      <c r="AC78" s="216">
        <f t="shared" ref="AC78:AC81" ca="1" si="74">X78*AA$83/X$82</f>
        <v>1.0985597107037912</v>
      </c>
      <c r="AD78" s="341" t="str">
        <f>Q78</f>
        <v>Property affected</v>
      </c>
      <c r="AE78" s="534">
        <f ca="1">(AC78*HHProps_CAM)/((S78-T78)*AllProps_CAM)</f>
        <v>238.15112404618836</v>
      </c>
    </row>
    <row r="79" spans="1:31" x14ac:dyDescent="0.25">
      <c r="A79" s="9" t="s">
        <v>183</v>
      </c>
      <c r="B79" s="9" t="s">
        <v>269</v>
      </c>
      <c r="C79" s="9" t="s">
        <v>332</v>
      </c>
      <c r="D79" s="514" t="s">
        <v>369</v>
      </c>
      <c r="E79" s="431">
        <f ca="1">INDEX(INDIRECT("ExtWTP_"&amp;$C79&amp;"_UnitValues"),MATCH(A$76, INDIRECT("ExtWTP_Comps_"&amp;C79),0),MATCH("HH",ExtWTP_Group,0))</f>
        <v>234</v>
      </c>
      <c r="F79" s="521">
        <f t="shared" ca="1" si="68"/>
        <v>1.4285714285714285E-2</v>
      </c>
      <c r="G79" s="521">
        <f t="shared" ca="1" si="68"/>
        <v>9.5238095238095247E-3</v>
      </c>
      <c r="H79" s="20">
        <f ca="1">INDEX(INDIRECT("SSW_WTPCore2_"&amp;$B79&amp;"_LevelValues"),1,MATCH("S1 MEAN",WTPCore2_LevelValues,0))</f>
        <v>0.39718669024665654</v>
      </c>
      <c r="I79" s="20">
        <f ca="1">INDEX(INDIRECT("SSW_WTPCore2_"&amp;$B79&amp;"_LevelValues"),1,MATCH("S2 MEAN",WTPCore2_LevelValues,0))</f>
        <v>0.53859352958370721</v>
      </c>
      <c r="J79" s="20">
        <f ca="1">SUM(H79:I79)</f>
        <v>0.93578021983036375</v>
      </c>
      <c r="K79" s="278">
        <f ca="1">E79*(F79-G79)</f>
        <v>1.1142857142857139</v>
      </c>
      <c r="L79" s="579">
        <f ca="1">INDEX(INDIRECT("SSW_WTPCore_DCE_"&amp;$B79&amp;"_UnitValues"),MATCH("COMBINED-HH",WTPCore_Group,0),MATCH("MEAN",LMH,0))</f>
        <v>160.37052631578945</v>
      </c>
      <c r="M79" s="579">
        <f ca="1">L79*($F79-$G79)*(AllProps_SSW/HHProps_SSW)</f>
        <v>0.8148571428571425</v>
      </c>
      <c r="N79" s="117">
        <f ca="1">INDEX(INDIRECT("SSW_WTPCore2_"&amp;$B79&amp;"_UnitValues"),1,MATCH("MEAN",LMH,0))</f>
        <v>184.16917331534088</v>
      </c>
      <c r="O79" s="579">
        <f ca="1">N79*($F79-$G79)*(AllProps_SSW/HHProps_SSW)</f>
        <v>0.93578021983036364</v>
      </c>
      <c r="P79" s="20">
        <f t="shared" ca="1" si="70"/>
        <v>0.57469516756920658</v>
      </c>
      <c r="Q79" s="514" t="s">
        <v>369</v>
      </c>
      <c r="R79" s="534">
        <f ca="1">P79*HHProps_SSW/((F79-G79)*AllProps_SSW)</f>
        <v>113.10469240173589</v>
      </c>
      <c r="S79" s="16">
        <f t="shared" ca="1" si="69"/>
        <v>2.5000000000000001E-2</v>
      </c>
      <c r="T79" s="16">
        <f t="shared" ca="1" si="69"/>
        <v>1.6666666666666666E-2</v>
      </c>
      <c r="U79" s="216">
        <f ca="1">INDEX(INDIRECT("CAM_WTPCore2_"&amp;$B79&amp;"_LevelValues"),1,MATCH("S1 MEAN",WTPCore2_LevelValues,0))</f>
        <v>5.3490671066612649E-2</v>
      </c>
      <c r="V79" s="216">
        <f ca="1">INDEX(INDIRECT("CAM_WTPCore2_"&amp;$B79&amp;"_LevelValues"),1,MATCH("S2 MEAN",WTPCore2_LevelValues,0))</f>
        <v>0.33457681646237136</v>
      </c>
      <c r="W79" s="216">
        <f t="shared" ca="1" si="71"/>
        <v>0.38806748752898401</v>
      </c>
      <c r="X79" s="825">
        <f ca="1">E79*(S79-T79)</f>
        <v>1.9500000000000004</v>
      </c>
      <c r="Y79" s="579">
        <f ca="1">INDEX(INDIRECT("CAM_WTPCore_"&amp;$B79&amp;"_UnitValues"),MATCH("COMBINED-HH",WTPCore_Group,0),MATCH("MEAN",LMH,0))</f>
        <v>27.921526908635794</v>
      </c>
      <c r="Z79" s="579">
        <f ca="1">Y79*($S79-$T79)*(AllProps_CAM/HHProps_CAM)</f>
        <v>0.25044117647058822</v>
      </c>
      <c r="AA79" s="117">
        <f ca="1">INDEX(INDIRECT("CAM_WTPCore2_"&amp;$B79&amp;"_UnitValues"),1,MATCH("MEAN",LMH,0))</f>
        <v>43.265396481954809</v>
      </c>
      <c r="AB79" s="579">
        <f ca="1">AA79*($S79-$T79)*(AllProps_CAM/HHProps_CAM)</f>
        <v>0.38806748752898401</v>
      </c>
      <c r="AC79" s="216">
        <f t="shared" ca="1" si="74"/>
        <v>2.5502278998480881</v>
      </c>
      <c r="AD79" s="341" t="str">
        <f>Q79</f>
        <v>Property affected</v>
      </c>
      <c r="AE79" s="534">
        <f ca="1">(AC79*HHProps_CAM)/((S79-T79)*AllProps_CAM)</f>
        <v>284.32328074902085</v>
      </c>
    </row>
    <row r="80" spans="1:31" x14ac:dyDescent="0.25">
      <c r="A80" s="9" t="s">
        <v>330</v>
      </c>
      <c r="B80" s="9" t="s">
        <v>319</v>
      </c>
      <c r="C80" s="9" t="str">
        <f>B80</f>
        <v>TempBan</v>
      </c>
      <c r="D80" s="514" t="s">
        <v>369</v>
      </c>
      <c r="E80" s="431">
        <f ca="1">INDEX(INDIRECT("ExtWTP_"&amp;$C80&amp;"_UnitValues"),MATCH(A$76, INDIRECT("ExtWTP_Comps_"&amp;C80),0),MATCH("HH",ExtWTP_Group,0))</f>
        <v>5</v>
      </c>
      <c r="F80" s="521">
        <f t="shared" ca="1" si="68"/>
        <v>2.5000000000000001E-2</v>
      </c>
      <c r="G80" s="521">
        <f t="shared" ca="1" si="68"/>
        <v>1.5384615384615385E-2</v>
      </c>
      <c r="H80" s="20">
        <f ca="1">INDEX(INDIRECT("SSW_WTPCore2_"&amp;$B80&amp;"_LevelValues"),1,MATCH("S1 MEAN",WTPCore2_LevelValues,0))</f>
        <v>0.4084226191643695</v>
      </c>
      <c r="I80" s="20">
        <f ca="1">INDEX(INDIRECT("SSW_WTPCore2_"&amp;$B80&amp;"_LevelValues"),1,MATCH("S2 MEAN",WTPCore2_LevelValues,0))</f>
        <v>0.28250000903457151</v>
      </c>
      <c r="J80" s="20">
        <f ca="1">SUM(H80:I80)</f>
        <v>0.69092262819894101</v>
      </c>
      <c r="K80" s="278">
        <f ca="1">E80*(F80-G80)</f>
        <v>4.807692307692308E-2</v>
      </c>
      <c r="L80" s="820">
        <f t="shared" ref="L80:L81" ca="1" si="75">INDEX(INDIRECT("SSW_WTPCore_DCE_"&amp;$C80&amp;"_UnitValues"),MATCH("COMBINED-HH",WTPCore_Group,0),MATCH("MEAN",LMH,0))</f>
        <v>251711.99999999994</v>
      </c>
      <c r="M80" s="579">
        <f ca="1">L80*(F80-G80)/HHProps_SSW*100</f>
        <v>0.43846153846153835</v>
      </c>
      <c r="N80" s="343">
        <f t="shared" ref="N80:N81" ca="1" si="76">INDEX(INDIRECT("SSW_WTPCore2_"&amp;$C80&amp;"_UnitValues"),1,MATCH("MEAN",LMH,0))</f>
        <v>396644.86239644804</v>
      </c>
      <c r="O80" s="579">
        <f ca="1">N80*(F80-G80)/HHProps_SSW*100</f>
        <v>0.69092262819894101</v>
      </c>
      <c r="P80" s="20">
        <f t="shared" ca="1" si="70"/>
        <v>2.4795772762478106E-2</v>
      </c>
      <c r="Q80" s="643" t="s">
        <v>422</v>
      </c>
      <c r="R80" s="534">
        <f ca="1">P80*HHProps_SSW/((F80-G80)*100)</f>
        <v>14234.757227483429</v>
      </c>
      <c r="S80" s="16">
        <f t="shared" ca="1" si="69"/>
        <v>0.05</v>
      </c>
      <c r="T80" s="16">
        <f t="shared" ca="1" si="69"/>
        <v>3.3333333333333333E-2</v>
      </c>
      <c r="U80" s="216">
        <f ca="1">INDEX(INDIRECT("CAM_WTPCore2_"&amp;$B80&amp;"_LevelValues"),1,MATCH("S1 MEAN",WTPCore2_LevelValues,0))</f>
        <v>0.15591350717379643</v>
      </c>
      <c r="V80" s="216">
        <f ca="1">INDEX(INDIRECT("CAM_WTPCore2_"&amp;$B80&amp;"_LevelValues"),1,MATCH("S2 MEAN",WTPCore2_LevelValues,0))</f>
        <v>5.0130987785217407E-2</v>
      </c>
      <c r="W80" s="216">
        <f t="shared" ca="1" si="71"/>
        <v>0.20604449495901384</v>
      </c>
      <c r="X80" s="825">
        <f ca="1">E80*(S80-T80)</f>
        <v>8.3333333333333343E-2</v>
      </c>
      <c r="Y80" s="820">
        <f ca="1">INDEX(INDIRECT("CAM_WTPCore_"&amp;$C80&amp;"_UnitValues"),MATCH("COMBINED-HH",WTPCore_Group,0),MATCH("MEAN",LMH,0))</f>
        <v>452735.99999999994</v>
      </c>
      <c r="Z80" s="579">
        <f ca="1">Y80*(S80-T80)/HHProps_CAM*100</f>
        <v>5.7600000000000007</v>
      </c>
      <c r="AA80" s="343">
        <f ca="1">INDEX(INDIRECT("CAM_WTPCore2_"&amp;$C80&amp;"_UnitValues"),1,MATCH("MEAN",LMH,0))</f>
        <v>16195.097303778484</v>
      </c>
      <c r="AB80" s="579">
        <f ca="1">AA80*(S80-T80)/HHProps_CAM*100</f>
        <v>0.20604449495901386</v>
      </c>
      <c r="AC80" s="216">
        <f t="shared" ca="1" si="74"/>
        <v>0.10898409828410632</v>
      </c>
      <c r="AD80" s="341" t="str">
        <f>Q80</f>
        <v>1% change in risk</v>
      </c>
      <c r="AE80" s="534">
        <f ca="1">(AC80*HHProps_CAM)/((S80-T80)*100)</f>
        <v>8566.1501251307564</v>
      </c>
    </row>
    <row r="81" spans="1:31" x14ac:dyDescent="0.25">
      <c r="A81" s="9" t="s">
        <v>3</v>
      </c>
      <c r="B81" s="9" t="s">
        <v>3</v>
      </c>
      <c r="C81" s="9" t="s">
        <v>3</v>
      </c>
      <c r="D81" s="514" t="s">
        <v>875</v>
      </c>
      <c r="E81" s="431">
        <f ca="1">INDEX(INDIRECT("ExtWTP_"&amp;$C81&amp;"_UnitValues"),MATCH(A$76, INDIRECT("ExtWTP_Comps_"&amp;C81),0),MATCH("HH",ExtWTP_Group,0))</f>
        <v>122335</v>
      </c>
      <c r="F81" s="598">
        <f t="shared" ca="1" si="68"/>
        <v>70.5</v>
      </c>
      <c r="G81" s="598">
        <f t="shared" ca="1" si="68"/>
        <v>35.25</v>
      </c>
      <c r="H81" s="20">
        <f ca="1">INDEX(INDIRECT("SSW_WTPCore2_"&amp;$B81&amp;"_LevelValues"),1,MATCH("S1 MEAN",WTPCore2_LevelValues,0))</f>
        <v>1.2301339708448666</v>
      </c>
      <c r="I81" s="20">
        <f ca="1">INDEX(INDIRECT("SSW_WTPCore2_"&amp;$B81&amp;"_LevelValues"),1,MATCH("S2 MEAN",WTPCore2_LevelValues,0))</f>
        <v>0.44133293088857806</v>
      </c>
      <c r="J81" s="20">
        <f ca="1">SUM(H81:I81)</f>
        <v>1.6714669017334447</v>
      </c>
      <c r="K81" s="278">
        <f ca="1">E81*(F81-G81)/AllProps_SSW</f>
        <v>7.3214070458404077</v>
      </c>
      <c r="L81" s="579">
        <f t="shared" ca="1" si="75"/>
        <v>31319.148936170212</v>
      </c>
      <c r="M81" s="579">
        <f ca="1">L81*(F81-G81)/HHProps_SSW</f>
        <v>2</v>
      </c>
      <c r="N81" s="117">
        <f t="shared" ca="1" si="76"/>
        <v>26174.460418634368</v>
      </c>
      <c r="O81" s="579">
        <f ca="1">N81*(F81-G81)/HHProps_SSW</f>
        <v>1.6714669017334447</v>
      </c>
      <c r="P81" s="20">
        <f t="shared" ca="1" si="70"/>
        <v>3.7760308645335092</v>
      </c>
      <c r="Q81" s="514" t="s">
        <v>875</v>
      </c>
      <c r="R81" s="534">
        <f ca="1">P81*HHProps_SSW/((F81-G81))</f>
        <v>59131.036516950277</v>
      </c>
      <c r="S81" s="599">
        <f t="shared" ca="1" si="69"/>
        <v>13.5</v>
      </c>
      <c r="T81" s="599">
        <f t="shared" ca="1" si="69"/>
        <v>6.75</v>
      </c>
      <c r="U81" s="216">
        <f ca="1">INDEX(INDIRECT("CAM_WTPCore2_"&amp;$B81&amp;"_LevelValues"),1,MATCH("S1 MEAN",WTPCore2_LevelValues,0))</f>
        <v>3.1349723048319831</v>
      </c>
      <c r="V81" s="216">
        <f ca="1">INDEX(INDIRECT("CAM_WTPCore2_"&amp;$B81&amp;"_LevelValues"),1,MATCH("S2 MEAN",WTPCore2_LevelValues,0))</f>
        <v>5.1405797633106154E-3</v>
      </c>
      <c r="W81" s="216">
        <f t="shared" ca="1" si="71"/>
        <v>3.1401128845952937</v>
      </c>
      <c r="X81" s="825">
        <f ca="1">E81*(S81-T81)/AllProps_CAM</f>
        <v>5.8564627659574464</v>
      </c>
      <c r="Y81" s="579">
        <f ca="1">INDEX(INDIRECT("CAM_WTPCore_"&amp;$C81&amp;"_UnitValues"),MATCH("COMBINED-HH",WTPCore_Group,0),MATCH("MEAN",LMH,0))</f>
        <v>140121.48148148149</v>
      </c>
      <c r="Z81" s="579">
        <f ca="1">Y81*(S81-T81)/HHProps_CAM</f>
        <v>7.22</v>
      </c>
      <c r="AA81" s="117">
        <f ca="1">INDEX(INDIRECT("CAM_WTPCore2_"&amp;$C81&amp;"_UnitValues"),1,MATCH("MEAN",LMH,0))</f>
        <v>60941.450056590147</v>
      </c>
      <c r="AB81" s="579">
        <f ca="1">AA81*(S81-T81)/HHProps_CAM</f>
        <v>3.1401128845952937</v>
      </c>
      <c r="AC81" s="216">
        <f t="shared" ca="1" si="74"/>
        <v>7.6591357641877851</v>
      </c>
      <c r="AD81" s="341" t="s">
        <v>875</v>
      </c>
      <c r="AE81" s="534">
        <f ca="1">AC81*HHProps_CAM/((S81-T81))</f>
        <v>148643.96816423701</v>
      </c>
    </row>
    <row r="82" spans="1:31" x14ac:dyDescent="0.25">
      <c r="D82" s="514"/>
      <c r="E82" s="431"/>
      <c r="F82" s="20"/>
      <c r="G82" s="20"/>
      <c r="H82" s="20"/>
      <c r="I82" s="20"/>
      <c r="J82" s="445">
        <f ca="1">SUM(J77:J81)</f>
        <v>7.7668210884409774</v>
      </c>
      <c r="K82" s="446">
        <f ca="1">SUM(K77:K81)</f>
        <v>12.4793252387586</v>
      </c>
      <c r="L82" s="446"/>
      <c r="M82" s="446">
        <f ca="1">SUM(M77:M81)</f>
        <v>5.0709864701441134</v>
      </c>
      <c r="N82" s="446"/>
      <c r="O82" s="446">
        <f ca="1">SUM(O77:O81)</f>
        <v>7.8014892643874347</v>
      </c>
      <c r="P82" s="445">
        <f ca="1">SUM(P77:P81)</f>
        <v>6.4362378672657741</v>
      </c>
      <c r="R82" s="834"/>
      <c r="S82" s="13"/>
      <c r="T82" s="13"/>
      <c r="U82" s="13"/>
      <c r="V82" s="13"/>
      <c r="W82" s="52">
        <f ca="1">SUM(W77:W81)</f>
        <v>8.3606694478535779</v>
      </c>
      <c r="X82" s="531">
        <f ca="1">SUM(X77:X81)</f>
        <v>9.4750952445899248</v>
      </c>
      <c r="Y82" s="532"/>
      <c r="Z82" s="532">
        <f ca="1">SUM(Z77:Z81)</f>
        <v>16.422563625450181</v>
      </c>
      <c r="AA82" s="532"/>
      <c r="AB82" s="287">
        <f ca="1">SUM(AB77:AB81)</f>
        <v>8.3606694478535779</v>
      </c>
      <c r="AC82" s="52">
        <f ca="1">SUM(AC77:AC81)</f>
        <v>12.391616536651881</v>
      </c>
      <c r="AE82" s="534"/>
    </row>
    <row r="83" spans="1:31" x14ac:dyDescent="0.25">
      <c r="A83" s="60"/>
      <c r="B83" s="60"/>
      <c r="C83" s="60"/>
      <c r="D83" s="516"/>
      <c r="E83" s="523"/>
      <c r="F83" s="524"/>
      <c r="G83" s="524"/>
      <c r="H83" s="524"/>
      <c r="I83" s="524"/>
      <c r="J83" s="524"/>
      <c r="K83" s="31"/>
      <c r="L83" s="31"/>
      <c r="M83" s="45" t="s">
        <v>997</v>
      </c>
      <c r="N83" s="737">
        <f ca="1">AVERAGE(M82,O82)</f>
        <v>6.4362378672657741</v>
      </c>
      <c r="O83" s="45"/>
      <c r="P83" s="15"/>
      <c r="Q83" s="60"/>
      <c r="R83" s="629"/>
      <c r="S83" s="17"/>
      <c r="T83" s="17"/>
      <c r="U83" s="17"/>
      <c r="V83" s="17"/>
      <c r="W83" s="17"/>
      <c r="X83" s="31"/>
      <c r="Y83" s="31"/>
      <c r="Z83" s="533" t="s">
        <v>997</v>
      </c>
      <c r="AA83" s="737">
        <f ca="1">AVERAGE(Z82,AB82)</f>
        <v>12.391616536651879</v>
      </c>
      <c r="AB83" s="533"/>
      <c r="AC83" s="15"/>
      <c r="AD83" s="60"/>
      <c r="AE83" s="535"/>
    </row>
    <row r="84" spans="1:31" x14ac:dyDescent="0.25">
      <c r="A84" s="61" t="s">
        <v>40</v>
      </c>
      <c r="B84" s="237"/>
      <c r="D84" s="515"/>
      <c r="E84" s="522"/>
      <c r="F84" s="448"/>
      <c r="G84" s="448"/>
      <c r="H84" s="497"/>
      <c r="I84" s="497"/>
      <c r="J84" s="497"/>
      <c r="K84" s="531"/>
      <c r="L84" s="531"/>
      <c r="M84" s="531"/>
      <c r="N84" s="531"/>
      <c r="O84" s="531"/>
      <c r="P84" s="54"/>
      <c r="Q84" s="912"/>
      <c r="R84" s="630"/>
      <c r="S84" s="54"/>
      <c r="T84" s="54"/>
      <c r="U84" s="53"/>
      <c r="V84" s="53"/>
      <c r="W84" s="53"/>
      <c r="X84" s="531"/>
      <c r="Y84" s="531"/>
      <c r="Z84" s="531"/>
      <c r="AA84" s="531"/>
      <c r="AB84" s="531"/>
      <c r="AC84" s="54"/>
      <c r="AE84" s="536"/>
    </row>
    <row r="85" spans="1:31" x14ac:dyDescent="0.25">
      <c r="A85" s="9" t="s">
        <v>182</v>
      </c>
      <c r="B85" s="9" t="s">
        <v>269</v>
      </c>
      <c r="C85" s="9" t="s">
        <v>326</v>
      </c>
      <c r="D85" s="514" t="s">
        <v>369</v>
      </c>
      <c r="E85" s="431">
        <f ca="1">INDEX(INDIRECT("ExtWTP_"&amp;$C85&amp;"_UnitValues"),4,1)</f>
        <v>1000</v>
      </c>
      <c r="F85" s="521">
        <f t="shared" ref="F85:G88" ca="1" si="77">INDEX(INDIRECT("SSW_WTPCore2_"&amp;$B85&amp;"_Levels"),1,MATCH(F$4,WTPCore2_AttLevels,0))</f>
        <v>1.4285714285714285E-2</v>
      </c>
      <c r="G85" s="521">
        <f t="shared" ca="1" si="77"/>
        <v>9.5238095238095247E-3</v>
      </c>
      <c r="H85" s="20">
        <f ca="1">INDEX(INDIRECT("SSW_WTPCore2_"&amp;$B85&amp;"_LevelValues"),1,MATCH("S1 MEAN",WTPCore2_LevelValues,0))</f>
        <v>0.39718669024665654</v>
      </c>
      <c r="I85" s="20">
        <f ca="1">INDEX(INDIRECT("SSW_WTPCore2_"&amp;$B85&amp;"_LevelValues"),1,MATCH("S2 MEAN",WTPCore2_LevelValues,0))</f>
        <v>0.53859352958370721</v>
      </c>
      <c r="J85" s="20">
        <f ca="1">SUM(H85:I85)</f>
        <v>0.93578021983036375</v>
      </c>
      <c r="K85" s="278">
        <f ca="1">E85*(F85-G85)</f>
        <v>4.761904761904761</v>
      </c>
      <c r="L85" s="579">
        <f ca="1">INDEX(INDIRECT("SSW_WTPCore_DCE_"&amp;$B85&amp;"_UnitValues"),MATCH("COMBINED-HH",WTPCore_Group,0),MATCH("MEAN",LMH,0))</f>
        <v>160.37052631578945</v>
      </c>
      <c r="M85" s="579">
        <f ca="1">L85*($F85-$G85)*(AllProps_SSW/HHProps_SSW)</f>
        <v>0.8148571428571425</v>
      </c>
      <c r="N85" s="117">
        <f ca="1">INDEX(INDIRECT("SSW_WTPCore2_"&amp;$B85&amp;"_UnitValues"),1,MATCH("MEAN",LMH,0))</f>
        <v>184.16917331534088</v>
      </c>
      <c r="O85" s="579">
        <f ca="1">N85*($F85-$G85)*(AllProps_SSW/HHProps_SSW)</f>
        <v>0.93578021983036364</v>
      </c>
      <c r="P85" s="20">
        <f ca="1">K85*N$90/K$89</f>
        <v>3.9839002083742168</v>
      </c>
      <c r="Q85" s="514" t="s">
        <v>369</v>
      </c>
      <c r="R85" s="534">
        <f ca="1">P85*HHProps_SSW/((F85-G85)*AllProps_SSW)</f>
        <v>784.06402742740124</v>
      </c>
      <c r="S85" s="16">
        <f t="shared" ref="S85:T88" ca="1" si="78">INDEX(INDIRECT("CAM_WTPCore2_"&amp;$B85&amp;"_Levels"),1,MATCH(S$4,WTPCore2_AttLevels,0))</f>
        <v>2.5000000000000001E-2</v>
      </c>
      <c r="T85" s="16">
        <f t="shared" ca="1" si="78"/>
        <v>1.6666666666666666E-2</v>
      </c>
      <c r="U85" s="216">
        <f ca="1">INDEX(INDIRECT("CAM_WTPCore2_"&amp;$B85&amp;"_LevelValues"),1,MATCH("S1 MEAN",WTPCore2_LevelValues,0))</f>
        <v>5.3490671066612649E-2</v>
      </c>
      <c r="V85" s="216">
        <f ca="1">INDEX(INDIRECT("CAM_WTPCore2_"&amp;$B85&amp;"_LevelValues"),1,MATCH("S2 MEAN",WTPCore2_LevelValues,0))</f>
        <v>0.33457681646237136</v>
      </c>
      <c r="W85" s="216">
        <f ca="1">SUM(U85:V85)</f>
        <v>0.38806748752898401</v>
      </c>
      <c r="X85" s="825">
        <f ca="1">E85*(S85-T85)</f>
        <v>8.3333333333333357</v>
      </c>
      <c r="Y85" s="579">
        <f ca="1">INDEX(INDIRECT("CAM_WTPCore_"&amp;$B85&amp;"_UnitValues"),MATCH("COMBINED-HH",WTPCore_Group,0),MATCH("MEAN",LMH,0))</f>
        <v>27.921526908635794</v>
      </c>
      <c r="Z85" s="579">
        <f ca="1">Y85*($S85-$T85)*(AllProps_CAM/HHProps_CAM)</f>
        <v>0.25044117647058822</v>
      </c>
      <c r="AA85" s="117">
        <f ca="1">INDEX(INDIRECT("CAM_WTPCore2_"&amp;$B85&amp;"_UnitValues"),1,MATCH("MEAN",LMH,0))</f>
        <v>43.265396481954809</v>
      </c>
      <c r="AB85" s="579">
        <f ca="1">AA85*($S85-$T85)*(AllProps_CAM/HHProps_CAM)</f>
        <v>0.38806748752898401</v>
      </c>
      <c r="AC85" s="216">
        <f ca="1">X85*AA$90/X$89</f>
        <v>7.6213336751796747</v>
      </c>
      <c r="AD85" s="341" t="str">
        <f>Q85</f>
        <v>Property affected</v>
      </c>
      <c r="AE85" s="534">
        <f ca="1">(AC85*HHProps_CAM)/((S85-T85)*AllProps_CAM)</f>
        <v>849.69762676471248</v>
      </c>
    </row>
    <row r="86" spans="1:31" x14ac:dyDescent="0.25">
      <c r="A86" s="9" t="s">
        <v>330</v>
      </c>
      <c r="B86" s="9" t="s">
        <v>319</v>
      </c>
      <c r="C86" s="9" t="str">
        <f>B86</f>
        <v>TempBan</v>
      </c>
      <c r="D86" s="514" t="s">
        <v>369</v>
      </c>
      <c r="E86" s="431">
        <f ca="1">INDEX(INDIRECT("ExtWTP_"&amp;$B86&amp;"_UnitValues"),12,1)</f>
        <v>58</v>
      </c>
      <c r="F86" s="521">
        <f t="shared" ca="1" si="77"/>
        <v>2.5000000000000001E-2</v>
      </c>
      <c r="G86" s="521">
        <f t="shared" ca="1" si="77"/>
        <v>1.5384615384615385E-2</v>
      </c>
      <c r="H86" s="20">
        <f ca="1">INDEX(INDIRECT("SSW_WTPCore2_"&amp;$B86&amp;"_LevelValues"),1,MATCH("S1 MEAN",WTPCore2_LevelValues,0))</f>
        <v>0.4084226191643695</v>
      </c>
      <c r="I86" s="20">
        <f ca="1">INDEX(INDIRECT("SSW_WTPCore2_"&amp;$B86&amp;"_LevelValues"),1,MATCH("S2 MEAN",WTPCore2_LevelValues,0))</f>
        <v>0.28250000903457151</v>
      </c>
      <c r="J86" s="20">
        <f ca="1">SUM(H86:I86)</f>
        <v>0.69092262819894101</v>
      </c>
      <c r="K86" s="278">
        <f ca="1">E86*(F86-G86)</f>
        <v>0.55769230769230771</v>
      </c>
      <c r="L86" s="820">
        <f t="shared" ref="L86:L88" ca="1" si="79">INDEX(INDIRECT("SSW_WTPCore_DCE_"&amp;$C86&amp;"_UnitValues"),MATCH("COMBINED-HH",WTPCore_Group,0),MATCH("MEAN",LMH,0))</f>
        <v>251711.99999999994</v>
      </c>
      <c r="M86" s="579">
        <f ca="1">L86*(F86-G86)/HHProps_SSW*100</f>
        <v>0.43846153846153835</v>
      </c>
      <c r="N86" s="343">
        <f t="shared" ref="N86:N88" ca="1" si="80">INDEX(INDIRECT("SSW_WTPCore2_"&amp;$C86&amp;"_UnitValues"),1,MATCH("MEAN",LMH,0))</f>
        <v>396644.86239644804</v>
      </c>
      <c r="O86" s="579">
        <f ca="1">N86*(F86-G86)/HHProps_SSW*100</f>
        <v>0.69092262819894101</v>
      </c>
      <c r="P86" s="20">
        <f t="shared" ref="P86:P88" ca="1" si="81">K86*N$90/K$89</f>
        <v>0.46657600517305742</v>
      </c>
      <c r="Q86" s="643" t="s">
        <v>422</v>
      </c>
      <c r="R86" s="534">
        <f ca="1">P86*HHProps_SSW/((F86-G86)*100)</f>
        <v>267851.95304974879</v>
      </c>
      <c r="S86" s="16">
        <f t="shared" ca="1" si="78"/>
        <v>0.05</v>
      </c>
      <c r="T86" s="16">
        <f t="shared" ca="1" si="78"/>
        <v>3.3333333333333333E-2</v>
      </c>
      <c r="U86" s="216">
        <f ca="1">INDEX(INDIRECT("CAM_WTPCore2_"&amp;$B86&amp;"_LevelValues"),1,MATCH("S1 MEAN",WTPCore2_LevelValues,0))</f>
        <v>0.15591350717379643</v>
      </c>
      <c r="V86" s="216">
        <f ca="1">INDEX(INDIRECT("CAM_WTPCore2_"&amp;$B86&amp;"_LevelValues"),1,MATCH("S2 MEAN",WTPCore2_LevelValues,0))</f>
        <v>5.0130987785217407E-2</v>
      </c>
      <c r="W86" s="216">
        <f t="shared" ref="W86:W88" ca="1" si="82">SUM(U86:V86)</f>
        <v>0.20604449495901384</v>
      </c>
      <c r="X86" s="825">
        <f ca="1">E86*(S86-T86)</f>
        <v>0.9666666666666669</v>
      </c>
      <c r="Y86" s="820">
        <f ca="1">INDEX(INDIRECT("CAM_WTPCore_"&amp;$C86&amp;"_UnitValues"),MATCH("COMBINED-HH",WTPCore_Group,0),MATCH("MEAN",LMH,0))</f>
        <v>452735.99999999994</v>
      </c>
      <c r="Z86" s="579">
        <f ca="1">Y86*(S86-T86)/HHProps_CAM*100</f>
        <v>5.7600000000000007</v>
      </c>
      <c r="AA86" s="343">
        <f ca="1">INDEX(INDIRECT("CAM_WTPCore2_"&amp;$C86&amp;"_UnitValues"),1,MATCH("MEAN",LMH,0))</f>
        <v>16195.097303778484</v>
      </c>
      <c r="AB86" s="579">
        <f ca="1">AA86*(S86-T86)/HHProps_CAM*100</f>
        <v>0.20604449495901386</v>
      </c>
      <c r="AC86" s="216">
        <f t="shared" ref="AC86:AC88" ca="1" si="83">X86*AA$90/X$89</f>
        <v>0.88407470632084229</v>
      </c>
      <c r="AD86" s="341" t="str">
        <f>Q86</f>
        <v>1% change in risk</v>
      </c>
      <c r="AE86" s="534">
        <f ca="1">(AC86*HHProps_CAM)/((S86-T86)*100)</f>
        <v>69488.271916818194</v>
      </c>
    </row>
    <row r="87" spans="1:31" x14ac:dyDescent="0.25">
      <c r="A87" s="9" t="s">
        <v>186</v>
      </c>
      <c r="B87" s="9" t="s">
        <v>268</v>
      </c>
      <c r="C87" s="9" t="str">
        <f>B87</f>
        <v>Hardness</v>
      </c>
      <c r="D87" s="514" t="s">
        <v>369</v>
      </c>
      <c r="E87" s="431">
        <f ca="1">INDEX(INDIRECT("ExtWTP_"&amp;$B87&amp;"_UnitValues"),4,1)</f>
        <v>2</v>
      </c>
      <c r="F87" s="600">
        <f t="shared" ca="1" si="77"/>
        <v>0</v>
      </c>
      <c r="G87" s="600">
        <f t="shared" ca="1" si="77"/>
        <v>4000</v>
      </c>
      <c r="H87" s="20">
        <f ca="1">INDEX(INDIRECT("SSW_WTPCore2_"&amp;$B87&amp;"_LevelValues"),1,MATCH("S1 MEAN",WTPCore2_LevelValues,0))</f>
        <v>5.2894480160712298</v>
      </c>
      <c r="I87" s="20">
        <f ca="1">INDEX(INDIRECT("SSW_WTPCore2_"&amp;$B87&amp;"_LevelValues"),1,MATCH("S2 MEAN",WTPCore2_LevelValues,0))</f>
        <v>0.60625599239311434</v>
      </c>
      <c r="J87" s="20">
        <f ca="1">SUM(H87:I87)</f>
        <v>5.8957040084643442</v>
      </c>
      <c r="K87" s="278">
        <f ca="1">-E87*(F87-G87)/HHProps_SSW</f>
        <v>1.4492753623188406E-2</v>
      </c>
      <c r="L87" s="579">
        <f t="shared" ca="1" si="79"/>
        <v>6.1197962648556876</v>
      </c>
      <c r="M87" s="579">
        <f ca="1">-L87*(F87-G87)/HHProps_SSW</f>
        <v>4.4346349745331068E-2</v>
      </c>
      <c r="N87" s="117">
        <f t="shared" ca="1" si="80"/>
        <v>813.60715316807944</v>
      </c>
      <c r="O87" s="579">
        <f ca="1">-N87*(F87-G87)/HHProps_SSW</f>
        <v>5.8957040084643442</v>
      </c>
      <c r="P87" s="20">
        <f t="shared" ca="1" si="81"/>
        <v>1.2124913677660663E-2</v>
      </c>
      <c r="Q87" s="514" t="s">
        <v>369</v>
      </c>
      <c r="R87" s="534">
        <f ca="1">-P87*HHProps_SSW/((F87-G87))</f>
        <v>1.6732380875171715</v>
      </c>
      <c r="S87" s="620">
        <f t="shared" ca="1" si="78"/>
        <v>0</v>
      </c>
      <c r="T87" s="620">
        <f t="shared" ca="1" si="78"/>
        <v>1350</v>
      </c>
      <c r="U87" s="216">
        <f ca="1">INDEX(INDIRECT("CAM_WTPCore2_"&amp;$B87&amp;"_LevelValues"),1,MATCH("S1 MEAN",WTPCore2_LevelValues,0))</f>
        <v>2.6407734226292283</v>
      </c>
      <c r="V87" s="216">
        <f ca="1">INDEX(INDIRECT("CAM_WTPCore2_"&amp;$B87&amp;"_LevelValues"),1,MATCH("S2 MEAN",WTPCore2_LevelValues,0))</f>
        <v>0.50756688037153719</v>
      </c>
      <c r="W87" s="216">
        <f t="shared" ca="1" si="82"/>
        <v>3.1483403030007655</v>
      </c>
      <c r="X87" s="825">
        <f ca="1">-E87*(S87-T87)/HHProps_CAM</f>
        <v>2.0610687022900764E-2</v>
      </c>
      <c r="Y87" s="579">
        <f t="shared" ref="Y87" ca="1" si="84">INDEX(INDIRECT("CAM_WTPCore_"&amp;$C87&amp;"_UnitValues"),MATCH("COMBINED-HH",WTPCore_Group,0),MATCH("MEAN",LMH,0))</f>
        <v>5.6209219858156025</v>
      </c>
      <c r="Z87" s="579">
        <f ca="1">-Y87*(S87-T87)/HHProps_CAM</f>
        <v>5.7925531914893615E-2</v>
      </c>
      <c r="AA87" s="117">
        <f t="shared" ref="AA87" ca="1" si="85">INDEX(INDIRECT("CAM_WTPCore2_"&amp;$C87&amp;"_UnitValues"),1,MATCH("MEAN",LMH,0))</f>
        <v>305.50561458748172</v>
      </c>
      <c r="AB87" s="579">
        <f ca="1">-AA87*(R87-T87)/HHProps_CAM</f>
        <v>3.1444381378841388</v>
      </c>
      <c r="AC87" s="216">
        <f t="shared" ca="1" si="83"/>
        <v>1.8849710769146672E-2</v>
      </c>
      <c r="AD87" s="341" t="str">
        <f>Q87</f>
        <v>Property affected</v>
      </c>
      <c r="AE87" s="928">
        <f ca="1">-(AC87*HHProps_CAM)/((S87-T87))</f>
        <v>1.8291200820431217</v>
      </c>
    </row>
    <row r="88" spans="1:31" x14ac:dyDescent="0.25">
      <c r="A88" s="9" t="s">
        <v>3</v>
      </c>
      <c r="B88" s="9" t="s">
        <v>3</v>
      </c>
      <c r="C88" s="9" t="s">
        <v>3</v>
      </c>
      <c r="D88" s="514" t="s">
        <v>875</v>
      </c>
      <c r="E88" s="431">
        <f ca="1">INDEX(INDIRECT("ExtWTP_"&amp;$B88&amp;"_UnitValues"),3,1)</f>
        <v>35614</v>
      </c>
      <c r="F88" s="600">
        <f t="shared" ca="1" si="77"/>
        <v>70.5</v>
      </c>
      <c r="G88" s="600">
        <f t="shared" ca="1" si="77"/>
        <v>35.25</v>
      </c>
      <c r="H88" s="20">
        <f ca="1">INDEX(INDIRECT("SSW_WTPCore2_"&amp;$B88&amp;"_LevelValues"),1,MATCH("S1 MEAN",WTPCore2_LevelValues,0))</f>
        <v>1.2301339708448666</v>
      </c>
      <c r="I88" s="20">
        <f ca="1">INDEX(INDIRECT("SSW_WTPCore2_"&amp;$B88&amp;"_LevelValues"),1,MATCH("S2 MEAN",WTPCore2_LevelValues,0))</f>
        <v>0.44133293088857806</v>
      </c>
      <c r="J88" s="20">
        <f ca="1">SUM(H88:I88)</f>
        <v>1.6714669017334447</v>
      </c>
      <c r="K88" s="278">
        <f ca="1">E88*(F88-G88)/AllProps_SSW</f>
        <v>2.1313981324278437</v>
      </c>
      <c r="L88" s="579">
        <f t="shared" ca="1" si="79"/>
        <v>31319.148936170212</v>
      </c>
      <c r="M88" s="579">
        <f ca="1">L88*(F88-G88)/HHProps_SSW</f>
        <v>2</v>
      </c>
      <c r="N88" s="117">
        <f t="shared" ca="1" si="80"/>
        <v>26174.460418634368</v>
      </c>
      <c r="O88" s="579">
        <f ca="1">N88*(F88-G88)/HHProps_SSW</f>
        <v>1.6714669017334447</v>
      </c>
      <c r="P88" s="20">
        <f t="shared" ca="1" si="81"/>
        <v>1.783168267420618</v>
      </c>
      <c r="Q88" s="514" t="s">
        <v>875</v>
      </c>
      <c r="R88" s="534">
        <f ca="1">P88*HHProps_SSW/((F88-G88))</f>
        <v>27923.656272799464</v>
      </c>
      <c r="S88" s="599">
        <f t="shared" ca="1" si="78"/>
        <v>13.5</v>
      </c>
      <c r="T88" s="599">
        <f t="shared" ca="1" si="78"/>
        <v>6.75</v>
      </c>
      <c r="U88" s="216">
        <f ca="1">INDEX(INDIRECT("CAM_WTPCore2_"&amp;$B88&amp;"_LevelValues"),1,MATCH("S1 MEAN",WTPCore2_LevelValues,0))</f>
        <v>3.1349723048319831</v>
      </c>
      <c r="V88" s="216">
        <f ca="1">INDEX(INDIRECT("CAM_WTPCore2_"&amp;$B88&amp;"_LevelValues"),1,MATCH("S2 MEAN",WTPCore2_LevelValues,0))</f>
        <v>5.1405797633106154E-3</v>
      </c>
      <c r="W88" s="216">
        <f t="shared" ca="1" si="82"/>
        <v>3.1401128845952937</v>
      </c>
      <c r="X88" s="825">
        <f ca="1">E88*(S88-T88)/AllProps_CAM</f>
        <v>1.7049255319148937</v>
      </c>
      <c r="Y88" s="579">
        <f ca="1">INDEX(INDIRECT("CAM_WTPCore_"&amp;$C88&amp;"_UnitValues"),MATCH("COMBINED-HH",WTPCore_Group,0),MATCH("MEAN",LMH,0))</f>
        <v>140121.48148148149</v>
      </c>
      <c r="Z88" s="579">
        <f ca="1">Y88*(S88-T88)/HHProps_CAM</f>
        <v>7.22</v>
      </c>
      <c r="AA88" s="117">
        <f ca="1">INDEX(INDIRECT("CAM_WTPCore2_"&amp;$C88&amp;"_UnitValues"),1,MATCH("MEAN",LMH,0))</f>
        <v>60941.450056590147</v>
      </c>
      <c r="AB88" s="579">
        <f ca="1">AA88*(S88-T88)/HHProps_CAM</f>
        <v>3.1401128845952937</v>
      </c>
      <c r="AC88" s="216">
        <f t="shared" ca="1" si="83"/>
        <v>1.5592567644067914</v>
      </c>
      <c r="AD88" s="341" t="s">
        <v>875</v>
      </c>
      <c r="AE88" s="534">
        <f ca="1">AC88*HHProps_CAM/((S88-T88))</f>
        <v>30261.13127959847</v>
      </c>
    </row>
    <row r="89" spans="1:31" x14ac:dyDescent="0.25">
      <c r="D89" s="514"/>
      <c r="E89" s="431"/>
      <c r="F89" s="20"/>
      <c r="G89" s="20"/>
      <c r="H89" s="20"/>
      <c r="I89" s="20"/>
      <c r="J89" s="445">
        <f ca="1">SUM(J85:J88)</f>
        <v>9.1938737582270935</v>
      </c>
      <c r="K89" s="446">
        <f ca="1">SUM(K85:K88)</f>
        <v>7.4654879556481006</v>
      </c>
      <c r="L89" s="446"/>
      <c r="M89" s="446">
        <f ca="1">SUM(M84:M88)</f>
        <v>3.2976650310640121</v>
      </c>
      <c r="N89" s="446"/>
      <c r="O89" s="446">
        <f ca="1">SUM(O84:O88)</f>
        <v>9.1938737582270935</v>
      </c>
      <c r="P89" s="445">
        <f ca="1">SUM(P85:P88)</f>
        <v>6.2457693946455528</v>
      </c>
      <c r="R89" s="834"/>
      <c r="S89" s="13"/>
      <c r="T89" s="13"/>
      <c r="U89" s="13"/>
      <c r="V89" s="13"/>
      <c r="W89" s="52">
        <f ca="1">SUM(W85:W88)</f>
        <v>6.8825651700840567</v>
      </c>
      <c r="X89" s="531">
        <f ca="1">SUM(X85:X88)</f>
        <v>11.025536218937797</v>
      </c>
      <c r="Y89" s="532"/>
      <c r="Z89" s="532">
        <f ca="1">SUM(Z85:Z88)</f>
        <v>13.288366708385482</v>
      </c>
      <c r="AA89" s="532"/>
      <c r="AB89" s="287">
        <f ca="1">SUM(AB85:AB88)</f>
        <v>6.8786630049674304</v>
      </c>
      <c r="AC89" s="52">
        <f ca="1">SUM(AC85:AC88)</f>
        <v>10.083514856676455</v>
      </c>
      <c r="AE89" s="534"/>
    </row>
    <row r="90" spans="1:31" x14ac:dyDescent="0.25">
      <c r="A90" s="60"/>
      <c r="B90" s="60"/>
      <c r="C90" s="60"/>
      <c r="D90" s="516"/>
      <c r="E90" s="523"/>
      <c r="F90" s="524"/>
      <c r="G90" s="524"/>
      <c r="H90" s="524"/>
      <c r="I90" s="524"/>
      <c r="J90" s="524"/>
      <c r="K90" s="31"/>
      <c r="L90" s="31"/>
      <c r="M90" s="45" t="s">
        <v>997</v>
      </c>
      <c r="N90" s="737">
        <f ca="1">AVERAGE(M89,O89)</f>
        <v>6.2457693946455528</v>
      </c>
      <c r="O90" s="45"/>
      <c r="P90" s="15"/>
      <c r="Q90" s="60"/>
      <c r="R90" s="629"/>
      <c r="S90" s="17"/>
      <c r="T90" s="17"/>
      <c r="U90" s="17"/>
      <c r="V90" s="17"/>
      <c r="W90" s="17"/>
      <c r="X90" s="31"/>
      <c r="Y90" s="31"/>
      <c r="Z90" s="533" t="s">
        <v>997</v>
      </c>
      <c r="AA90" s="737">
        <f ca="1">AVERAGE(Z89,AB89)</f>
        <v>10.083514856676455</v>
      </c>
      <c r="AB90" s="533"/>
      <c r="AC90" s="15"/>
      <c r="AD90" s="60"/>
      <c r="AE90" s="535"/>
    </row>
    <row r="91" spans="1:31" x14ac:dyDescent="0.25">
      <c r="A91" s="61" t="s">
        <v>169</v>
      </c>
      <c r="D91" s="514"/>
      <c r="E91" s="431"/>
      <c r="F91" s="20"/>
      <c r="G91" s="20"/>
      <c r="H91" s="20"/>
      <c r="I91" s="20"/>
      <c r="J91" s="20"/>
      <c r="K91" s="221"/>
      <c r="L91" s="221"/>
      <c r="M91" s="221"/>
      <c r="N91" s="221"/>
      <c r="O91" s="221"/>
      <c r="P91" s="5"/>
      <c r="R91" s="834"/>
      <c r="S91" s="13"/>
      <c r="T91" s="13"/>
      <c r="U91" s="13"/>
      <c r="V91" s="13"/>
      <c r="W91" s="13"/>
      <c r="X91" s="217"/>
      <c r="Y91" s="221"/>
      <c r="Z91" s="221"/>
      <c r="AA91" s="221"/>
      <c r="AB91" s="221"/>
      <c r="AC91" s="5"/>
      <c r="AE91" s="534"/>
    </row>
    <row r="92" spans="1:31" x14ac:dyDescent="0.25">
      <c r="A92" s="9" t="s">
        <v>25</v>
      </c>
      <c r="B92" s="9" t="s">
        <v>266</v>
      </c>
      <c r="C92" s="9" t="str">
        <f>B92</f>
        <v>Discolour</v>
      </c>
      <c r="D92" s="514" t="s">
        <v>369</v>
      </c>
      <c r="E92" s="431">
        <f ca="1">INDEX(INDIRECT("ExtWTP_"&amp;$B92&amp;"_UnitValues"),12,1)</f>
        <v>1326</v>
      </c>
      <c r="F92" s="521">
        <f t="shared" ref="F92:G97" ca="1" si="86">INDEX(INDIRECT("SSW_WTPCore2_"&amp;$B92&amp;"_Levels"),1,MATCH(F$4,WTPCore2_AttLevels,0))</f>
        <v>6.6666666666666666E-2</v>
      </c>
      <c r="G92" s="521">
        <f t="shared" ca="1" si="86"/>
        <v>0.04</v>
      </c>
      <c r="H92" s="20">
        <f t="shared" ref="H92:H97" ca="1" si="87">INDEX(INDIRECT("SSW_WTPCore2_"&amp;$B92&amp;"_LevelValues"),1,MATCH("S1 MEAN",WTPCore2_LevelValues,0))</f>
        <v>3.3679929677046498</v>
      </c>
      <c r="I92" s="20">
        <f t="shared" ref="I92:I97" ca="1" si="88">INDEX(INDIRECT("SSW_WTPCore2_"&amp;$B92&amp;"_LevelValues"),1,MATCH("S2 MEAN",WTPCore2_LevelValues,0))</f>
        <v>0.60669022375558512</v>
      </c>
      <c r="J92" s="20">
        <f t="shared" ref="J92:J97" ca="1" si="89">SUM(H92:I92)</f>
        <v>3.974683191460235</v>
      </c>
      <c r="K92" s="278">
        <f ca="1">E92*(F92-G92)</f>
        <v>35.36</v>
      </c>
      <c r="L92" s="579">
        <f ca="1">INDEX(INDIRECT("SSW_WTPCore_DCE_"&amp;$C92&amp;"_UnitValues"),MATCH("COMBINED-HH",WTPCore_Group,0),MATCH("MEAN",LMH,0))</f>
        <v>27.809917858229387</v>
      </c>
      <c r="M92" s="579">
        <f ca="1">L92*(F92-G92)*(AllProps_CAM/HHProps_CAM)</f>
        <v>0.79820832936597319</v>
      </c>
      <c r="N92" s="117">
        <f ca="1">INDEX(INDIRECT("SSW_WTPCore2_"&amp;$C92&amp;"_UnitValues"),1,MATCH("MEAN",LMH,0))</f>
        <v>139.68750774741403</v>
      </c>
      <c r="O92" s="579">
        <f ca="1">N92*($F92-$G92)*(AllProps_CAM/HHProps_CAM)</f>
        <v>4.0093513674066923</v>
      </c>
      <c r="P92" s="20">
        <f ca="1">K92*N$99/K$98</f>
        <v>5.0757828146953816</v>
      </c>
      <c r="Q92" s="514" t="s">
        <v>369</v>
      </c>
      <c r="R92" s="534">
        <f ca="1">P92*HHProps_SSW/((F92-G92)*AllProps_SSW)</f>
        <v>178.38489688318236</v>
      </c>
      <c r="S92" s="16">
        <f t="shared" ref="S92:T97" ca="1" si="90">INDEX(INDIRECT("CAM_WTPCore2_"&amp;$B92&amp;"_Levels"),1,MATCH(S$4,WTPCore2_AttLevels,0))</f>
        <v>2.2222222222222223E-2</v>
      </c>
      <c r="T92" s="16">
        <f t="shared" ca="1" si="90"/>
        <v>1.5384615384615385E-2</v>
      </c>
      <c r="U92" s="216">
        <f t="shared" ref="U92:U97" ca="1" si="91">INDEX(INDIRECT("CAM_WTPCore2_"&amp;$B92&amp;"_LevelValues"),1,MATCH("S1 MEAN",WTPCore2_LevelValues,0))</f>
        <v>3.1155463151224057</v>
      </c>
      <c r="V92" s="216">
        <f t="shared" ref="V92:V97" ca="1" si="92">INDEX(INDIRECT("CAM_WTPCore2_"&amp;$B92&amp;"_LevelValues"),1,MATCH("S2 MEAN",WTPCore2_LevelValues,0))</f>
        <v>1.3419840000849801</v>
      </c>
      <c r="W92" s="216">
        <f ca="1">SUM(U92:V92)</f>
        <v>4.4575303152073857</v>
      </c>
      <c r="X92" s="825">
        <f ca="1">E92*(S92-T92)</f>
        <v>9.0666666666666664</v>
      </c>
      <c r="Y92" s="579">
        <f ca="1">INDEX(INDIRECT("CAM_WTPCore_"&amp;$C92&amp;"_UnitValues"),MATCH("COMBINED-HH",WTPCore_Group,0),MATCH("MEAN",LMH,0))</f>
        <v>305.14240121580548</v>
      </c>
      <c r="Z92" s="579">
        <f ca="1">Y92*($S92-$T92)*(AllProps_CAM/HHProps_CAM)</f>
        <v>2.2457142857142856</v>
      </c>
      <c r="AA92" s="117">
        <f ca="1">INDEX(INDIRECT("CAM_WTPCore2_"&amp;$C92&amp;"_UnitValues"),1,MATCH("MEAN",LMH,0))</f>
        <v>605.67878671262065</v>
      </c>
      <c r="AB92" s="579">
        <f ca="1">AA92*($S92-$T92)*(AllProps_CAM/HHProps_CAM)</f>
        <v>4.4575303152073857</v>
      </c>
      <c r="AC92" s="216">
        <f ca="1">X92*AA$99/X$98</f>
        <v>3.1850789485018405</v>
      </c>
      <c r="AD92" s="341" t="str">
        <f>Q92</f>
        <v>Property affected</v>
      </c>
      <c r="AE92" s="534">
        <f ca="1">(AC92*HHProps_CAM)/((S92-T92)*AllProps_CAM)</f>
        <v>432.78107308233785</v>
      </c>
    </row>
    <row r="93" spans="1:31" x14ac:dyDescent="0.25">
      <c r="A93" s="9" t="s">
        <v>117</v>
      </c>
      <c r="B93" s="9" t="s">
        <v>265</v>
      </c>
      <c r="C93" s="9" t="str">
        <f>B93</f>
        <v>TasteSmell</v>
      </c>
      <c r="D93" s="514" t="s">
        <v>369</v>
      </c>
      <c r="E93" s="431">
        <f ca="1">INDEX(INDIRECT("ExtWTP_"&amp;$B93&amp;"_UnitValues"),8,1)</f>
        <v>1233</v>
      </c>
      <c r="F93" s="521">
        <f t="shared" ca="1" si="86"/>
        <v>1.6666666666666666E-2</v>
      </c>
      <c r="G93" s="521">
        <f t="shared" ca="1" si="86"/>
        <v>1.1111111111111112E-2</v>
      </c>
      <c r="H93" s="20">
        <f t="shared" ca="1" si="87"/>
        <v>0.30818609087835352</v>
      </c>
      <c r="I93" s="20">
        <f t="shared" ca="1" si="88"/>
        <v>0.18578205633963885</v>
      </c>
      <c r="J93" s="20">
        <f t="shared" ca="1" si="89"/>
        <v>0.49396814721799237</v>
      </c>
      <c r="K93" s="278">
        <f ca="1">E93*(F93-G93)</f>
        <v>6.8499999999999988</v>
      </c>
      <c r="L93" s="579">
        <f ca="1">INDEX(INDIRECT("SSW_WTPCore_DCE_"&amp;$B93&amp;"_UnitValues"),MATCH("COMBINED-HH",WTPCore_Group,0),MATCH("MEAN",LMH,0))</f>
        <v>171.97536823750744</v>
      </c>
      <c r="M93" s="579">
        <f ca="1">L93*($F93-$G93)*(AllProps_SSW/HHProps_SSW)</f>
        <v>1.0194594594594593</v>
      </c>
      <c r="N93" s="117">
        <f ca="1">INDEX(INDIRECT("SSW_WTPCore2_"&amp;$B93&amp;"_UnitValues"),1,MATCH("MEAN",LMH,0))</f>
        <v>83.328820216603944</v>
      </c>
      <c r="O93" s="579">
        <f ca="1">N93*($F93-$G93)*(AllProps_SSW/HHProps_SSW)</f>
        <v>0.49396814721799231</v>
      </c>
      <c r="P93" s="20">
        <f t="shared" ref="P93:P97" ca="1" si="93">K93*N$99/K$98</f>
        <v>0.98328937445314923</v>
      </c>
      <c r="Q93" s="514" t="s">
        <v>369</v>
      </c>
      <c r="R93" s="534">
        <f ca="1">P93*HHProps_SSW/((F93-G93)*AllProps_SSW)</f>
        <v>165.8737389569863</v>
      </c>
      <c r="S93" s="16">
        <f t="shared" ca="1" si="90"/>
        <v>1.4285714285714285E-2</v>
      </c>
      <c r="T93" s="16">
        <f t="shared" ca="1" si="90"/>
        <v>0.01</v>
      </c>
      <c r="U93" s="216">
        <f t="shared" ca="1" si="91"/>
        <v>4.7204807663126298E-2</v>
      </c>
      <c r="V93" s="216">
        <f t="shared" ca="1" si="92"/>
        <v>0.1217094578997745</v>
      </c>
      <c r="W93" s="216">
        <f t="shared" ref="W93:W97" ca="1" si="94">SUM(U93:V93)</f>
        <v>0.16891426556290079</v>
      </c>
      <c r="X93" s="825">
        <f ca="1">E93*(S93-T93)</f>
        <v>5.2842857142857138</v>
      </c>
      <c r="Y93" s="579">
        <f t="shared" ref="Y93" ca="1" si="95">INDEX(INDIRECT("CAM_WTPCore_"&amp;$C93&amp;"_UnitValues"),MATCH("COMBINED-HH",WTPCore_Group,0),MATCH("MEAN",LMH,0))</f>
        <v>205.16697061803447</v>
      </c>
      <c r="Z93" s="579">
        <f ca="1">Y93*(S93-T93)*(AllProps_CAM/HHProps_CAM)</f>
        <v>0.94640816326530608</v>
      </c>
      <c r="AA93" s="117">
        <f t="shared" ref="AA93" ca="1" si="96">INDEX(INDIRECT("CAM_WTPCore2_"&amp;$C93&amp;"_UnitValues"),1,MATCH("MEAN",LMH,0))</f>
        <v>36.618057097205678</v>
      </c>
      <c r="AB93" s="579">
        <f ca="1">AA93*($S93-$T93)*(AllProps_CAM/HHProps_CAM)</f>
        <v>0.16891426556290076</v>
      </c>
      <c r="AC93" s="216">
        <f t="shared" ref="AC93:AC97" ca="1" si="97">X93*AA$99/X$98</f>
        <v>1.8563456455632836</v>
      </c>
      <c r="AD93" s="341" t="str">
        <f>Q93</f>
        <v>Property affected</v>
      </c>
      <c r="AE93" s="534">
        <f ca="1">(AC93*HHProps_CAM)/((S93-T93)*AllProps_CAM)</f>
        <v>402.42764940461734</v>
      </c>
    </row>
    <row r="94" spans="1:31" x14ac:dyDescent="0.25">
      <c r="A94" s="9" t="s">
        <v>182</v>
      </c>
      <c r="B94" s="9" t="s">
        <v>269</v>
      </c>
      <c r="C94" s="9" t="s">
        <v>326</v>
      </c>
      <c r="D94" s="514" t="s">
        <v>369</v>
      </c>
      <c r="E94" s="431">
        <f ca="1">INDEX(INDIRECT("ExtWTP_"&amp;$C94&amp;"_UnitValues"),5,1)</f>
        <v>1396</v>
      </c>
      <c r="F94" s="521">
        <f t="shared" ca="1" si="86"/>
        <v>1.4285714285714285E-2</v>
      </c>
      <c r="G94" s="521">
        <f t="shared" ca="1" si="86"/>
        <v>9.5238095238095247E-3</v>
      </c>
      <c r="H94" s="20">
        <f t="shared" ca="1" si="87"/>
        <v>0.39718669024665654</v>
      </c>
      <c r="I94" s="20">
        <f t="shared" ca="1" si="88"/>
        <v>0.53859352958370721</v>
      </c>
      <c r="J94" s="20">
        <f t="shared" ca="1" si="89"/>
        <v>0.93578021983036375</v>
      </c>
      <c r="K94" s="278">
        <f ca="1">E94*(F94-G94)</f>
        <v>6.6476190476190462</v>
      </c>
      <c r="L94" s="579">
        <f ca="1">INDEX(INDIRECT("SSW_WTPCore_DCE_"&amp;$B94&amp;"_UnitValues"),MATCH("COMBINED-HH",WTPCore_Group,0),MATCH("MEAN",LMH,0))</f>
        <v>160.37052631578945</v>
      </c>
      <c r="M94" s="579">
        <f ca="1">L94*($F94-$G94)*(AllProps_SSW/HHProps_SSW)</f>
        <v>0.8148571428571425</v>
      </c>
      <c r="N94" s="117">
        <f ca="1">INDEX(INDIRECT("SSW_WTPCore2_"&amp;$B94&amp;"_UnitValues"),1,MATCH("MEAN",LMH,0))</f>
        <v>184.16917331534088</v>
      </c>
      <c r="O94" s="579">
        <f ca="1">N94*($F94-$G94)*(AllProps_SSW/HHProps_SSW)</f>
        <v>0.93578021983036364</v>
      </c>
      <c r="P94" s="20">
        <f t="shared" ca="1" si="93"/>
        <v>0.95423841969871137</v>
      </c>
      <c r="Q94" s="514" t="s">
        <v>369</v>
      </c>
      <c r="R94" s="534">
        <f ca="1">P94*HHProps_SSW/((F94-G94)*AllProps_SSW)</f>
        <v>187.80189747279226</v>
      </c>
      <c r="S94" s="16">
        <f t="shared" ca="1" si="90"/>
        <v>2.5000000000000001E-2</v>
      </c>
      <c r="T94" s="16">
        <f t="shared" ca="1" si="90"/>
        <v>1.6666666666666666E-2</v>
      </c>
      <c r="U94" s="216">
        <f t="shared" ca="1" si="91"/>
        <v>5.3490671066612649E-2</v>
      </c>
      <c r="V94" s="216">
        <f t="shared" ca="1" si="92"/>
        <v>0.33457681646237136</v>
      </c>
      <c r="W94" s="216">
        <f t="shared" ca="1" si="94"/>
        <v>0.38806748752898401</v>
      </c>
      <c r="X94" s="825">
        <f ca="1">E94*(S94-T94)</f>
        <v>11.633333333333336</v>
      </c>
      <c r="Y94" s="579">
        <f ca="1">INDEX(INDIRECT("CAM_WTPCore_"&amp;$B94&amp;"_UnitValues"),MATCH("COMBINED-HH",WTPCore_Group,0),MATCH("MEAN",LMH,0))</f>
        <v>27.921526908635794</v>
      </c>
      <c r="Z94" s="579">
        <f ca="1">Y94*($S94-$T94)*(AllProps_CAM/HHProps_CAM)</f>
        <v>0.25044117647058822</v>
      </c>
      <c r="AA94" s="117">
        <f ca="1">INDEX(INDIRECT("CAM_WTPCore2_"&amp;$B94&amp;"_UnitValues"),1,MATCH("MEAN",LMH,0))</f>
        <v>43.265396481954809</v>
      </c>
      <c r="AB94" s="579">
        <f ca="1">AA94*($S94-$T94)*(AllProps_CAM/HHProps_CAM)</f>
        <v>0.38806748752898401</v>
      </c>
      <c r="AC94" s="216">
        <f t="shared" ca="1" si="97"/>
        <v>4.0867373273056717</v>
      </c>
      <c r="AD94" s="341" t="str">
        <f>Q94</f>
        <v>Property affected</v>
      </c>
      <c r="AE94" s="534">
        <f ca="1">(AC94*HHProps_CAM)/((S94-T94)*AllProps_CAM)</f>
        <v>455.62773606556846</v>
      </c>
    </row>
    <row r="95" spans="1:31" x14ac:dyDescent="0.25">
      <c r="A95" s="9" t="s">
        <v>330</v>
      </c>
      <c r="B95" s="9" t="s">
        <v>319</v>
      </c>
      <c r="C95" s="9" t="str">
        <f>B95</f>
        <v>TempBan</v>
      </c>
      <c r="D95" s="514" t="s">
        <v>369</v>
      </c>
      <c r="E95" s="431">
        <f ca="1">INDEX(INDIRECT("ExtWTP_"&amp;$B95&amp;"_UnitValues"),13,1)</f>
        <v>35</v>
      </c>
      <c r="F95" s="521">
        <f t="shared" ca="1" si="86"/>
        <v>2.5000000000000001E-2</v>
      </c>
      <c r="G95" s="521">
        <f t="shared" ca="1" si="86"/>
        <v>1.5384615384615385E-2</v>
      </c>
      <c r="H95" s="20">
        <f t="shared" ca="1" si="87"/>
        <v>0.4084226191643695</v>
      </c>
      <c r="I95" s="20">
        <f t="shared" ca="1" si="88"/>
        <v>0.28250000903457151</v>
      </c>
      <c r="J95" s="20">
        <f t="shared" ca="1" si="89"/>
        <v>0.69092262819894101</v>
      </c>
      <c r="K95" s="278">
        <f ca="1">E95*(F95-G95)</f>
        <v>0.33653846153846156</v>
      </c>
      <c r="L95" s="820">
        <f t="shared" ref="L95:L97" ca="1" si="98">INDEX(INDIRECT("SSW_WTPCore_DCE_"&amp;$C95&amp;"_UnitValues"),MATCH("COMBINED-HH",WTPCore_Group,0),MATCH("MEAN",LMH,0))</f>
        <v>251711.99999999994</v>
      </c>
      <c r="M95" s="579">
        <f ca="1">L95*(F95-G95)/HHProps_SSW*100</f>
        <v>0.43846153846153835</v>
      </c>
      <c r="N95" s="343">
        <f t="shared" ref="N95:N97" ca="1" si="99">INDEX(INDIRECT("SSW_WTPCore2_"&amp;$C95&amp;"_UnitValues"),1,MATCH("MEAN",LMH,0))</f>
        <v>396644.86239644804</v>
      </c>
      <c r="O95" s="579">
        <f ca="1">N95*(F95-G95)/HHProps_SSW*100</f>
        <v>0.69092262819894101</v>
      </c>
      <c r="P95" s="20">
        <f t="shared" ca="1" si="93"/>
        <v>4.8308714354099148E-2</v>
      </c>
      <c r="Q95" s="643" t="s">
        <v>422</v>
      </c>
      <c r="R95" s="534">
        <f ca="1">P95*HHProps_SSW/((F95-G95)*100)</f>
        <v>27733.066736401237</v>
      </c>
      <c r="S95" s="16">
        <f t="shared" ca="1" si="90"/>
        <v>0.05</v>
      </c>
      <c r="T95" s="16">
        <f t="shared" ca="1" si="90"/>
        <v>3.3333333333333333E-2</v>
      </c>
      <c r="U95" s="216">
        <f t="shared" ca="1" si="91"/>
        <v>0.15591350717379643</v>
      </c>
      <c r="V95" s="216">
        <f t="shared" ca="1" si="92"/>
        <v>5.0130987785217407E-2</v>
      </c>
      <c r="W95" s="216">
        <f t="shared" ca="1" si="94"/>
        <v>0.20604449495901384</v>
      </c>
      <c r="X95" s="825">
        <f ca="1">E95*(S95-T95)</f>
        <v>0.58333333333333348</v>
      </c>
      <c r="Y95" s="820">
        <f ca="1">INDEX(INDIRECT("CAM_WTPCore_"&amp;$C95&amp;"_UnitValues"),MATCH("COMBINED-HH",WTPCore_Group,0),MATCH("MEAN",LMH,0))</f>
        <v>452735.99999999994</v>
      </c>
      <c r="Z95" s="579">
        <f ca="1">Y95*(S95-T95)/HHProps_CAM*100</f>
        <v>5.7600000000000007</v>
      </c>
      <c r="AA95" s="343">
        <f ca="1">INDEX(INDIRECT("CAM_WTPCore2_"&amp;$C95&amp;"_UnitValues"),1,MATCH("MEAN",LMH,0))</f>
        <v>16195.097303778484</v>
      </c>
      <c r="AB95" s="579">
        <f ca="1">AA95*(S95-T95)/HHProps_CAM*100</f>
        <v>0.20604449495901386</v>
      </c>
      <c r="AC95" s="216">
        <f t="shared" ca="1" si="97"/>
        <v>0.2049223588190523</v>
      </c>
      <c r="AD95" s="341" t="str">
        <f>Q95</f>
        <v>1% change in risk</v>
      </c>
      <c r="AE95" s="534">
        <f ca="1">(AC95*HHProps_CAM)/((S95-T95)*100)</f>
        <v>16106.897403177507</v>
      </c>
    </row>
    <row r="96" spans="1:31" x14ac:dyDescent="0.25">
      <c r="A96" s="9" t="s">
        <v>186</v>
      </c>
      <c r="B96" s="9" t="s">
        <v>268</v>
      </c>
      <c r="C96" s="9" t="str">
        <f>B96</f>
        <v>Hardness</v>
      </c>
      <c r="D96" s="514" t="s">
        <v>369</v>
      </c>
      <c r="E96" s="431">
        <f ca="1">INDEX(INDIRECT("ExtWTP_"&amp;$B96&amp;"_UnitValues"),5,1)</f>
        <v>41</v>
      </c>
      <c r="F96" s="600">
        <f t="shared" ca="1" si="86"/>
        <v>0</v>
      </c>
      <c r="G96" s="600">
        <f t="shared" ca="1" si="86"/>
        <v>4000</v>
      </c>
      <c r="H96" s="20">
        <f t="shared" ca="1" si="87"/>
        <v>5.2894480160712298</v>
      </c>
      <c r="I96" s="20">
        <f t="shared" ca="1" si="88"/>
        <v>0.60625599239311434</v>
      </c>
      <c r="J96" s="20">
        <f t="shared" ca="1" si="89"/>
        <v>5.8957040084643442</v>
      </c>
      <c r="K96" s="278">
        <f ca="1">-E96*(F96-G96)/HHProps_SSW</f>
        <v>0.29710144927536231</v>
      </c>
      <c r="L96" s="579">
        <f t="shared" ca="1" si="98"/>
        <v>6.1197962648556876</v>
      </c>
      <c r="M96" s="579">
        <f ca="1">-L96*(F96-G96)/HHProps_SSW</f>
        <v>4.4346349745331068E-2</v>
      </c>
      <c r="N96" s="117">
        <f t="shared" ca="1" si="99"/>
        <v>813.60715316807944</v>
      </c>
      <c r="O96" s="579">
        <f ca="1">-N96*(F96-G96)/HHProps_SSW</f>
        <v>5.8957040084643442</v>
      </c>
      <c r="P96" s="20">
        <f t="shared" ca="1" si="93"/>
        <v>4.264769316891899E-2</v>
      </c>
      <c r="Q96" s="514" t="s">
        <v>369</v>
      </c>
      <c r="R96" s="534">
        <f ca="1">-P96*HHProps_SSW/((F96-G96))</f>
        <v>5.8853816573108206</v>
      </c>
      <c r="S96" s="620">
        <f t="shared" ca="1" si="90"/>
        <v>0</v>
      </c>
      <c r="T96" s="620">
        <f t="shared" ca="1" si="90"/>
        <v>1350</v>
      </c>
      <c r="U96" s="216">
        <f t="shared" ca="1" si="91"/>
        <v>2.6407734226292283</v>
      </c>
      <c r="V96" s="216">
        <f t="shared" ca="1" si="92"/>
        <v>0.50756688037153719</v>
      </c>
      <c r="W96" s="216">
        <f t="shared" ca="1" si="94"/>
        <v>3.1483403030007655</v>
      </c>
      <c r="X96" s="825">
        <f ca="1">-E96*(S96-T96)/HHProps_CAM</f>
        <v>0.42251908396946564</v>
      </c>
      <c r="Y96" s="579">
        <f t="shared" ref="Y96" ca="1" si="100">INDEX(INDIRECT("CAM_WTPCore_"&amp;$C96&amp;"_UnitValues"),MATCH("COMBINED-HH",WTPCore_Group,0),MATCH("MEAN",LMH,0))</f>
        <v>5.6209219858156025</v>
      </c>
      <c r="Z96" s="579">
        <f ca="1">-Y96*(S96-T96)/HHProps_CAM</f>
        <v>5.7925531914893615E-2</v>
      </c>
      <c r="AA96" s="117">
        <f t="shared" ref="AA96" ca="1" si="101">INDEX(INDIRECT("CAM_WTPCore2_"&amp;$C96&amp;"_UnitValues"),1,MATCH("MEAN",LMH,0))</f>
        <v>305.50561458748172</v>
      </c>
      <c r="AB96" s="579">
        <f ca="1">-AA96*(R96-T96)/HHProps_CAM</f>
        <v>3.1346149813190967</v>
      </c>
      <c r="AC96" s="216">
        <f t="shared" ca="1" si="97"/>
        <v>0.14842904114243674</v>
      </c>
      <c r="AD96" s="341" t="str">
        <f>Q96</f>
        <v>Property affected</v>
      </c>
      <c r="AE96" s="534">
        <f ca="1">-(AC96*HHProps_CAM)/((S96-T96))</f>
        <v>14.403114362710527</v>
      </c>
    </row>
    <row r="97" spans="1:31" x14ac:dyDescent="0.25">
      <c r="A97" s="9" t="s">
        <v>3</v>
      </c>
      <c r="B97" s="9" t="s">
        <v>3</v>
      </c>
      <c r="C97" s="9" t="s">
        <v>3</v>
      </c>
      <c r="D97" s="514" t="s">
        <v>875</v>
      </c>
      <c r="E97" s="431">
        <f ca="1">INDEX(INDIRECT("ExtWTP_"&amp;$B97&amp;"_UnitValues"),4,1)</f>
        <v>267960</v>
      </c>
      <c r="F97" s="600">
        <f t="shared" ca="1" si="86"/>
        <v>70.5</v>
      </c>
      <c r="G97" s="600">
        <f t="shared" ca="1" si="86"/>
        <v>35.25</v>
      </c>
      <c r="H97" s="20">
        <f t="shared" ca="1" si="87"/>
        <v>1.2301339708448666</v>
      </c>
      <c r="I97" s="20">
        <f t="shared" ca="1" si="88"/>
        <v>0.44133293088857806</v>
      </c>
      <c r="J97" s="20">
        <f t="shared" ca="1" si="89"/>
        <v>1.6714669017334447</v>
      </c>
      <c r="K97" s="278">
        <f ca="1">E97*(F97-G97)/AllProps_SSW</f>
        <v>16.036655348047539</v>
      </c>
      <c r="L97" s="579">
        <f t="shared" ca="1" si="98"/>
        <v>31319.148936170212</v>
      </c>
      <c r="M97" s="579">
        <f ca="1">L97*(F97-G97)/HHProps_SSW</f>
        <v>2</v>
      </c>
      <c r="N97" s="117">
        <f t="shared" ca="1" si="99"/>
        <v>26174.460418634368</v>
      </c>
      <c r="O97" s="579">
        <f ca="1">N97*(F97-G97)/HHProps_SSW</f>
        <v>1.6714669017334447</v>
      </c>
      <c r="P97" s="20">
        <f t="shared" ca="1" si="93"/>
        <v>2.3019960300003528</v>
      </c>
      <c r="Q97" s="514" t="s">
        <v>875</v>
      </c>
      <c r="R97" s="534">
        <f ca="1">P97*HHProps_SSW/((F97-G97))</f>
        <v>36048.278257026803</v>
      </c>
      <c r="S97" s="599">
        <f t="shared" ca="1" si="90"/>
        <v>13.5</v>
      </c>
      <c r="T97" s="599">
        <f t="shared" ca="1" si="90"/>
        <v>6.75</v>
      </c>
      <c r="U97" s="216">
        <f t="shared" ca="1" si="91"/>
        <v>3.1349723048319831</v>
      </c>
      <c r="V97" s="216">
        <f t="shared" ca="1" si="92"/>
        <v>5.1405797633106154E-3</v>
      </c>
      <c r="W97" s="216">
        <f t="shared" ca="1" si="94"/>
        <v>3.1401128845952937</v>
      </c>
      <c r="X97" s="825">
        <f ca="1">E97*(S97-T97)/AllProps_CAM</f>
        <v>12.827872340425532</v>
      </c>
      <c r="Y97" s="579">
        <f ca="1">INDEX(INDIRECT("CAM_WTPCore_"&amp;$C97&amp;"_UnitValues"),MATCH("COMBINED-HH",WTPCore_Group,0),MATCH("MEAN",LMH,0))</f>
        <v>140121.48148148149</v>
      </c>
      <c r="Z97" s="579">
        <f ca="1">Y97*(S97-T97)/HHProps_CAM</f>
        <v>7.22</v>
      </c>
      <c r="AA97" s="117">
        <f ca="1">INDEX(INDIRECT("CAM_WTPCore2_"&amp;$C97&amp;"_UnitValues"),1,MATCH("MEAN",LMH,0))</f>
        <v>60941.450056590147</v>
      </c>
      <c r="AB97" s="579">
        <f ca="1">AA97*(S97-T97)/HHProps_CAM</f>
        <v>3.1401128845952937</v>
      </c>
      <c r="AC97" s="216">
        <f t="shared" ca="1" si="97"/>
        <v>4.5063734719365875</v>
      </c>
      <c r="AD97" s="341" t="s">
        <v>875</v>
      </c>
      <c r="AE97" s="534">
        <f ca="1">AC97*HHProps_CAM/((S97-T97))</f>
        <v>87457.025899806365</v>
      </c>
    </row>
    <row r="98" spans="1:31" ht="15.75" thickBot="1" x14ac:dyDescent="0.3">
      <c r="D98" s="643"/>
      <c r="E98" s="20"/>
      <c r="F98" s="20"/>
      <c r="G98" s="20"/>
      <c r="H98" s="20"/>
      <c r="I98" s="20"/>
      <c r="J98" s="445">
        <f ca="1">SUM(J92:J97)</f>
        <v>13.662525096905322</v>
      </c>
      <c r="K98" s="446">
        <f ca="1">SUM(K92:K97)</f>
        <v>65.527914306480397</v>
      </c>
      <c r="L98" s="446"/>
      <c r="M98" s="446">
        <f ca="1">SUM(M92:M97)</f>
        <v>5.1153328198894439</v>
      </c>
      <c r="N98" s="446"/>
      <c r="O98" s="446">
        <f ca="1">SUM(O92:O97)</f>
        <v>13.697193272851779</v>
      </c>
      <c r="P98" s="445">
        <f ca="1">SUM(P92:P97)</f>
        <v>9.4062630463706132</v>
      </c>
      <c r="Q98" s="5"/>
      <c r="R98" s="930"/>
      <c r="S98" s="13"/>
      <c r="T98" s="13"/>
      <c r="U98" s="13"/>
      <c r="V98" s="13"/>
      <c r="W98" s="52">
        <f ca="1">SUM(W92:W97)</f>
        <v>11.509009750854343</v>
      </c>
      <c r="X98" s="531">
        <f ca="1">SUM(X92:X97)</f>
        <v>39.818010472014052</v>
      </c>
      <c r="Y98" s="532"/>
      <c r="Z98" s="532">
        <f ca="1">SUM(Z92:Z97)</f>
        <v>16.480489157365074</v>
      </c>
      <c r="AA98" s="532"/>
      <c r="AB98" s="287">
        <f ca="1">SUM(AB92:AB97)</f>
        <v>11.495284429172674</v>
      </c>
      <c r="AC98" s="52">
        <f ca="1">SUM(AC92:AC97)</f>
        <v>13.987886793268874</v>
      </c>
      <c r="AE98" s="930"/>
    </row>
    <row r="99" spans="1:31" x14ac:dyDescent="0.25">
      <c r="A99" s="60"/>
      <c r="B99" s="60"/>
      <c r="C99" s="60"/>
      <c r="D99" s="518"/>
      <c r="E99" s="506"/>
      <c r="F99" s="480"/>
      <c r="G99" s="480"/>
      <c r="H99" s="480"/>
      <c r="I99" s="480"/>
      <c r="J99" s="480"/>
      <c r="K99" s="60"/>
      <c r="L99" s="60"/>
      <c r="M99" s="45" t="s">
        <v>997</v>
      </c>
      <c r="N99" s="737">
        <f ca="1">AVERAGE(M98,O98)</f>
        <v>9.4062630463706114</v>
      </c>
      <c r="O99" s="45"/>
      <c r="P99" s="60"/>
      <c r="Q99" s="60"/>
      <c r="R99" s="60"/>
      <c r="S99" s="480"/>
      <c r="T99" s="480"/>
      <c r="U99" s="480"/>
      <c r="V99" s="480"/>
      <c r="W99" s="480"/>
      <c r="X99" s="480"/>
      <c r="Y99" s="480"/>
      <c r="Z99" s="533" t="s">
        <v>997</v>
      </c>
      <c r="AA99" s="737">
        <f ca="1">AVERAGE(Z98,AB98)</f>
        <v>13.987886793268874</v>
      </c>
      <c r="AB99" s="533"/>
      <c r="AC99" s="60"/>
      <c r="AD99" s="60"/>
      <c r="AE99" s="60"/>
    </row>
    <row r="100" spans="1:31" s="64" customFormat="1" x14ac:dyDescent="0.25">
      <c r="D100" s="151"/>
      <c r="E100" s="151"/>
      <c r="F100" s="156"/>
      <c r="G100" s="156"/>
      <c r="H100" s="156"/>
      <c r="I100" s="156"/>
      <c r="J100" s="156"/>
      <c r="S100" s="156"/>
      <c r="T100" s="156"/>
      <c r="U100" s="156"/>
      <c r="V100" s="156"/>
      <c r="W100" s="156"/>
      <c r="X100" s="156"/>
      <c r="Y100" s="156"/>
      <c r="Z100" s="156"/>
      <c r="AA100" s="156"/>
      <c r="AB100" s="156"/>
    </row>
    <row r="101" spans="1:31" x14ac:dyDescent="0.25"/>
    <row r="102" spans="1:31" x14ac:dyDescent="0.25"/>
    <row r="103" spans="1:31" x14ac:dyDescent="0.25"/>
    <row r="104" spans="1:31" x14ac:dyDescent="0.25"/>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H102"/>
  <sheetViews>
    <sheetView zoomScale="70" zoomScaleNormal="70" workbookViewId="0">
      <pane xSplit="1" ySplit="4" topLeftCell="I62" activePane="bottomRight" state="frozen"/>
      <selection pane="topRight" activeCell="B1" sqref="B1"/>
      <selection pane="bottomLeft" activeCell="A5" sqref="A5"/>
      <selection pane="bottomRight"/>
    </sheetView>
  </sheetViews>
  <sheetFormatPr defaultColWidth="0" defaultRowHeight="15" zeroHeight="1" x14ac:dyDescent="0.25"/>
  <cols>
    <col min="1" max="1" width="48.140625" style="9" bestFit="1" customWidth="1"/>
    <col min="2" max="3" width="18.28515625" style="9" customWidth="1"/>
    <col min="4" max="4" width="18.28515625" style="37" customWidth="1"/>
    <col min="5" max="5" width="13.28515625" style="37" customWidth="1"/>
    <col min="6" max="10" width="13.28515625" style="51" customWidth="1"/>
    <col min="11" max="16" width="13.28515625" style="9" customWidth="1"/>
    <col min="17" max="17" width="19" style="9" customWidth="1"/>
    <col min="18" max="18" width="15.28515625" style="9" customWidth="1"/>
    <col min="19" max="24" width="13" style="51" customWidth="1"/>
    <col min="25" max="25" width="16.42578125" style="51" customWidth="1"/>
    <col min="26" max="28" width="13" style="51" customWidth="1"/>
    <col min="29" max="29" width="13" style="9" customWidth="1"/>
    <col min="30" max="30" width="19" style="9" customWidth="1"/>
    <col min="31" max="31" width="14.42578125" style="9" customWidth="1"/>
    <col min="32" max="32" width="9.140625" style="9" customWidth="1"/>
    <col min="33" max="34" width="0" style="9" hidden="1" customWidth="1"/>
    <col min="35" max="16384" width="9.140625" style="9" hidden="1"/>
  </cols>
  <sheetData>
    <row r="1" spans="1:31" ht="28.5" x14ac:dyDescent="0.45">
      <c r="A1" s="102" t="s">
        <v>504</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row>
    <row r="2" spans="1:31" ht="19.5" x14ac:dyDescent="0.3">
      <c r="A2" s="420"/>
      <c r="B2" s="420"/>
      <c r="C2" s="420"/>
      <c r="D2" s="56"/>
      <c r="E2" s="56"/>
      <c r="F2" s="166" t="s">
        <v>1002</v>
      </c>
      <c r="G2" s="166"/>
      <c r="H2" s="166"/>
      <c r="I2" s="166"/>
      <c r="J2" s="166"/>
      <c r="K2" s="166"/>
      <c r="L2" s="166"/>
      <c r="M2" s="166"/>
      <c r="N2" s="166"/>
      <c r="O2" s="166"/>
      <c r="P2" s="166"/>
      <c r="Q2" s="166"/>
      <c r="R2" s="166"/>
      <c r="S2" s="580" t="s">
        <v>1003</v>
      </c>
      <c r="T2" s="57"/>
      <c r="U2" s="57"/>
      <c r="V2" s="57"/>
      <c r="W2" s="57"/>
      <c r="X2" s="57"/>
      <c r="Y2" s="57"/>
      <c r="Z2" s="57"/>
      <c r="AA2" s="57"/>
      <c r="AB2" s="57"/>
      <c r="AC2" s="58"/>
      <c r="AD2" s="58"/>
      <c r="AE2" s="58"/>
    </row>
    <row r="3" spans="1:31" ht="15.75" thickBot="1" x14ac:dyDescent="0.3">
      <c r="A3" s="60"/>
      <c r="B3" s="60"/>
      <c r="C3" s="60"/>
      <c r="D3" s="513" t="s">
        <v>472</v>
      </c>
      <c r="E3" s="513"/>
      <c r="F3" s="513" t="s">
        <v>998</v>
      </c>
      <c r="G3" s="513"/>
      <c r="H3" s="513" t="s">
        <v>999</v>
      </c>
      <c r="I3" s="513"/>
      <c r="J3" s="513"/>
      <c r="K3" s="513" t="s">
        <v>329</v>
      </c>
      <c r="L3" s="513"/>
      <c r="M3" s="513"/>
      <c r="N3" s="513"/>
      <c r="O3" s="513"/>
      <c r="P3" s="513"/>
      <c r="Q3" s="513"/>
      <c r="R3" s="513"/>
      <c r="S3" s="513" t="s">
        <v>1000</v>
      </c>
      <c r="T3" s="513"/>
      <c r="U3" s="513" t="s">
        <v>995</v>
      </c>
      <c r="V3" s="513"/>
      <c r="W3" s="513"/>
      <c r="X3" s="513" t="s">
        <v>329</v>
      </c>
      <c r="Y3" s="513"/>
      <c r="Z3" s="513"/>
      <c r="AA3" s="513"/>
      <c r="AB3" s="513"/>
      <c r="AC3" s="513"/>
      <c r="AD3" s="513"/>
      <c r="AE3" s="513"/>
    </row>
    <row r="4" spans="1:31" ht="75" x14ac:dyDescent="0.25">
      <c r="A4" s="63" t="s">
        <v>172</v>
      </c>
      <c r="B4" s="66" t="s">
        <v>475</v>
      </c>
      <c r="C4" s="66" t="s">
        <v>476</v>
      </c>
      <c r="D4" s="429" t="s">
        <v>368</v>
      </c>
      <c r="E4" s="519" t="s">
        <v>473</v>
      </c>
      <c r="F4" s="263" t="s">
        <v>259</v>
      </c>
      <c r="G4" s="263" t="s">
        <v>261</v>
      </c>
      <c r="H4" s="520" t="s">
        <v>313</v>
      </c>
      <c r="I4" s="520" t="s">
        <v>312</v>
      </c>
      <c r="J4" s="520" t="s">
        <v>311</v>
      </c>
      <c r="K4" s="622" t="s">
        <v>454</v>
      </c>
      <c r="L4" s="808" t="s">
        <v>989</v>
      </c>
      <c r="M4" s="808" t="s">
        <v>990</v>
      </c>
      <c r="N4" s="808" t="s">
        <v>991</v>
      </c>
      <c r="O4" s="808" t="s">
        <v>992</v>
      </c>
      <c r="P4" s="622" t="s">
        <v>333</v>
      </c>
      <c r="Q4" s="246" t="s">
        <v>368</v>
      </c>
      <c r="R4" s="372" t="s">
        <v>462</v>
      </c>
      <c r="S4" s="263" t="s">
        <v>259</v>
      </c>
      <c r="T4" s="263" t="s">
        <v>261</v>
      </c>
      <c r="U4" s="520" t="s">
        <v>313</v>
      </c>
      <c r="V4" s="520" t="s">
        <v>312</v>
      </c>
      <c r="W4" s="520" t="s">
        <v>311</v>
      </c>
      <c r="X4" s="622" t="s">
        <v>454</v>
      </c>
      <c r="Y4" s="808" t="s">
        <v>989</v>
      </c>
      <c r="Z4" s="808" t="s">
        <v>990</v>
      </c>
      <c r="AA4" s="808" t="s">
        <v>991</v>
      </c>
      <c r="AB4" s="808" t="s">
        <v>992</v>
      </c>
      <c r="AC4" s="622" t="s">
        <v>333</v>
      </c>
      <c r="AD4" s="246" t="s">
        <v>368</v>
      </c>
      <c r="AE4" s="372" t="s">
        <v>462</v>
      </c>
    </row>
    <row r="5" spans="1:31" x14ac:dyDescent="0.25">
      <c r="A5" s="9" t="s">
        <v>117</v>
      </c>
      <c r="B5" s="9" t="s">
        <v>265</v>
      </c>
      <c r="C5" s="9" t="str">
        <f>B5</f>
        <v>TasteSmell</v>
      </c>
      <c r="D5" s="514" t="s">
        <v>369</v>
      </c>
      <c r="E5" s="431">
        <f ca="1">INDEX(INDIRECT("ExtWTP_"&amp;$C5&amp;"_UnitValues"),MATCH(A$4, INDIRECT("ExtWTP_Comps_"&amp;C5),0),MATCH("NHH",ExtWTP_Group,0))</f>
        <v>106972</v>
      </c>
      <c r="F5" s="521">
        <f ca="1">INDEX(INDIRECT("SSW_WTPCore2_"&amp;$B5&amp;"_Levels"),2,MATCH(F$4,WTPCore2_AttLevels,0))</f>
        <v>1.6666666666666666E-2</v>
      </c>
      <c r="G5" s="521">
        <f ca="1">INDEX(INDIRECT("SSW_WTPCore2_"&amp;$B5&amp;"_Levels"),2,MATCH(G$4,WTPCore2_AttLevels,0))</f>
        <v>1.1111111111111112E-2</v>
      </c>
      <c r="H5" s="581">
        <f ca="1">INDEX(INDIRECT("SSW_WTPCore2_"&amp;$B5&amp;"_LevelValues"),2,MATCH("S1 MEAN",WTPCore2_LevelValues,0))</f>
        <v>3.6865032727528453E-3</v>
      </c>
      <c r="I5" s="581">
        <f ca="1">INDEX(INDIRECT("SSW_WTPCore2_"&amp;$B5&amp;"_LevelValues"),2,MATCH("S2 MEAN",WTPCore2_LevelValues,0))</f>
        <v>5.1592292451456759E-6</v>
      </c>
      <c r="J5" s="581">
        <f ca="1">SUM(H5:I5)</f>
        <v>3.691662501997991E-3</v>
      </c>
      <c r="K5" s="278">
        <f ca="1">E5*(F5-G5)</f>
        <v>594.28888888888878</v>
      </c>
      <c r="L5" s="579">
        <f ca="1">INDEX(INDIRECT("SSW_WTPCore_DCE_"&amp;$B5&amp;"_UnitValues"),MATCH("COMBINED-NHH",WTPCore_Group,0),MATCH("MEAN",LMH,0))</f>
        <v>70.914536619635854</v>
      </c>
      <c r="M5" s="579">
        <f ca="1">L5*($F5-$G5)*(AllProps_SSW/NHHProps_SSW)</f>
        <v>6.2715708812260527</v>
      </c>
      <c r="N5" s="117">
        <f ca="1">INDEX(INDIRECT("SSW_WTPCore2_"&amp;$B5&amp;"_UnitValues"),2,MATCH("MEAN",LMH,0))</f>
        <v>184.66986976717914</v>
      </c>
      <c r="O5" s="579">
        <f ca="1">N5*($F5-$G5)*(AllProps_SSW/NHHProps_SSW)</f>
        <v>16.331914908839117</v>
      </c>
      <c r="P5" s="20">
        <f ca="1">K5*N$8/K$7</f>
        <v>22.63767276647549</v>
      </c>
      <c r="Q5" s="514" t="s">
        <v>369</v>
      </c>
      <c r="R5" s="534">
        <f ca="1">P5*NHHProps_SSW/((F5-G5)*AllProps_SSW)</f>
        <v>255.97096880259215</v>
      </c>
      <c r="S5" s="521">
        <f ca="1">INDEX(INDIRECT("CAM_WTPCore2_"&amp;$B5&amp;"_Levels"),2,MATCH(S$4,WTPCore2_AttLevels,0))</f>
        <v>1.4285714285714285E-2</v>
      </c>
      <c r="T5" s="521">
        <f ca="1">INDEX(INDIRECT("CAM_WTPCore2_"&amp;$B5&amp;"_Levels"),2,MATCH(T$4,WTPCore2_AttLevels,0))</f>
        <v>0.01</v>
      </c>
      <c r="U5" s="581">
        <f ca="1">INDEX(INDIRECT("CAM_WTPCore2_"&amp;$B5&amp;"_LevelValues"),2,MATCH("S1 MEAN",WTPCore2_LevelValues,0))</f>
        <v>4.257264223936371E-2</v>
      </c>
      <c r="V5" s="581">
        <f ca="1">INDEX(INDIRECT("CAM_WTPCore2_"&amp;$B5&amp;"_LevelValues"),2,MATCH("S2 MEAN",WTPCore2_LevelValues,0))</f>
        <v>1.0971349631991048E-2</v>
      </c>
      <c r="W5" s="581">
        <f ca="1">SUM(U5:V5)</f>
        <v>5.3543991871354758E-2</v>
      </c>
      <c r="X5" s="278">
        <f ca="1">E5*(S5-T5)</f>
        <v>458.45142857142849</v>
      </c>
      <c r="Y5" s="579">
        <f ca="1">INDEX(INDIRECT("CAM_WTPCore_"&amp;$B5&amp;"_UnitValues"),MATCH("COMBINED-NHH",WTPCore_Group,0),MATCH("MEAN",LMH,0))</f>
        <v>181.56028368794324</v>
      </c>
      <c r="Z5" s="579">
        <f ca="1">Y5*($S5-$T5)*(AllProps_CAM/NHHProps_CAM)</f>
        <v>10.971428571428568</v>
      </c>
      <c r="AA5" s="117">
        <f ca="1">INDEX(INDIRECT("CAM_WTPCore2_"&amp;$B5&amp;"_UnitValues"),2,MATCH("MEAN",LMH,0))</f>
        <v>4536.682431842446</v>
      </c>
      <c r="AB5" s="579">
        <f ca="1">AA5*($S5-$T5)*(AllProps_CAM/NHHProps_CAM)</f>
        <v>274.1452383813363</v>
      </c>
      <c r="AC5" s="20">
        <f ca="1">X5*AA$8/X$7</f>
        <v>142.25736704502506</v>
      </c>
      <c r="AD5" s="341" t="str">
        <f>Q5</f>
        <v>Property affected</v>
      </c>
      <c r="AE5" s="931">
        <f ca="1">(AC5*NHHProps_CAM)/((S5-T5)*AllProps_CAM)</f>
        <v>2354.1408258041974</v>
      </c>
    </row>
    <row r="6" spans="1:31" x14ac:dyDescent="0.25">
      <c r="A6" s="9" t="s">
        <v>182</v>
      </c>
      <c r="B6" s="9" t="s">
        <v>269</v>
      </c>
      <c r="C6" s="9" t="s">
        <v>326</v>
      </c>
      <c r="D6" s="514" t="s">
        <v>369</v>
      </c>
      <c r="E6" s="431">
        <f ca="1">INDEX(INDIRECT("ExtWTP_"&amp;$C6&amp;"_UnitValues"),MATCH(A$4, INDIRECT("ExtWTP_Comps_"&amp;C6),0),MATCH("NHH",ExtWTP_Group,0))</f>
        <v>2455</v>
      </c>
      <c r="F6" s="521">
        <f ca="1">INDEX(INDIRECT("SSW_WTPCore2_"&amp;$B6&amp;"_Levels"),2,MATCH(F$4,WTPCore2_AttLevels,0))</f>
        <v>1.2500000000000001E-2</v>
      </c>
      <c r="G6" s="521">
        <f ca="1">INDEX(INDIRECT("SSW_WTPCore2_"&amp;$B6&amp;"_Levels"),2,MATCH(G$4,WTPCore2_AttLevels,0))</f>
        <v>8.3333333333333332E-3</v>
      </c>
      <c r="H6" s="581">
        <f ca="1">INDEX(INDIRECT("SSW_WTPCore2_"&amp;$B6&amp;"_LevelValues"),2,MATCH("S1 MEAN",WTPCore2_LevelValues,0))</f>
        <v>2.3562800507588295E-4</v>
      </c>
      <c r="I6" s="581">
        <f ca="1">INDEX(INDIRECT("SSW_WTPCore2_"&amp;$B6&amp;"_LevelValues"),2,MATCH("S2 MEAN",WTPCore2_LevelValues,0))</f>
        <v>4.1117889914467278E-4</v>
      </c>
      <c r="J6" s="581">
        <f ca="1">SUM(H6:I6)</f>
        <v>6.4680690422055573E-4</v>
      </c>
      <c r="K6" s="278">
        <f ca="1">E6*(F6-G6)</f>
        <v>10.229166666666668</v>
      </c>
      <c r="L6" s="579">
        <f ca="1">INDEX(INDIRECT("SSW_WTPCore_DCE_"&amp;$B6&amp;"_UnitValues"),MATCH("COMBINED-NHH",WTPCore_Group,0),MATCH("MEAN",LMH,0))</f>
        <v>310.41834897651921</v>
      </c>
      <c r="M6" s="579">
        <f ca="1">L6*($F6-$G6)*(AllProps_SSW/NHHProps_SSW)</f>
        <v>20.589685534591201</v>
      </c>
      <c r="N6" s="117">
        <f ca="1">INDEX(INDIRECT("SSW_WTPCore2_"&amp;$B6&amp;"_UnitValues"),2,MATCH("MEAN",LMH,0))</f>
        <v>43.140724701414321</v>
      </c>
      <c r="O6" s="579">
        <f ca="1">N6*($F6-$G6)*(AllProps_SSW/NHHProps_SSW)</f>
        <v>2.8614737442717391</v>
      </c>
      <c r="P6" s="20">
        <f ca="1">K6*N$8/K$7</f>
        <v>0.38964976798856715</v>
      </c>
      <c r="Q6" s="514" t="s">
        <v>369</v>
      </c>
      <c r="R6" s="534">
        <f ca="1">P6*NHHProps_SSW/((F6-G6)*AllProps_SSW)</f>
        <v>5.8745160267206726</v>
      </c>
      <c r="S6" s="521">
        <f ca="1">INDEX(INDIRECT("CAM_WTPCore2_"&amp;$B6&amp;"_Levels"),2,MATCH(S$4,WTPCore2_AttLevels,0))</f>
        <v>2.5000000000000001E-2</v>
      </c>
      <c r="T6" s="521">
        <f ca="1">INDEX(INDIRECT("CAM_WTPCore2_"&amp;$B6&amp;"_Levels"),2,MATCH(T$4,WTPCore2_AttLevels,0))</f>
        <v>1.6666666666666666E-2</v>
      </c>
      <c r="U6" s="581">
        <f ca="1">INDEX(INDIRECT("CAM_WTPCore2_"&amp;$B6&amp;"_LevelValues"),2,MATCH("S1 MEAN",WTPCore2_LevelValues,0))</f>
        <v>2.654718763279678E-4</v>
      </c>
      <c r="V6" s="581">
        <f ca="1">INDEX(INDIRECT("CAM_WTPCore2_"&amp;$B6&amp;"_LevelValues"),2,MATCH("S2 MEAN",WTPCore2_LevelValues,0))</f>
        <v>1.3401602008677625E-5</v>
      </c>
      <c r="W6" s="581">
        <f ca="1">SUM(U6:V6)</f>
        <v>2.7887347833664542E-4</v>
      </c>
      <c r="X6" s="278">
        <f ca="1">E6*(S6-T6)</f>
        <v>20.458333333333336</v>
      </c>
      <c r="Y6" s="579">
        <f ca="1">INDEX(INDIRECT("CAM_WTPCore_"&amp;$B6&amp;"_UnitValues"),MATCH("COMBINED-NHH",WTPCore_Group,0),MATCH("MEAN",LMH,0))</f>
        <v>90.78014184397162</v>
      </c>
      <c r="Z6" s="579">
        <f ca="1">Y6*($S6-$T6)*(AllProps_CAM/NHHProps_CAM)</f>
        <v>10.666666666666668</v>
      </c>
      <c r="AA6" s="117">
        <f ca="1">INDEX(INDIRECT("CAM_WTPCore2_"&amp;$B6&amp;"_UnitValues"),2,MATCH("MEAN",LMH,0))</f>
        <v>12.15176348156276</v>
      </c>
      <c r="AB6" s="579">
        <f ca="1">AA6*($S6-$T6)*(AllProps_CAM/NHHProps_CAM)</f>
        <v>1.4278322090836244</v>
      </c>
      <c r="AC6" s="20">
        <f ca="1">X6*AA$8/X$7</f>
        <v>6.3482158692325408</v>
      </c>
      <c r="AD6" s="341" t="str">
        <f>Q6</f>
        <v>Property affected</v>
      </c>
      <c r="AE6" s="931">
        <f ca="1">(AC6*NHHProps_CAM)/((S6-T6)*AllProps_CAM)</f>
        <v>54.027369099851398</v>
      </c>
    </row>
    <row r="7" spans="1:31" x14ac:dyDescent="0.25">
      <c r="D7" s="514"/>
      <c r="E7" s="431"/>
      <c r="F7" s="20"/>
      <c r="G7" s="20"/>
      <c r="H7" s="20"/>
      <c r="I7" s="20"/>
      <c r="J7" s="445">
        <f ca="1">(SUM(J5:J6))*AvgNHHBill_SSW</f>
        <v>19.193388653110851</v>
      </c>
      <c r="K7" s="446">
        <f ca="1">SUM(K5:K6)</f>
        <v>604.51805555555541</v>
      </c>
      <c r="L7" s="446"/>
      <c r="M7" s="446">
        <f ca="1">SUM(M5:M6)</f>
        <v>26.861256415817252</v>
      </c>
      <c r="N7" s="446"/>
      <c r="O7" s="446">
        <f ca="1">SUM(O5:O6)</f>
        <v>19.193388653110855</v>
      </c>
      <c r="P7" s="445">
        <f ca="1">SUM(P5:P6)</f>
        <v>23.027322534464055</v>
      </c>
      <c r="Q7" s="265"/>
      <c r="R7" s="834"/>
      <c r="S7" s="20"/>
      <c r="T7" s="20"/>
      <c r="U7" s="20"/>
      <c r="V7" s="20"/>
      <c r="W7" s="826">
        <f ca="1">(SUM(W5:W6))*AvgNHHBill_CAM</f>
        <v>275.57307059042</v>
      </c>
      <c r="X7" s="446">
        <f ca="1">SUM(X5:X6)</f>
        <v>478.90976190476181</v>
      </c>
      <c r="Y7" s="446"/>
      <c r="Z7" s="446">
        <f ca="1">SUM(Z5:Z6)</f>
        <v>21.638095238095236</v>
      </c>
      <c r="AA7" s="446"/>
      <c r="AB7" s="446">
        <f ca="1">SUM(AB5:AB6)</f>
        <v>275.57307059041995</v>
      </c>
      <c r="AC7" s="445">
        <f ca="1">SUM(AC5:AC6)</f>
        <v>148.60558291425761</v>
      </c>
      <c r="AE7" s="931"/>
    </row>
    <row r="8" spans="1:31" x14ac:dyDescent="0.25">
      <c r="A8" s="60"/>
      <c r="B8" s="60"/>
      <c r="C8" s="60"/>
      <c r="D8" s="516"/>
      <c r="E8" s="523"/>
      <c r="F8" s="524"/>
      <c r="G8" s="524"/>
      <c r="H8" s="524"/>
      <c r="I8" s="524"/>
      <c r="J8" s="524"/>
      <c r="K8" s="45"/>
      <c r="L8" s="45"/>
      <c r="M8" s="45" t="s">
        <v>997</v>
      </c>
      <c r="N8" s="737">
        <f ca="1">AVERAGE(M7,O7)</f>
        <v>23.027322534464055</v>
      </c>
      <c r="O8" s="45"/>
      <c r="P8" s="45"/>
      <c r="Q8" s="114"/>
      <c r="R8" s="629"/>
      <c r="S8" s="524"/>
      <c r="T8" s="524"/>
      <c r="U8" s="524"/>
      <c r="V8" s="524"/>
      <c r="W8" s="524"/>
      <c r="X8" s="45"/>
      <c r="Y8" s="45"/>
      <c r="Z8" s="45" t="s">
        <v>997</v>
      </c>
      <c r="AA8" s="737">
        <f ca="1">AVERAGE(Z7,AB7)</f>
        <v>148.60558291425758</v>
      </c>
      <c r="AB8" s="45"/>
      <c r="AC8" s="45"/>
      <c r="AD8" s="114"/>
      <c r="AE8" s="932"/>
    </row>
    <row r="9" spans="1:31" s="62" customFormat="1" x14ac:dyDescent="0.25">
      <c r="A9" s="237" t="s">
        <v>178</v>
      </c>
      <c r="B9" s="237"/>
      <c r="C9" s="237"/>
      <c r="D9" s="515"/>
      <c r="E9" s="522"/>
      <c r="F9" s="448"/>
      <c r="G9" s="448"/>
      <c r="H9" s="497"/>
      <c r="I9" s="497"/>
      <c r="J9" s="497"/>
      <c r="K9" s="54"/>
      <c r="L9" s="54"/>
      <c r="M9" s="54"/>
      <c r="N9" s="54"/>
      <c r="O9" s="54"/>
      <c r="P9" s="54"/>
      <c r="Q9" s="912"/>
      <c r="R9" s="630"/>
      <c r="S9" s="448"/>
      <c r="T9" s="448"/>
      <c r="U9" s="497"/>
      <c r="V9" s="497"/>
      <c r="W9" s="497"/>
      <c r="X9" s="54"/>
      <c r="Y9" s="54"/>
      <c r="Z9" s="54"/>
      <c r="AA9" s="54"/>
      <c r="AB9" s="54"/>
      <c r="AC9" s="54"/>
      <c r="AE9" s="933"/>
    </row>
    <row r="10" spans="1:31" x14ac:dyDescent="0.25">
      <c r="A10" s="9" t="s">
        <v>182</v>
      </c>
      <c r="B10" s="9" t="s">
        <v>269</v>
      </c>
      <c r="C10" s="9" t="s">
        <v>326</v>
      </c>
      <c r="D10" s="514" t="s">
        <v>369</v>
      </c>
      <c r="E10" s="431">
        <f ca="1">INDEX(INDIRECT("ExtWTP_"&amp;$C10&amp;"_UnitValues"),MATCH(A$9, INDIRECT("ExtWTP_Comps_"&amp;C10),0),MATCH("NHH",ExtWTP_Group,0))</f>
        <v>2990</v>
      </c>
      <c r="F10" s="521">
        <f ca="1">INDEX(INDIRECT("SSW_WTPCore2_"&amp;$B10&amp;"_Levels"),2,MATCH(F$4,WTPCore2_AttLevels,0))</f>
        <v>1.2500000000000001E-2</v>
      </c>
      <c r="G10" s="521">
        <f ca="1">INDEX(INDIRECT("SSW_WTPCore2_"&amp;$B10&amp;"_Levels"),2,MATCH(G$4,WTPCore2_AttLevels,0))</f>
        <v>8.3333333333333332E-3</v>
      </c>
      <c r="H10" s="581">
        <f ca="1">INDEX(INDIRECT("SSW_WTPCore2_"&amp;$B10&amp;"_LevelValues"),2,MATCH("S1 MEAN",WTPCore2_LevelValues,0))</f>
        <v>2.3562800507588295E-4</v>
      </c>
      <c r="I10" s="581">
        <f ca="1">INDEX(INDIRECT("SSW_WTPCore2_"&amp;$B10&amp;"_LevelValues"),2,MATCH("S2 MEAN",WTPCore2_LevelValues,0))</f>
        <v>4.1117889914467278E-4</v>
      </c>
      <c r="J10" s="581">
        <f ca="1">SUM(H10:I10)</f>
        <v>6.4680690422055573E-4</v>
      </c>
      <c r="K10" s="278">
        <f ca="1">E10*(F10-G10)</f>
        <v>12.458333333333336</v>
      </c>
      <c r="L10" s="579">
        <f ca="1">INDEX(INDIRECT("SSW_WTPCore_DCE_"&amp;$B10&amp;"_UnitValues"),MATCH("COMBINED-NHH",WTPCore_Group,0),MATCH("MEAN",LMH,0))</f>
        <v>310.41834897651921</v>
      </c>
      <c r="M10" s="579">
        <f ca="1">L10*($F10-$G10)*(AllProps_SSW/NHHProps_SSW)</f>
        <v>20.589685534591201</v>
      </c>
      <c r="N10" s="117">
        <f ca="1">INDEX(INDIRECT("SSW_WTPCore2_"&amp;$B10&amp;"_UnitValues"),2,MATCH("MEAN",LMH,0))</f>
        <v>43.140724701414321</v>
      </c>
      <c r="O10" s="579">
        <f ca="1">N10*($F10-$G10)*(AllProps_SSW/NHHProps_SSW)</f>
        <v>2.8614737442717391</v>
      </c>
      <c r="P10" s="20">
        <f ca="1">K10*N$13/K$12</f>
        <v>17.052810315564152</v>
      </c>
      <c r="Q10" s="514" t="s">
        <v>369</v>
      </c>
      <c r="R10" s="534">
        <f ca="1">P10*NHHProps_SSW/((F10-G10)*AllProps_SSW)</f>
        <v>257.09500102242725</v>
      </c>
      <c r="S10" s="521">
        <f ca="1">INDEX(INDIRECT("CAM_WTPCore2_"&amp;$B10&amp;"_Levels"),2,MATCH(S$4,WTPCore2_AttLevels,0))</f>
        <v>2.5000000000000001E-2</v>
      </c>
      <c r="T10" s="521">
        <f ca="1">INDEX(INDIRECT("CAM_WTPCore2_"&amp;$B10&amp;"_Levels"),2,MATCH(T$4,WTPCore2_AttLevels,0))</f>
        <v>1.6666666666666666E-2</v>
      </c>
      <c r="U10" s="581">
        <f ca="1">INDEX(INDIRECT("CAM_WTPCore2_"&amp;$B10&amp;"_LevelValues"),2,MATCH("S1 MEAN",WTPCore2_LevelValues,0))</f>
        <v>2.654718763279678E-4</v>
      </c>
      <c r="V10" s="581">
        <f ca="1">INDEX(INDIRECT("CAM_WTPCore2_"&amp;$B10&amp;"_LevelValues"),2,MATCH("S2 MEAN",WTPCore2_LevelValues,0))</f>
        <v>1.3401602008677625E-5</v>
      </c>
      <c r="W10" s="581">
        <f ca="1">SUM(U10:V10)</f>
        <v>2.7887347833664542E-4</v>
      </c>
      <c r="X10" s="278">
        <f ca="1">E10*(S10-T10)</f>
        <v>24.916666666666671</v>
      </c>
      <c r="Y10" s="579">
        <f ca="1">INDEX(INDIRECT("CAM_WTPCore_"&amp;$B10&amp;"_UnitValues"),MATCH("COMBINED-NHH",WTPCore_Group,0),MATCH("MEAN",LMH,0))</f>
        <v>90.78014184397162</v>
      </c>
      <c r="Z10" s="579">
        <f ca="1">Y10*($S10-$T10)*(AllProps_CAM/NHHProps_CAM)</f>
        <v>10.666666666666668</v>
      </c>
      <c r="AA10" s="117">
        <f ca="1">INDEX(INDIRECT("CAM_WTPCore2_"&amp;$B10&amp;"_UnitValues"),2,MATCH("MEAN",LMH,0))</f>
        <v>12.15176348156276</v>
      </c>
      <c r="AB10" s="579">
        <f ca="1">AA10*($S10-$T10)*(AllProps_CAM/NHHProps_CAM)</f>
        <v>1.4278322090836244</v>
      </c>
      <c r="AC10" s="20">
        <f ca="1">X10*AA$13/X$12</f>
        <v>48.608087374254943</v>
      </c>
      <c r="AD10" s="341" t="str">
        <f>Q10</f>
        <v>Property affected</v>
      </c>
      <c r="AE10" s="931">
        <f ca="1">(AC10*NHHProps_CAM)/((S10-T10)*AllProps_CAM)</f>
        <v>413.68584999365902</v>
      </c>
    </row>
    <row r="11" spans="1:31" x14ac:dyDescent="0.25">
      <c r="A11" s="9" t="s">
        <v>106</v>
      </c>
      <c r="B11" s="9" t="s">
        <v>319</v>
      </c>
      <c r="C11" s="9" t="str">
        <f>B11</f>
        <v>TempBan</v>
      </c>
      <c r="D11" s="514" t="s">
        <v>369</v>
      </c>
      <c r="E11" s="431">
        <f ca="1">INDEX(INDIRECT("ExtWTP_"&amp;$C11&amp;"_UnitValues"),MATCH(A$9, INDIRECT("ExtWTP_Comps_"&amp;C11),0),MATCH("NHH",ExtWTP_Group,0))</f>
        <v>49.5</v>
      </c>
      <c r="F11" s="521">
        <f ca="1">INDEX(INDIRECT("SSW_WTPCore2_"&amp;$B11&amp;"_Levels"),2,MATCH(F$4,WTPCore2_AttLevels,0))</f>
        <v>2.5000000000000001E-2</v>
      </c>
      <c r="G11" s="521">
        <f ca="1">INDEX(INDIRECT("SSW_WTPCore2_"&amp;$B11&amp;"_Levels"),2,MATCH(G$4,WTPCore2_AttLevels,0))</f>
        <v>1.6666666666666666E-2</v>
      </c>
      <c r="H11" s="581">
        <f ca="1">INDEX(INDIRECT("SSW_WTPCore2_"&amp;$B11&amp;"_LevelValues"),2,MATCH("S1 MEAN",WTPCore2_LevelValues,0))</f>
        <v>1.0363458862342743E-3</v>
      </c>
      <c r="I11" s="581">
        <f ca="1">INDEX(INDIRECT("SSW_WTPCore2_"&amp;$B11&amp;"_LevelValues"),2,MATCH("S2 MEAN",WTPCore2_LevelValues,0))</f>
        <v>6.2724159084084235E-4</v>
      </c>
      <c r="J11" s="581">
        <f ca="1">SUM(H11:I11)</f>
        <v>1.6635874770751166E-3</v>
      </c>
      <c r="K11" s="278">
        <f ca="1">E11*(F11-G11)</f>
        <v>0.41250000000000009</v>
      </c>
      <c r="L11" s="820">
        <f ca="1">INDEX(INDIRECT("SSW_WTPCore_DCE_"&amp;$C11&amp;"_UnitValues"),MATCH("COMBINED-NHH",WTPCore_Group,0),MATCH("MEAN",LMH,0))</f>
        <v>196425.59999999998</v>
      </c>
      <c r="M11" s="579">
        <f ca="1">L11*(F11-G11)/NHHProps_SSW*100</f>
        <v>4.4240000000000004</v>
      </c>
      <c r="N11" s="343">
        <f ca="1">INDEX(INDIRECT("SSW_WTPCore2_"&amp;$B11&amp;"_UnitValues"),2,MATCH("MEAN",LMH,0))</f>
        <v>326771.16833696596</v>
      </c>
      <c r="O11" s="579">
        <f ca="1">N11*(F11-G11)/NHHProps_SSW*100</f>
        <v>7.3597109985803151</v>
      </c>
      <c r="P11" s="20">
        <f ca="1">K11*N$13/K$12</f>
        <v>0.56462482315747531</v>
      </c>
      <c r="Q11" s="643" t="s">
        <v>422</v>
      </c>
      <c r="R11" s="534">
        <f ca="1">P11*NHHProps_SSW/((F11-G11)*100)</f>
        <v>25069.342148191899</v>
      </c>
      <c r="S11" s="521">
        <f ca="1">INDEX(INDIRECT("CAM_WTPCore2_"&amp;$B11&amp;"_Levels"),2,MATCH(S$4,WTPCore2_AttLevels,0))</f>
        <v>0.02</v>
      </c>
      <c r="T11" s="521">
        <f ca="1">INDEX(INDIRECT("CAM_WTPCore2_"&amp;$B11&amp;"_Levels"),2,MATCH(T$4,WTPCore2_AttLevels,0))</f>
        <v>1.3333333333333334E-2</v>
      </c>
      <c r="U11" s="581">
        <f ca="1">INDEX(INDIRECT("CAM_WTPCore2_"&amp;$B11&amp;"_LevelValues"),2,MATCH("S1 MEAN",WTPCore2_LevelValues,0))</f>
        <v>1.3694025744847137E-3</v>
      </c>
      <c r="V11" s="581">
        <f ca="1">INDEX(INDIRECT("CAM_WTPCore2_"&amp;$B11&amp;"_LevelValues"),2,MATCH("S2 MEAN",WTPCore2_LevelValues,0))</f>
        <v>1.1073984405910726E-3</v>
      </c>
      <c r="W11" s="581">
        <f ca="1">SUM(U11:V11)</f>
        <v>2.4768010150757864E-3</v>
      </c>
      <c r="X11" s="278">
        <f ca="1">E11*(S11-T11)</f>
        <v>0.32999999999999996</v>
      </c>
      <c r="Y11" s="579">
        <f ca="1">INDEX(INDIRECT("CAM_WTPCore_"&amp;$B11&amp;"_UnitValues"),MATCH("COMBINED-NHH",WTPCore_Group,0),MATCH("MEAN",LMH,0))</f>
        <v>1105919.9999999998</v>
      </c>
      <c r="Z11" s="579">
        <f ca="1">Y11*(S11-T11)/NHHProps_CAM*100</f>
        <v>73.72799999999998</v>
      </c>
      <c r="AA11" s="117">
        <f ca="1">INDEX(INDIRECT("CAM_WTPCore2_"&amp;$B11&amp;"_UnitValues"),2,MATCH("MEAN",LMH,0))</f>
        <v>190218.3179578204</v>
      </c>
      <c r="AB11" s="579">
        <f ca="1">AA11*(S11-T11)/NHHProps_CAM*100</f>
        <v>12.681221197188028</v>
      </c>
      <c r="AC11" s="20">
        <f ca="1">X11*AA$13/X$12</f>
        <v>0.64377266221421248</v>
      </c>
      <c r="AD11" s="341" t="str">
        <f>Q11</f>
        <v>1% change in risk</v>
      </c>
      <c r="AE11" s="931">
        <f ca="1">(AC11*NHHProps_CAM)/((S11-T11)*100)</f>
        <v>9656.5899332131885</v>
      </c>
    </row>
    <row r="12" spans="1:31" x14ac:dyDescent="0.25">
      <c r="D12" s="514"/>
      <c r="E12" s="431"/>
      <c r="F12" s="20"/>
      <c r="G12" s="20"/>
      <c r="H12" s="20"/>
      <c r="I12" s="20"/>
      <c r="J12" s="445">
        <f ca="1">SUM(J10:J11)*AvgNHHBill_SSW</f>
        <v>10.221184742852055</v>
      </c>
      <c r="K12" s="446">
        <f ca="1">SUM(K10:K11)</f>
        <v>12.870833333333335</v>
      </c>
      <c r="L12" s="446"/>
      <c r="M12" s="446">
        <f ca="1">SUM(M10:M11)</f>
        <v>25.0136855345912</v>
      </c>
      <c r="N12" s="446"/>
      <c r="O12" s="446">
        <f ca="1">SUM(O10:O11)</f>
        <v>10.221184742852055</v>
      </c>
      <c r="P12" s="445">
        <f ca="1">SUM(P10:P11)</f>
        <v>17.617435138721628</v>
      </c>
      <c r="Q12" s="265"/>
      <c r="R12" s="834"/>
      <c r="S12" s="20"/>
      <c r="T12" s="20"/>
      <c r="U12" s="20"/>
      <c r="V12" s="20"/>
      <c r="W12" s="445">
        <f ca="1">SUM(W10:W11)*AvgNHHBill_CAM</f>
        <v>14.10905340627165</v>
      </c>
      <c r="X12" s="446">
        <f ca="1">SUM(X10:X11)</f>
        <v>25.24666666666667</v>
      </c>
      <c r="Y12" s="446"/>
      <c r="Z12" s="446">
        <f ca="1">SUM(Z10:Z11)</f>
        <v>84.394666666666652</v>
      </c>
      <c r="AA12" s="446"/>
      <c r="AB12" s="289">
        <f ca="1">SUM(AB10:AB11)</f>
        <v>14.109053406271652</v>
      </c>
      <c r="AC12" s="445">
        <f ca="1">SUM(AC10:AC11)</f>
        <v>49.251860036469154</v>
      </c>
      <c r="AE12" s="931"/>
    </row>
    <row r="13" spans="1:31" x14ac:dyDescent="0.25">
      <c r="A13" s="60"/>
      <c r="B13" s="60"/>
      <c r="C13" s="60"/>
      <c r="D13" s="516"/>
      <c r="E13" s="523"/>
      <c r="F13" s="524"/>
      <c r="G13" s="524"/>
      <c r="H13" s="524"/>
      <c r="I13" s="524"/>
      <c r="J13" s="524"/>
      <c r="K13" s="45"/>
      <c r="L13" s="45"/>
      <c r="M13" s="45" t="s">
        <v>997</v>
      </c>
      <c r="N13" s="737">
        <f ca="1">AVERAGE(M12,O12)</f>
        <v>17.617435138721628</v>
      </c>
      <c r="O13" s="45"/>
      <c r="P13" s="45"/>
      <c r="Q13" s="114"/>
      <c r="R13" s="629"/>
      <c r="S13" s="524"/>
      <c r="T13" s="524"/>
      <c r="U13" s="524"/>
      <c r="V13" s="524"/>
      <c r="W13" s="524"/>
      <c r="X13" s="45"/>
      <c r="Y13" s="45"/>
      <c r="Z13" s="45" t="s">
        <v>997</v>
      </c>
      <c r="AA13" s="737">
        <f ca="1">AVERAGE(Z12,AB12)</f>
        <v>49.251860036469154</v>
      </c>
      <c r="AB13" s="45"/>
      <c r="AC13" s="45"/>
      <c r="AD13" s="114"/>
      <c r="AE13" s="932"/>
    </row>
    <row r="14" spans="1:31" s="65" customFormat="1" x14ac:dyDescent="0.25">
      <c r="A14" s="237" t="s">
        <v>173</v>
      </c>
      <c r="B14" s="237"/>
      <c r="C14" s="62"/>
      <c r="D14" s="515"/>
      <c r="E14" s="522"/>
      <c r="F14" s="448"/>
      <c r="G14" s="448"/>
      <c r="H14" s="497"/>
      <c r="I14" s="497"/>
      <c r="J14" s="497"/>
      <c r="K14" s="54"/>
      <c r="L14" s="54"/>
      <c r="M14" s="54"/>
      <c r="N14" s="54"/>
      <c r="O14" s="54"/>
      <c r="P14" s="54"/>
      <c r="Q14" s="912"/>
      <c r="R14" s="630"/>
      <c r="S14" s="448"/>
      <c r="T14" s="448"/>
      <c r="U14" s="497"/>
      <c r="V14" s="497"/>
      <c r="W14" s="497"/>
      <c r="X14" s="54"/>
      <c r="Y14" s="54"/>
      <c r="Z14" s="54"/>
      <c r="AA14" s="54"/>
      <c r="AB14" s="54"/>
      <c r="AC14" s="54"/>
      <c r="AE14" s="933"/>
    </row>
    <row r="15" spans="1:31" x14ac:dyDescent="0.25">
      <c r="A15" s="9" t="s">
        <v>25</v>
      </c>
      <c r="B15" s="9" t="s">
        <v>266</v>
      </c>
      <c r="C15" s="9" t="str">
        <f>B15</f>
        <v>Discolour</v>
      </c>
      <c r="D15" s="514" t="s">
        <v>369</v>
      </c>
      <c r="E15" s="431">
        <f ca="1">INDEX(INDIRECT("ExtWTP_"&amp;$C15&amp;"_UnitValues"),MATCH(A$14, INDIRECT("ExtWTP_Comps_"&amp;C15),0),MATCH("NHH",ExtWTP_Group,0))</f>
        <v>14290</v>
      </c>
      <c r="F15" s="521">
        <f t="shared" ref="F15:G17" ca="1" si="0">INDEX(INDIRECT("SSW_WTPCore2_"&amp;$B15&amp;"_Levels"),2,MATCH(F$4,WTPCore2_AttLevels,0))</f>
        <v>6.6666666666666666E-2</v>
      </c>
      <c r="G15" s="521">
        <f t="shared" ca="1" si="0"/>
        <v>0.04</v>
      </c>
      <c r="H15" s="581">
        <f ca="1">INDEX(INDIRECT("SSW_WTPCore2_"&amp;$B15&amp;"_LevelValues"),2,MATCH("S1 MEAN",WTPCore2_LevelValues,0))</f>
        <v>1.9376915692789636E-2</v>
      </c>
      <c r="I15" s="581">
        <f ca="1">INDEX(INDIRECT("SSW_WTPCore2_"&amp;$B15&amp;"_LevelValues"),2,MATCH("S2 MEAN",WTPCore2_LevelValues,0))</f>
        <v>4.9841954334050795E-4</v>
      </c>
      <c r="J15" s="581">
        <f ca="1">SUM(H15:I15)</f>
        <v>1.9875335236130144E-2</v>
      </c>
      <c r="K15" s="278">
        <f ca="1">E15*(F15-G15)</f>
        <v>381.06666666666666</v>
      </c>
      <c r="L15" s="579">
        <f ca="1">INDEX(INDIRECT("SSW_WTPCore_DCE_"&amp;$C15&amp;"_UnitValues"),MATCH("COMBINED-NHH",WTPCore_Group,0),MATCH("MEAN",LMH,0))</f>
        <v>44.321585387272407</v>
      </c>
      <c r="M15" s="579">
        <f ca="1">L15*(F15-G15)*(AllProps_SSW/NHHProps_SSW)</f>
        <v>18.81471264367816</v>
      </c>
      <c r="N15" s="117">
        <f ca="1">INDEX(INDIRECT("SSW_WTPCore2_"&amp;$C15&amp;"_UnitValues"),2,MATCH("MEAN",LMH,0))</f>
        <v>207.13203782671931</v>
      </c>
      <c r="O15" s="579">
        <f ca="1">N15*($F15-$G15)*(AllProps_SSW/NHHProps_SSW)</f>
        <v>87.928483084639765</v>
      </c>
      <c r="P15" s="20">
        <f ca="1">K15*N$19/K$18</f>
        <v>42.722518077228351</v>
      </c>
      <c r="Q15" s="514" t="s">
        <v>369</v>
      </c>
      <c r="R15" s="534">
        <f ca="1">P15*NHHProps_SSW/((F15-G15)*AllProps_SSW)</f>
        <v>100.64090633642502</v>
      </c>
      <c r="S15" s="521">
        <f t="shared" ref="S15:T17" ca="1" si="1">INDEX(INDIRECT("CAM_WTPCore2_"&amp;$B15&amp;"_Levels"),2,MATCH(S$4,WTPCore2_AttLevels,0))</f>
        <v>2.2222222222222223E-2</v>
      </c>
      <c r="T15" s="521">
        <f t="shared" ca="1" si="1"/>
        <v>1.5384615384615385E-2</v>
      </c>
      <c r="U15" s="581">
        <f ca="1">INDEX(INDIRECT("CAM_WTPCore2_"&amp;$B15&amp;"_LevelValues"),2,MATCH("S1 MEAN",WTPCore2_LevelValues,0))</f>
        <v>5.6414013673365619E-2</v>
      </c>
      <c r="V15" s="581">
        <f ca="1">INDEX(INDIRECT("CAM_WTPCore2_"&amp;$B15&amp;"_LevelValues"),2,MATCH("S2 MEAN",WTPCore2_LevelValues,0))</f>
        <v>1.4754621463399648E-4</v>
      </c>
      <c r="W15" s="581">
        <f ca="1">SUM(U15:V15)</f>
        <v>5.6561559887999616E-2</v>
      </c>
      <c r="X15" s="278">
        <f ca="1">E15*(S15-T15)</f>
        <v>97.709401709401703</v>
      </c>
      <c r="Y15" s="579">
        <f ca="1">INDEX(INDIRECT("CAM_WTPCore_"&amp;$C15&amp;"_UnitValues"),MATCH("COMBINED-NHH",WTPCore_Group,0),MATCH("MEAN",LMH,0))</f>
        <v>290.49645390070918</v>
      </c>
      <c r="Z15" s="579">
        <f ca="1">Y15*(S15-T15)*(AllProps_CAM/NHHProps_CAM)</f>
        <v>28.006837606837603</v>
      </c>
      <c r="AA15" s="117">
        <f ca="1">INDEX(INDIRECT("CAM_WTPCore2_"&amp;$B15&amp;"_UnitValues"),2,MATCH("MEAN",LMH,0))</f>
        <v>3003.7798612861075</v>
      </c>
      <c r="AB15" s="579">
        <f ca="1">AA15*($S15-$T15)*(AllProps_CAM/NHHProps_CAM)</f>
        <v>289.59518662655802</v>
      </c>
      <c r="AC15" s="20">
        <f ca="1">X15*AA$19/X$18</f>
        <v>87.413190721683662</v>
      </c>
      <c r="AD15" s="341" t="str">
        <f>Q15</f>
        <v>Property affected</v>
      </c>
      <c r="AE15" s="931">
        <f ca="1">(AC15*NHHProps_CAM)/((S15-T15)*AllProps_CAM)</f>
        <v>906.67937184725076</v>
      </c>
    </row>
    <row r="16" spans="1:31" x14ac:dyDescent="0.25">
      <c r="A16" s="9" t="s">
        <v>117</v>
      </c>
      <c r="B16" s="9" t="s">
        <v>265</v>
      </c>
      <c r="C16" s="9" t="str">
        <f>B16</f>
        <v>TasteSmell</v>
      </c>
      <c r="D16" s="514" t="s">
        <v>369</v>
      </c>
      <c r="E16" s="431">
        <f ca="1">INDEX(INDIRECT("ExtWTP_"&amp;$C16&amp;"_UnitValues"),MATCH(A$14, INDIRECT("ExtWTP_Comps_"&amp;C16),0),MATCH("NHH",ExtWTP_Group,0))</f>
        <v>51990</v>
      </c>
      <c r="F16" s="521">
        <f t="shared" ca="1" si="0"/>
        <v>1.6666666666666666E-2</v>
      </c>
      <c r="G16" s="521">
        <f t="shared" ca="1" si="0"/>
        <v>1.1111111111111112E-2</v>
      </c>
      <c r="H16" s="581">
        <f ca="1">INDEX(INDIRECT("SSW_WTPCore2_"&amp;$B16&amp;"_LevelValues"),2,MATCH("S1 MEAN",WTPCore2_LevelValues,0))</f>
        <v>3.6865032727528453E-3</v>
      </c>
      <c r="I16" s="581">
        <f ca="1">INDEX(INDIRECT("SSW_WTPCore2_"&amp;$B16&amp;"_LevelValues"),2,MATCH("S2 MEAN",WTPCore2_LevelValues,0))</f>
        <v>5.1592292451456759E-6</v>
      </c>
      <c r="J16" s="581">
        <f ca="1">SUM(H16:I16)</f>
        <v>3.691662501997991E-3</v>
      </c>
      <c r="K16" s="278">
        <f ca="1">E16*(F16-G16)</f>
        <v>288.83333333333331</v>
      </c>
      <c r="L16" s="579">
        <f ca="1">INDEX(INDIRECT("SSW_WTPCore_DCE_"&amp;$B16&amp;"_UnitValues"),MATCH("COMBINED-NHH",WTPCore_Group,0),MATCH("MEAN",LMH,0))</f>
        <v>70.914536619635854</v>
      </c>
      <c r="M16" s="579">
        <f ca="1">L16*(F16-G16)*(AllProps_SSW/NHHProps_SSW)</f>
        <v>6.2715708812260527</v>
      </c>
      <c r="N16" s="117">
        <f ca="1">INDEX(INDIRECT("SSW_WTPCore2_"&amp;$B16&amp;"_UnitValues"),2,MATCH("MEAN",LMH,0))</f>
        <v>184.66986976717914</v>
      </c>
      <c r="O16" s="579">
        <f ca="1">N16*($F16-$G16)*(AllProps_SSW/NHHProps_SSW)</f>
        <v>16.331914908839117</v>
      </c>
      <c r="P16" s="20">
        <f ca="1">K16*N$19/K$18</f>
        <v>32.381964585302981</v>
      </c>
      <c r="Q16" s="514" t="s">
        <v>369</v>
      </c>
      <c r="R16" s="534">
        <f ca="1">P16*NHHProps_SSW/((F16-G16)*AllProps_SSW)</f>
        <v>366.15260464875706</v>
      </c>
      <c r="S16" s="521">
        <f t="shared" ca="1" si="1"/>
        <v>1.4285714285714285E-2</v>
      </c>
      <c r="T16" s="521">
        <f t="shared" ca="1" si="1"/>
        <v>0.01</v>
      </c>
      <c r="U16" s="581">
        <f ca="1">INDEX(INDIRECT("CAM_WTPCore2_"&amp;$B16&amp;"_LevelValues"),2,MATCH("S1 MEAN",WTPCore2_LevelValues,0))</f>
        <v>4.257264223936371E-2</v>
      </c>
      <c r="V16" s="581">
        <f ca="1">INDEX(INDIRECT("CAM_WTPCore2_"&amp;$B16&amp;"_LevelValues"),2,MATCH("S2 MEAN",WTPCore2_LevelValues,0))</f>
        <v>1.0971349631991048E-2</v>
      </c>
      <c r="W16" s="581">
        <f ca="1">SUM(U16:V16)</f>
        <v>5.3543991871354758E-2</v>
      </c>
      <c r="X16" s="278">
        <f t="shared" ref="X16:X17" ca="1" si="2">E16*(S16-T16)</f>
        <v>222.81428571428569</v>
      </c>
      <c r="Y16" s="579">
        <f ca="1">INDEX(INDIRECT("CAM_WTPCore_"&amp;$C16&amp;"_UnitValues"),MATCH("COMBINED-NHH",WTPCore_Group,0),MATCH("MEAN",LMH,0))</f>
        <v>181.56028368794324</v>
      </c>
      <c r="Z16" s="579">
        <f ca="1">Y16*(S16-T16)*(AllProps_CAM/NHHProps_CAM)</f>
        <v>10.971428571428568</v>
      </c>
      <c r="AA16" s="117">
        <f ca="1">INDEX(INDIRECT("CAM_WTPCore2_"&amp;$B16&amp;"_UnitValues"),2,MATCH("MEAN",LMH,0))</f>
        <v>4536.682431842446</v>
      </c>
      <c r="AB16" s="579">
        <f ca="1">AA16*($S16-$T16)*(AllProps_CAM/NHHProps_CAM)</f>
        <v>274.1452383813363</v>
      </c>
      <c r="AC16" s="20">
        <f ca="1">X16*AA$19/X$18</f>
        <v>199.33504158161762</v>
      </c>
      <c r="AD16" s="341" t="str">
        <f>Q16</f>
        <v>Property affected</v>
      </c>
      <c r="AE16" s="931">
        <f ca="1">(AC16*NHHProps_CAM)/((S16-T16)*AllProps_CAM)</f>
        <v>3298.6886313742871</v>
      </c>
    </row>
    <row r="17" spans="1:31" x14ac:dyDescent="0.25">
      <c r="A17" s="9" t="s">
        <v>181</v>
      </c>
      <c r="B17" s="9" t="s">
        <v>269</v>
      </c>
      <c r="C17" s="9" t="s">
        <v>328</v>
      </c>
      <c r="D17" s="514" t="s">
        <v>369</v>
      </c>
      <c r="E17" s="431">
        <f ca="1">INDEX(INDIRECT("ExtWTP_"&amp;$C17&amp;"_UnitValues"),MATCH(A$14, INDIRECT("ExtWTP_Comps_"&amp;C17),0),MATCH("NHH",ExtWTP_Group,0))</f>
        <v>2771</v>
      </c>
      <c r="F17" s="521">
        <f t="shared" ca="1" si="0"/>
        <v>1.2500000000000001E-2</v>
      </c>
      <c r="G17" s="521">
        <f t="shared" ca="1" si="0"/>
        <v>8.3333333333333332E-3</v>
      </c>
      <c r="H17" s="581">
        <f ca="1">INDEX(INDIRECT("SSW_WTPCore2_"&amp;$B17&amp;"_LevelValues"),2,MATCH("S1 MEAN",WTPCore2_LevelValues,0))</f>
        <v>2.3562800507588295E-4</v>
      </c>
      <c r="I17" s="581">
        <f ca="1">INDEX(INDIRECT("SSW_WTPCore2_"&amp;$B17&amp;"_LevelValues"),2,MATCH("S2 MEAN",WTPCore2_LevelValues,0))</f>
        <v>4.1117889914467278E-4</v>
      </c>
      <c r="J17" s="581">
        <f ca="1">SUM(H17:I17)</f>
        <v>6.4680690422055573E-4</v>
      </c>
      <c r="K17" s="278">
        <f ca="1">E17*(F17-G17)</f>
        <v>11.545833333333336</v>
      </c>
      <c r="L17" s="579">
        <f ca="1">INDEX(INDIRECT("SSW_WTPCore_DCE_"&amp;$B17&amp;"_UnitValues"),MATCH("COMBINED-NHH",WTPCore_Group,0),MATCH("MEAN",LMH,0))</f>
        <v>310.41834897651921</v>
      </c>
      <c r="M17" s="579">
        <f ca="1">L17*(F17-G17)*(AllProps_SSW/NHHProps_SSW)</f>
        <v>20.589685534591201</v>
      </c>
      <c r="N17" s="117">
        <f ca="1">INDEX(INDIRECT("SSW_WTPCore2_"&amp;$B17&amp;"_UnitValues"),2,MATCH("MEAN",LMH,0))</f>
        <v>43.140724701414321</v>
      </c>
      <c r="O17" s="579">
        <f ca="1">N17*($F17-$G17)*(AllProps_SSW/NHHProps_SSW)</f>
        <v>2.8614737442717391</v>
      </c>
      <c r="P17" s="20">
        <f ca="1">K17*N$19/K$18</f>
        <v>1.2944377360916703</v>
      </c>
      <c r="Q17" s="514" t="s">
        <v>369</v>
      </c>
      <c r="R17" s="534">
        <f ca="1">P17*NHHProps_SSW/((F17-G17)*AllProps_SSW)</f>
        <v>19.515461963487322</v>
      </c>
      <c r="S17" s="521">
        <f t="shared" ca="1" si="1"/>
        <v>2.5000000000000001E-2</v>
      </c>
      <c r="T17" s="521">
        <f t="shared" ca="1" si="1"/>
        <v>1.6666666666666666E-2</v>
      </c>
      <c r="U17" s="581">
        <f ca="1">INDEX(INDIRECT("CAM_WTPCore2_"&amp;$B17&amp;"_LevelValues"),2,MATCH("S1 MEAN",WTPCore2_LevelValues,0))</f>
        <v>2.654718763279678E-4</v>
      </c>
      <c r="V17" s="581">
        <f ca="1">INDEX(INDIRECT("CAM_WTPCore2_"&amp;$B17&amp;"_LevelValues"),2,MATCH("S2 MEAN",WTPCore2_LevelValues,0))</f>
        <v>1.3401602008677625E-5</v>
      </c>
      <c r="W17" s="581">
        <f ca="1">SUM(U17:V17)</f>
        <v>2.7887347833664542E-4</v>
      </c>
      <c r="X17" s="278">
        <f t="shared" ca="1" si="2"/>
        <v>23.091666666666672</v>
      </c>
      <c r="Y17" s="579">
        <f ca="1">INDEX(INDIRECT("CAM_WTPCore_"&amp;$B17&amp;"_UnitValues"),MATCH("COMBINED-NHH",WTPCore_Group,0),MATCH("MEAN",LMH,0))</f>
        <v>90.78014184397162</v>
      </c>
      <c r="Z17" s="579">
        <f ca="1">Y17*(S17-T17)*(AllProps_CAM/NHHProps_CAM)</f>
        <v>10.666666666666668</v>
      </c>
      <c r="AA17" s="117">
        <f ca="1">INDEX(INDIRECT("CAM_WTPCore2_"&amp;$B17&amp;"_UnitValues"),2,MATCH("MEAN",LMH,0))</f>
        <v>12.15176348156276</v>
      </c>
      <c r="AB17" s="579">
        <f ca="1">AA17*($S17-$T17)*(AllProps_CAM/NHHProps_CAM)</f>
        <v>1.4278322090836244</v>
      </c>
      <c r="AC17" s="20">
        <f ca="1">X17*AA$19/X$18</f>
        <v>20.658362727654026</v>
      </c>
      <c r="AD17" s="341" t="str">
        <f>Q17</f>
        <v>Property affected</v>
      </c>
      <c r="AE17" s="931">
        <f ca="1">(AC17*NHHProps_CAM)/((S17-T17)*AllProps_CAM)</f>
        <v>175.81585300131084</v>
      </c>
    </row>
    <row r="18" spans="1:31" x14ac:dyDescent="0.25">
      <c r="D18" s="514"/>
      <c r="E18" s="431"/>
      <c r="F18" s="20"/>
      <c r="G18" s="20"/>
      <c r="H18" s="20"/>
      <c r="I18" s="20"/>
      <c r="J18" s="445">
        <f ca="1">SUM(J15:J17)*AvgNHHBill_SSW</f>
        <v>107.12187173775061</v>
      </c>
      <c r="K18" s="446">
        <f ca="1">SUM(K15:K17)</f>
        <v>681.44583333333333</v>
      </c>
      <c r="L18" s="446"/>
      <c r="M18" s="446">
        <f ca="1">SUM(M15:M17)</f>
        <v>45.675969059495415</v>
      </c>
      <c r="N18" s="446"/>
      <c r="O18" s="446">
        <f ca="1">SUM(O15:O17)</f>
        <v>107.12187173775061</v>
      </c>
      <c r="P18" s="445">
        <f ca="1">SUM(P15:P17)</f>
        <v>76.398920398622991</v>
      </c>
      <c r="Q18" s="265"/>
      <c r="R18" s="834"/>
      <c r="S18" s="20"/>
      <c r="T18" s="20"/>
      <c r="U18" s="20"/>
      <c r="V18" s="20"/>
      <c r="W18" s="826">
        <f ca="1">SUM(W15:W17)*AvgNHHBill_CAM</f>
        <v>565.16825721697808</v>
      </c>
      <c r="X18" s="446">
        <f ca="1">SUM(X15:X17)</f>
        <v>343.61535409035412</v>
      </c>
      <c r="Y18" s="446"/>
      <c r="Z18" s="446">
        <f ca="1">SUM(Z15:Z17)</f>
        <v>49.644932844932839</v>
      </c>
      <c r="AA18" s="446"/>
      <c r="AB18" s="446">
        <f ca="1">SUM(AB15:AB17)</f>
        <v>565.16825721697796</v>
      </c>
      <c r="AC18" s="445">
        <f ca="1">SUM(AC15:AC17)</f>
        <v>307.40659503095532</v>
      </c>
      <c r="AE18" s="931"/>
    </row>
    <row r="19" spans="1:31" x14ac:dyDescent="0.25">
      <c r="A19" s="60"/>
      <c r="B19" s="60"/>
      <c r="C19" s="60"/>
      <c r="D19" s="516"/>
      <c r="E19" s="523"/>
      <c r="F19" s="524"/>
      <c r="G19" s="524"/>
      <c r="H19" s="524"/>
      <c r="I19" s="524"/>
      <c r="J19" s="524"/>
      <c r="K19" s="45"/>
      <c r="L19" s="45"/>
      <c r="M19" s="45" t="s">
        <v>997</v>
      </c>
      <c r="N19" s="737">
        <f ca="1">AVERAGE(M18,O18)</f>
        <v>76.398920398623005</v>
      </c>
      <c r="O19" s="45"/>
      <c r="P19" s="45"/>
      <c r="Q19" s="114"/>
      <c r="R19" s="629"/>
      <c r="S19" s="524"/>
      <c r="T19" s="524"/>
      <c r="U19" s="524"/>
      <c r="V19" s="524"/>
      <c r="W19" s="524"/>
      <c r="X19" s="45"/>
      <c r="Y19" s="45"/>
      <c r="Z19" s="45" t="s">
        <v>997</v>
      </c>
      <c r="AA19" s="737">
        <f ca="1">AVERAGE(Z18,AB18)</f>
        <v>307.40659503095537</v>
      </c>
      <c r="AB19" s="45"/>
      <c r="AC19" s="45"/>
      <c r="AD19" s="114"/>
      <c r="AE19" s="932"/>
    </row>
    <row r="20" spans="1:31" x14ac:dyDescent="0.25">
      <c r="A20" s="237" t="s">
        <v>175</v>
      </c>
      <c r="B20" s="237"/>
      <c r="C20" s="62"/>
      <c r="D20" s="515"/>
      <c r="E20" s="522"/>
      <c r="F20" s="448"/>
      <c r="G20" s="448"/>
      <c r="H20" s="497"/>
      <c r="I20" s="497"/>
      <c r="J20" s="497"/>
      <c r="K20" s="54"/>
      <c r="L20" s="54"/>
      <c r="M20" s="54"/>
      <c r="N20" s="54"/>
      <c r="O20" s="54"/>
      <c r="P20" s="54"/>
      <c r="Q20" s="912"/>
      <c r="R20" s="630"/>
      <c r="S20" s="448"/>
      <c r="T20" s="448"/>
      <c r="U20" s="497"/>
      <c r="V20" s="497"/>
      <c r="W20" s="497"/>
      <c r="X20" s="54"/>
      <c r="Y20" s="54"/>
      <c r="Z20" s="54"/>
      <c r="AA20" s="54"/>
      <c r="AB20" s="54"/>
      <c r="AC20" s="54"/>
      <c r="AE20" s="933"/>
    </row>
    <row r="21" spans="1:31" x14ac:dyDescent="0.25">
      <c r="A21" s="9" t="s">
        <v>25</v>
      </c>
      <c r="B21" s="9" t="s">
        <v>266</v>
      </c>
      <c r="C21" s="9" t="str">
        <f>B21</f>
        <v>Discolour</v>
      </c>
      <c r="D21" s="514" t="s">
        <v>369</v>
      </c>
      <c r="E21" s="431">
        <f ca="1">INDEX(INDIRECT("ExtWTP_"&amp;$C21&amp;"_UnitValues"),MATCH(A$20, INDIRECT("ExtWTP_Comps_"&amp;C21),0),MATCH("NHH",ExtWTP_Group,0))</f>
        <v>27960</v>
      </c>
      <c r="F21" s="521">
        <f t="shared" ref="F21:G23" ca="1" si="3">INDEX(INDIRECT("SSW_WTPCore2_"&amp;$B21&amp;"_Levels"),2,MATCH(F$4,WTPCore2_AttLevels,0))</f>
        <v>6.6666666666666666E-2</v>
      </c>
      <c r="G21" s="521">
        <f t="shared" ca="1" si="3"/>
        <v>0.04</v>
      </c>
      <c r="H21" s="581">
        <f ca="1">INDEX(INDIRECT("SSW_WTPCore2_"&amp;$B21&amp;"_LevelValues"),2,MATCH("S1 MEAN",WTPCore2_LevelValues,0))</f>
        <v>1.9376915692789636E-2</v>
      </c>
      <c r="I21" s="581">
        <f ca="1">INDEX(INDIRECT("SSW_WTPCore2_"&amp;$B21&amp;"_LevelValues"),2,MATCH("S2 MEAN",WTPCore2_LevelValues,0))</f>
        <v>4.9841954334050795E-4</v>
      </c>
      <c r="J21" s="581">
        <f ca="1">SUM(H21:I21)</f>
        <v>1.9875335236130144E-2</v>
      </c>
      <c r="K21" s="278">
        <f ca="1">E21*(F21-G21)</f>
        <v>745.59999999999991</v>
      </c>
      <c r="L21" s="579">
        <f ca="1">INDEX(INDIRECT("SSW_WTPCore_DCE_"&amp;$C21&amp;"_UnitValues"),MATCH("COMBINED-NHH",WTPCore_Group,0),MATCH("MEAN",LMH,0))</f>
        <v>44.321585387272407</v>
      </c>
      <c r="M21" s="579">
        <f ca="1">L21*(F21-G21)*(AllProps_CAM/NHHProps_CAM)</f>
        <v>16.664916105614424</v>
      </c>
      <c r="N21" s="117">
        <f ca="1">INDEX(INDIRECT("SSW_WTPCore2_"&amp;$C21&amp;"_UnitValues"),2,MATCH("MEAN",LMH,0))</f>
        <v>207.13203782671931</v>
      </c>
      <c r="O21" s="579">
        <f ca="1">N21*($F21-$G21)*(AllProps_SSW/NHHProps_SSW)</f>
        <v>87.928483084639765</v>
      </c>
      <c r="P21" s="20">
        <f ca="1">K21*N$25/K$24</f>
        <v>60.504843972278117</v>
      </c>
      <c r="Q21" s="514" t="s">
        <v>369</v>
      </c>
      <c r="R21" s="534">
        <f ca="1">P21*NHHProps_SSW/((F21-G21)*AllProps_SSW)</f>
        <v>142.5305110552392</v>
      </c>
      <c r="S21" s="521">
        <f t="shared" ref="S21:T23" ca="1" si="4">INDEX(INDIRECT("CAM_WTPCore2_"&amp;$B21&amp;"_Levels"),2,MATCH(S$4,WTPCore2_AttLevels,0))</f>
        <v>2.2222222222222223E-2</v>
      </c>
      <c r="T21" s="521">
        <f t="shared" ca="1" si="4"/>
        <v>1.5384615384615385E-2</v>
      </c>
      <c r="U21" s="581">
        <f ca="1">INDEX(INDIRECT("CAM_WTPCore2_"&amp;$B21&amp;"_LevelValues"),2,MATCH("S1 MEAN",WTPCore2_LevelValues,0))</f>
        <v>5.6414013673365619E-2</v>
      </c>
      <c r="V21" s="581">
        <f ca="1">INDEX(INDIRECT("CAM_WTPCore2_"&amp;$B21&amp;"_LevelValues"),2,MATCH("S2 MEAN",WTPCore2_LevelValues,0))</f>
        <v>1.4754621463399648E-4</v>
      </c>
      <c r="W21" s="581">
        <f ca="1">SUM(U21:V21)</f>
        <v>5.6561559887999616E-2</v>
      </c>
      <c r="X21" s="278">
        <f ca="1">E21*(S21-T21)</f>
        <v>191.17948717948718</v>
      </c>
      <c r="Y21" s="579">
        <f ca="1">INDEX(INDIRECT("CAM_WTPCore_"&amp;$C21&amp;"_UnitValues"),MATCH("COMBINED-NHH",WTPCore_Group,0),MATCH("MEAN",LMH,0))</f>
        <v>290.49645390070918</v>
      </c>
      <c r="Z21" s="579">
        <f ca="1">Y21*(S21-T21)*(AllProps_CAM/NHHProps_CAM)</f>
        <v>28.006837606837603</v>
      </c>
      <c r="AA21" s="117">
        <f ca="1">INDEX(INDIRECT("CAM_WTPCore2_"&amp;$B21&amp;"_UnitValues"),2,MATCH("MEAN",LMH,0))</f>
        <v>3003.7798612861075</v>
      </c>
      <c r="AB21" s="579">
        <f ca="1">AA21*($S21-$T21)*(AllProps_CAM/NHHProps_CAM)</f>
        <v>289.59518662655802</v>
      </c>
      <c r="AC21" s="20">
        <f ca="1">X21*AA$25/X$24</f>
        <v>178.56789893115928</v>
      </c>
      <c r="AD21" s="341" t="str">
        <f>Q21</f>
        <v>Property affected</v>
      </c>
      <c r="AE21" s="931">
        <f ca="1">(AC21*NHHProps_CAM)/((S21-T21)*AllProps_CAM)</f>
        <v>1852.1670367859608</v>
      </c>
    </row>
    <row r="22" spans="1:31" x14ac:dyDescent="0.25">
      <c r="A22" s="9" t="s">
        <v>117</v>
      </c>
      <c r="B22" s="9" t="s">
        <v>265</v>
      </c>
      <c r="C22" s="9" t="str">
        <f>B22</f>
        <v>TasteSmell</v>
      </c>
      <c r="D22" s="514" t="s">
        <v>369</v>
      </c>
      <c r="E22" s="431">
        <f ca="1">INDEX(INDIRECT("ExtWTP_"&amp;$C22&amp;"_UnitValues"),MATCH(A$20, INDIRECT("ExtWTP_Comps_"&amp;C22),0),MATCH("NHH",ExtWTP_Group,0))</f>
        <v>27760</v>
      </c>
      <c r="F22" s="521">
        <f t="shared" ca="1" si="3"/>
        <v>1.6666666666666666E-2</v>
      </c>
      <c r="G22" s="521">
        <f t="shared" ca="1" si="3"/>
        <v>1.1111111111111112E-2</v>
      </c>
      <c r="H22" s="581">
        <f ca="1">INDEX(INDIRECT("SSW_WTPCore2_"&amp;$B22&amp;"_LevelValues"),2,MATCH("S1 MEAN",WTPCore2_LevelValues,0))</f>
        <v>3.6865032727528453E-3</v>
      </c>
      <c r="I22" s="581">
        <f ca="1">INDEX(INDIRECT("SSW_WTPCore2_"&amp;$B22&amp;"_LevelValues"),2,MATCH("S2 MEAN",WTPCore2_LevelValues,0))</f>
        <v>5.1592292451456759E-6</v>
      </c>
      <c r="J22" s="581">
        <f ca="1">SUM(H22:I22)</f>
        <v>3.691662501997991E-3</v>
      </c>
      <c r="K22" s="278">
        <f ca="1">E22*(F22-G22)</f>
        <v>154.2222222222222</v>
      </c>
      <c r="L22" s="579">
        <f ca="1">INDEX(INDIRECT("SSW_WTPCore_DCE_"&amp;$B22&amp;"_UnitValues"),MATCH("COMBINED-NHH",WTPCore_Group,0),MATCH("MEAN",LMH,0))</f>
        <v>70.914536619635854</v>
      </c>
      <c r="M22" s="579">
        <f ca="1">L22*(F22-G22)*(AllProps_CAM/NHHProps_CAM)</f>
        <v>5.5549720352048073</v>
      </c>
      <c r="N22" s="117">
        <f ca="1">INDEX(INDIRECT("SSW_WTPCore2_"&amp;$B22&amp;"_UnitValues"),2,MATCH("MEAN",LMH,0))</f>
        <v>184.66986976717914</v>
      </c>
      <c r="O22" s="579">
        <f ca="1">N22*($F22-$G22)*(AllProps_SSW/NHHProps_SSW)</f>
        <v>16.331914908839117</v>
      </c>
      <c r="P22" s="20">
        <f t="shared" ref="P22:P23" ca="1" si="5">K22*N$25/K$24</f>
        <v>12.515010049106168</v>
      </c>
      <c r="Q22" s="514" t="s">
        <v>369</v>
      </c>
      <c r="R22" s="534">
        <f ca="1">P22*NHHProps_SSW/((F22-G22)*AllProps_SSW)</f>
        <v>141.51097950262664</v>
      </c>
      <c r="S22" s="521">
        <f t="shared" ca="1" si="4"/>
        <v>1.4285714285714285E-2</v>
      </c>
      <c r="T22" s="521">
        <f t="shared" ca="1" si="4"/>
        <v>0.01</v>
      </c>
      <c r="U22" s="581">
        <f ca="1">INDEX(INDIRECT("CAM_WTPCore2_"&amp;$B22&amp;"_LevelValues"),2,MATCH("S1 MEAN",WTPCore2_LevelValues,0))</f>
        <v>4.257264223936371E-2</v>
      </c>
      <c r="V22" s="581">
        <f ca="1">INDEX(INDIRECT("CAM_WTPCore2_"&amp;$B22&amp;"_LevelValues"),2,MATCH("S2 MEAN",WTPCore2_LevelValues,0))</f>
        <v>1.0971349631991048E-2</v>
      </c>
      <c r="W22" s="581">
        <f t="shared" ref="W22:W23" ca="1" si="6">SUM(U22:V22)</f>
        <v>5.3543991871354758E-2</v>
      </c>
      <c r="X22" s="278">
        <f t="shared" ref="X22:X23" ca="1" si="7">E22*(S22-T22)</f>
        <v>118.97142857142855</v>
      </c>
      <c r="Y22" s="579">
        <f ca="1">INDEX(INDIRECT("CAM_WTPCore_"&amp;$C22&amp;"_UnitValues"),MATCH("COMBINED-NHH",WTPCore_Group,0),MATCH("MEAN",LMH,0))</f>
        <v>181.56028368794324</v>
      </c>
      <c r="Z22" s="579">
        <f ca="1">Y22*(S22-T22)*(AllProps_CAM/NHHProps_CAM)</f>
        <v>10.971428571428568</v>
      </c>
      <c r="AA22" s="117">
        <f ca="1">INDEX(INDIRECT("CAM_WTPCore2_"&amp;$B22&amp;"_UnitValues"),2,MATCH("MEAN",LMH,0))</f>
        <v>4536.682431842446</v>
      </c>
      <c r="AB22" s="579">
        <f ca="1">AA22*($S22-$T22)*(AllProps_CAM/NHHProps_CAM)</f>
        <v>274.1452383813363</v>
      </c>
      <c r="AC22" s="20">
        <f ca="1">X22*AA$25/X$24</f>
        <v>111.12320859451464</v>
      </c>
      <c r="AD22" s="341" t="str">
        <f>Q22</f>
        <v>Property affected</v>
      </c>
      <c r="AE22" s="931">
        <f ca="1">(AC22*NHHProps_CAM)/((S22-T22)*AllProps_CAM)</f>
        <v>1838.9183455357033</v>
      </c>
    </row>
    <row r="23" spans="1:31" x14ac:dyDescent="0.25">
      <c r="A23" s="9" t="s">
        <v>181</v>
      </c>
      <c r="B23" s="9" t="s">
        <v>269</v>
      </c>
      <c r="C23" s="9" t="s">
        <v>328</v>
      </c>
      <c r="D23" s="514" t="s">
        <v>369</v>
      </c>
      <c r="E23" s="431">
        <f ca="1">INDEX(INDIRECT("ExtWTP_"&amp;$C23&amp;"_UnitValues"),MATCH(A$20, INDIRECT("ExtWTP_Comps_"&amp;C23),0),MATCH("NHH",ExtWTP_Group,0))</f>
        <v>2276</v>
      </c>
      <c r="F23" s="521">
        <f t="shared" ca="1" si="3"/>
        <v>1.2500000000000001E-2</v>
      </c>
      <c r="G23" s="521">
        <f t="shared" ca="1" si="3"/>
        <v>8.3333333333333332E-3</v>
      </c>
      <c r="H23" s="581">
        <f ca="1">INDEX(INDIRECT("SSW_WTPCore2_"&amp;$B23&amp;"_LevelValues"),2,MATCH("S1 MEAN",WTPCore2_LevelValues,0))</f>
        <v>2.3562800507588295E-4</v>
      </c>
      <c r="I23" s="581">
        <f ca="1">INDEX(INDIRECT("SSW_WTPCore2_"&amp;$B23&amp;"_LevelValues"),2,MATCH("S2 MEAN",WTPCore2_LevelValues,0))</f>
        <v>4.1117889914467278E-4</v>
      </c>
      <c r="J23" s="581">
        <f ca="1">SUM(H23:I23)</f>
        <v>6.4680690422055573E-4</v>
      </c>
      <c r="K23" s="278">
        <f ca="1">E23*(F23-G23)</f>
        <v>9.4833333333333361</v>
      </c>
      <c r="L23" s="579">
        <f ca="1">INDEX(INDIRECT("SSW_WTPCore_DCE_"&amp;$B23&amp;"_UnitValues"),MATCH("COMBINED-NHH",WTPCore_Group,0),MATCH("MEAN",LMH,0))</f>
        <v>310.41834897651921</v>
      </c>
      <c r="M23" s="579">
        <f ca="1">L23*(F23-G23)*(AllProps_CAM/NHHProps_CAM)</f>
        <v>18.237078002370509</v>
      </c>
      <c r="N23" s="117">
        <f ca="1">INDEX(INDIRECT("SSW_WTPCore2_"&amp;$B23&amp;"_UnitValues"),2,MATCH("MEAN",LMH,0))</f>
        <v>43.140724701414321</v>
      </c>
      <c r="O23" s="579">
        <f ca="1">N23*($F23-$G23)*(AllProps_SSW/NHHProps_SSW)</f>
        <v>2.8614737442717391</v>
      </c>
      <c r="P23" s="20">
        <f t="shared" ca="1" si="5"/>
        <v>0.76956491908588742</v>
      </c>
      <c r="Q23" s="514" t="s">
        <v>369</v>
      </c>
      <c r="R23" s="534">
        <f ca="1">P23*NHHProps_SSW/((F23-G23)*AllProps_SSW)</f>
        <v>11.602269068731205</v>
      </c>
      <c r="S23" s="521">
        <f t="shared" ca="1" si="4"/>
        <v>2.5000000000000001E-2</v>
      </c>
      <c r="T23" s="521">
        <f t="shared" ca="1" si="4"/>
        <v>1.6666666666666666E-2</v>
      </c>
      <c r="U23" s="581">
        <f ca="1">INDEX(INDIRECT("CAM_WTPCore2_"&amp;$B23&amp;"_LevelValues"),2,MATCH("S1 MEAN",WTPCore2_LevelValues,0))</f>
        <v>2.654718763279678E-4</v>
      </c>
      <c r="V23" s="581">
        <f ca="1">INDEX(INDIRECT("CAM_WTPCore2_"&amp;$B23&amp;"_LevelValues"),2,MATCH("S2 MEAN",WTPCore2_LevelValues,0))</f>
        <v>1.3401602008677625E-5</v>
      </c>
      <c r="W23" s="581">
        <f t="shared" ca="1" si="6"/>
        <v>2.7887347833664542E-4</v>
      </c>
      <c r="X23" s="278">
        <f t="shared" ca="1" si="7"/>
        <v>18.966666666666672</v>
      </c>
      <c r="Y23" s="579">
        <f ca="1">INDEX(INDIRECT("CAM_WTPCore_"&amp;$B23&amp;"_UnitValues"),MATCH("COMBINED-NHH",WTPCore_Group,0),MATCH("MEAN",LMH,0))</f>
        <v>90.78014184397162</v>
      </c>
      <c r="Z23" s="579">
        <f ca="1">Y23*(S23-T23)*(AllProps_CAM/NHHProps_CAM)</f>
        <v>10.666666666666668</v>
      </c>
      <c r="AA23" s="117">
        <f ca="1">INDEX(INDIRECT("CAM_WTPCore2_"&amp;$B23&amp;"_UnitValues"),2,MATCH("MEAN",LMH,0))</f>
        <v>12.15176348156276</v>
      </c>
      <c r="AB23" s="579">
        <f ca="1">AA23*($S23-$T23)*(AllProps_CAM/NHHProps_CAM)</f>
        <v>1.4278322090836244</v>
      </c>
      <c r="AC23" s="20">
        <f t="shared" ref="AC23" ca="1" si="8">X23*AA$25/X$24</f>
        <v>17.715487505281459</v>
      </c>
      <c r="AD23" s="341" t="str">
        <f>Q23</f>
        <v>Property affected</v>
      </c>
      <c r="AE23" s="931">
        <f ca="1">(AC23*NHHProps_CAM)/((S23-T23)*AllProps_CAM)</f>
        <v>150.77010642792726</v>
      </c>
    </row>
    <row r="24" spans="1:31" x14ac:dyDescent="0.25">
      <c r="D24" s="514"/>
      <c r="E24" s="431"/>
      <c r="F24" s="20"/>
      <c r="G24" s="20"/>
      <c r="H24" s="20"/>
      <c r="I24" s="20"/>
      <c r="J24" s="445">
        <f ca="1">SUM(J21:J23)*AvgNHHBill_SSW</f>
        <v>107.12187173775061</v>
      </c>
      <c r="K24" s="446">
        <f ca="1">SUM(K21:K23)</f>
        <v>909.30555555555543</v>
      </c>
      <c r="L24" s="446"/>
      <c r="M24" s="446">
        <f ca="1">SUM(M21:M23)</f>
        <v>40.456966143189739</v>
      </c>
      <c r="N24" s="446"/>
      <c r="O24" s="446">
        <f ca="1">SUM(O21:O23)</f>
        <v>107.12187173775061</v>
      </c>
      <c r="P24" s="445">
        <f ca="1">SUM(P21:P23)</f>
        <v>73.789418940470185</v>
      </c>
      <c r="Q24" s="265"/>
      <c r="R24" s="834"/>
      <c r="S24" s="20"/>
      <c r="T24" s="20"/>
      <c r="U24" s="20"/>
      <c r="V24" s="20"/>
      <c r="W24" s="826">
        <f ca="1">SUM(W21:W23)*AvgNHHBill_CAM</f>
        <v>565.16825721697808</v>
      </c>
      <c r="X24" s="446">
        <f ca="1">SUM(X21:X23)</f>
        <v>329.11758241758241</v>
      </c>
      <c r="Y24" s="446"/>
      <c r="Z24" s="446">
        <f ca="1">SUM(Z21:Z23)</f>
        <v>49.644932844932839</v>
      </c>
      <c r="AA24" s="446"/>
      <c r="AB24" s="446">
        <f ca="1">SUM(AB21:AB23)</f>
        <v>565.16825721697796</v>
      </c>
      <c r="AC24" s="445">
        <f ca="1">SUM(AC21:AC23)</f>
        <v>307.40659503095537</v>
      </c>
      <c r="AE24" s="931"/>
    </row>
    <row r="25" spans="1:31" x14ac:dyDescent="0.25">
      <c r="A25" s="60"/>
      <c r="B25" s="60"/>
      <c r="C25" s="60"/>
      <c r="D25" s="516"/>
      <c r="E25" s="523"/>
      <c r="F25" s="524"/>
      <c r="G25" s="524"/>
      <c r="H25" s="524"/>
      <c r="I25" s="524"/>
      <c r="J25" s="524"/>
      <c r="K25" s="31"/>
      <c r="L25" s="31"/>
      <c r="M25" s="45" t="s">
        <v>997</v>
      </c>
      <c r="N25" s="737">
        <f ca="1">AVERAGE(M24,O24)</f>
        <v>73.789418940470171</v>
      </c>
      <c r="O25" s="45"/>
      <c r="P25" s="15"/>
      <c r="Q25" s="60"/>
      <c r="R25" s="629"/>
      <c r="S25" s="524"/>
      <c r="T25" s="524"/>
      <c r="U25" s="524"/>
      <c r="V25" s="524"/>
      <c r="W25" s="524"/>
      <c r="X25" s="31"/>
      <c r="Y25" s="31"/>
      <c r="Z25" s="45" t="s">
        <v>997</v>
      </c>
      <c r="AA25" s="737">
        <f ca="1">AVERAGE(Z24,AB24)</f>
        <v>307.40659503095537</v>
      </c>
      <c r="AB25" s="45"/>
      <c r="AC25" s="15"/>
      <c r="AD25" s="60"/>
      <c r="AE25" s="932"/>
    </row>
    <row r="26" spans="1:31" x14ac:dyDescent="0.25">
      <c r="A26" s="61" t="s">
        <v>164</v>
      </c>
      <c r="B26" s="237"/>
      <c r="D26" s="515"/>
      <c r="E26" s="522"/>
      <c r="F26" s="448"/>
      <c r="G26" s="448"/>
      <c r="H26" s="497"/>
      <c r="I26" s="497"/>
      <c r="J26" s="497"/>
      <c r="K26" s="531"/>
      <c r="L26" s="531"/>
      <c r="M26" s="531"/>
      <c r="N26" s="531"/>
      <c r="O26" s="531"/>
      <c r="P26" s="54"/>
      <c r="Q26" s="912"/>
      <c r="R26" s="630"/>
      <c r="S26" s="448"/>
      <c r="T26" s="448"/>
      <c r="U26" s="497"/>
      <c r="V26" s="497"/>
      <c r="W26" s="497"/>
      <c r="X26" s="531"/>
      <c r="Y26" s="531"/>
      <c r="Z26" s="531"/>
      <c r="AA26" s="531"/>
      <c r="AB26" s="531"/>
      <c r="AC26" s="54"/>
      <c r="AE26" s="933"/>
    </row>
    <row r="27" spans="1:31" x14ac:dyDescent="0.25">
      <c r="A27" s="9" t="s">
        <v>25</v>
      </c>
      <c r="B27" s="9" t="s">
        <v>266</v>
      </c>
      <c r="C27" s="9" t="str">
        <f>B27</f>
        <v>Discolour</v>
      </c>
      <c r="D27" s="514" t="s">
        <v>369</v>
      </c>
      <c r="E27" s="431">
        <f ca="1">INDEX(INDIRECT("ExtWTP_"&amp;$C27&amp;"_UnitValues"),MATCH(A$26, INDIRECT("ExtWTP_Comps_"&amp;C27),0),MATCH("NHH",ExtWTP_Group,0))</f>
        <v>133</v>
      </c>
      <c r="F27" s="521">
        <f t="shared" ref="F27:G29" ca="1" si="9">INDEX(INDIRECT("SSW_WTPCore2_"&amp;$B27&amp;"_Levels"),2,MATCH(F$4,WTPCore2_AttLevels,0))</f>
        <v>6.6666666666666666E-2</v>
      </c>
      <c r="G27" s="521">
        <f t="shared" ca="1" si="9"/>
        <v>0.04</v>
      </c>
      <c r="H27" s="581">
        <f ca="1">INDEX(INDIRECT("SSW_WTPCore2_"&amp;$B27&amp;"_LevelValues"),2,MATCH("S1 MEAN",WTPCore2_LevelValues,0))</f>
        <v>1.9376915692789636E-2</v>
      </c>
      <c r="I27" s="581">
        <f ca="1">INDEX(INDIRECT("SSW_WTPCore2_"&amp;$B27&amp;"_LevelValues"),2,MATCH("S2 MEAN",WTPCore2_LevelValues,0))</f>
        <v>4.9841954334050795E-4</v>
      </c>
      <c r="J27" s="581">
        <f ca="1">SUM(H27:I27)</f>
        <v>1.9875335236130144E-2</v>
      </c>
      <c r="K27" s="278">
        <f ca="1">E27*(F27-G27)</f>
        <v>3.5466666666666664</v>
      </c>
      <c r="L27" s="579">
        <f ca="1">INDEX(INDIRECT("SSW_WTPCore_DCE_"&amp;$C27&amp;"_UnitValues"),MATCH("COMBINED-NHH",WTPCore_Group,0),MATCH("MEAN",LMH,0))</f>
        <v>44.321585387272407</v>
      </c>
      <c r="M27" s="579">
        <f ca="1">L27*(F27-G27)*(AllProps_SSW/NHHProps_SSW)</f>
        <v>18.81471264367816</v>
      </c>
      <c r="N27" s="117">
        <f ca="1">INDEX(INDIRECT("SSW_WTPCore2_"&amp;$C27&amp;"_UnitValues"),2,MATCH("MEAN",LMH,0))</f>
        <v>207.13203782671931</v>
      </c>
      <c r="O27" s="579">
        <f ca="1">N27*($F27-$G27)*(AllProps_SSW/NHHProps_SSW)</f>
        <v>87.928483084639765</v>
      </c>
      <c r="P27" s="20">
        <f ca="1">K27*N$31/K$30</f>
        <v>32.18935909442358</v>
      </c>
      <c r="Q27" s="514" t="s">
        <v>369</v>
      </c>
      <c r="R27" s="534">
        <f ca="1">P27*NHHProps_SSW/((F27-G27)*AllProps_SSW)</f>
        <v>75.828074267423972</v>
      </c>
      <c r="S27" s="521">
        <f t="shared" ref="S27:T29" ca="1" si="10">INDEX(INDIRECT("CAM_WTPCore2_"&amp;$B27&amp;"_Levels"),2,MATCH(S$4,WTPCore2_AttLevels,0))</f>
        <v>2.2222222222222223E-2</v>
      </c>
      <c r="T27" s="521">
        <f t="shared" ca="1" si="10"/>
        <v>1.5384615384615385E-2</v>
      </c>
      <c r="U27" s="581">
        <f ca="1">INDEX(INDIRECT("CAM_WTPCore2_"&amp;$B27&amp;"_LevelValues"),2,MATCH("S1 MEAN",WTPCore2_LevelValues,0))</f>
        <v>5.6414013673365619E-2</v>
      </c>
      <c r="V27" s="581">
        <f ca="1">INDEX(INDIRECT("CAM_WTPCore2_"&amp;$B27&amp;"_LevelValues"),2,MATCH("S2 MEAN",WTPCore2_LevelValues,0))</f>
        <v>1.4754621463399648E-4</v>
      </c>
      <c r="W27" s="581">
        <f ca="1">SUM(U27:V27)</f>
        <v>5.6561559887999616E-2</v>
      </c>
      <c r="X27" s="278">
        <f ca="1">E27*(S27-T27)</f>
        <v>0.90940170940170939</v>
      </c>
      <c r="Y27" s="579">
        <f ca="1">INDEX(INDIRECT("CAM_WTPCore_"&amp;$C27&amp;"_UnitValues"),MATCH("COMBINED-NHH",WTPCore_Group,0),MATCH("MEAN",LMH,0))</f>
        <v>290.49645390070918</v>
      </c>
      <c r="Z27" s="579">
        <f ca="1">Y27*(S27-T27)*(AllProps_CAM/NHHProps_CAM)</f>
        <v>28.006837606837603</v>
      </c>
      <c r="AA27" s="117">
        <f ca="1">INDEX(INDIRECT("CAM_WTPCore2_"&amp;$B27&amp;"_UnitValues"),2,MATCH("MEAN",LMH,0))</f>
        <v>3003.7798612861075</v>
      </c>
      <c r="AB27" s="579">
        <f ca="1">AA27*($S27-$T27)*(AllProps_CAM/NHHProps_CAM)</f>
        <v>289.59518662655802</v>
      </c>
      <c r="AC27" s="20">
        <f ca="1">X27*AA$31/X$30</f>
        <v>22.053243803083276</v>
      </c>
      <c r="AD27" s="341" t="str">
        <f>Q27</f>
        <v>Property affected</v>
      </c>
      <c r="AE27" s="931">
        <f ca="1">(AC27*NHHProps_CAM)/((S27-T27)*AllProps_CAM)</f>
        <v>228.74375221283185</v>
      </c>
    </row>
    <row r="28" spans="1:31" x14ac:dyDescent="0.25">
      <c r="A28" s="9" t="s">
        <v>180</v>
      </c>
      <c r="B28" s="9" t="s">
        <v>269</v>
      </c>
      <c r="C28" s="9" t="s">
        <v>331</v>
      </c>
      <c r="D28" s="514" t="s">
        <v>369</v>
      </c>
      <c r="E28" s="431">
        <f ca="1">INDEX(INDIRECT("ExtWTP_"&amp;$C28&amp;"_UnitValues"),MATCH(A$26, INDIRECT("ExtWTP_Comps_"&amp;C28),0),MATCH("NHH",ExtWTP_Group,0))</f>
        <v>850</v>
      </c>
      <c r="F28" s="521">
        <f t="shared" ca="1" si="9"/>
        <v>1.2500000000000001E-2</v>
      </c>
      <c r="G28" s="521">
        <f t="shared" ca="1" si="9"/>
        <v>8.3333333333333332E-3</v>
      </c>
      <c r="H28" s="581">
        <f ca="1">INDEX(INDIRECT("SSW_WTPCore2_"&amp;$B28&amp;"_LevelValues"),2,MATCH("S1 MEAN",WTPCore2_LevelValues,0))</f>
        <v>2.3562800507588295E-4</v>
      </c>
      <c r="I28" s="581">
        <f ca="1">INDEX(INDIRECT("SSW_WTPCore2_"&amp;$B28&amp;"_LevelValues"),2,MATCH("S2 MEAN",WTPCore2_LevelValues,0))</f>
        <v>4.1117889914467278E-4</v>
      </c>
      <c r="J28" s="581">
        <f ca="1">SUM(H28:I28)</f>
        <v>6.4680690422055573E-4</v>
      </c>
      <c r="K28" s="278">
        <f ca="1">E28*(F28-G28)</f>
        <v>3.5416666666666674</v>
      </c>
      <c r="L28" s="579">
        <f ca="1">INDEX(INDIRECT("SSW_WTPCore_DCE_"&amp;$B28&amp;"_UnitValues"),MATCH("COMBINED-NHH",WTPCore_Group,0),MATCH("MEAN",LMH,0))</f>
        <v>310.41834897651921</v>
      </c>
      <c r="M28" s="579">
        <f ca="1">L28*(F28-G28)*(AllProps_SSW/NHHProps_SSW)</f>
        <v>20.589685534591201</v>
      </c>
      <c r="N28" s="117">
        <f ca="1">INDEX(INDIRECT("SSW_WTPCore2_"&amp;$B28&amp;"_UnitValues"),2,MATCH("MEAN",LMH,0))</f>
        <v>43.140724701414321</v>
      </c>
      <c r="O28" s="579">
        <f ca="1">N28*($F28-$G28)*(AllProps_SSW/NHHProps_SSW)</f>
        <v>2.8614737442717391</v>
      </c>
      <c r="P28" s="20">
        <f t="shared" ref="P28:P29" ca="1" si="11">K28*N$31/K$30</f>
        <v>32.143979358858147</v>
      </c>
      <c r="Q28" s="514" t="s">
        <v>369</v>
      </c>
      <c r="R28" s="534">
        <f ca="1">P28*NHHProps_SSW/((F28-G28)*AllProps_SSW)</f>
        <v>484.61551223541647</v>
      </c>
      <c r="S28" s="521">
        <f t="shared" ca="1" si="10"/>
        <v>2.5000000000000001E-2</v>
      </c>
      <c r="T28" s="521">
        <f t="shared" ca="1" si="10"/>
        <v>1.6666666666666666E-2</v>
      </c>
      <c r="U28" s="581">
        <f ca="1">INDEX(INDIRECT("CAM_WTPCore2_"&amp;$B28&amp;"_LevelValues"),2,MATCH("S1 MEAN",WTPCore2_LevelValues,0))</f>
        <v>2.654718763279678E-4</v>
      </c>
      <c r="V28" s="581">
        <f ca="1">INDEX(INDIRECT("CAM_WTPCore2_"&amp;$B28&amp;"_LevelValues"),2,MATCH("S2 MEAN",WTPCore2_LevelValues,0))</f>
        <v>1.3401602008677625E-5</v>
      </c>
      <c r="W28" s="581">
        <f ca="1">SUM(U28:V28)</f>
        <v>2.7887347833664542E-4</v>
      </c>
      <c r="X28" s="278">
        <f t="shared" ref="X28:X29" ca="1" si="12">E28*(S28-T28)</f>
        <v>7.0833333333333348</v>
      </c>
      <c r="Y28" s="579">
        <f ca="1">INDEX(INDIRECT("CAM_WTPCore_"&amp;$B28&amp;"_UnitValues"),MATCH("COMBINED-NHH",WTPCore_Group,0),MATCH("MEAN",LMH,0))</f>
        <v>90.78014184397162</v>
      </c>
      <c r="Z28" s="579">
        <f ca="1">Y28*(S28-T28)*(AllProps_CAM/NHHProps_CAM)</f>
        <v>10.666666666666668</v>
      </c>
      <c r="AA28" s="117">
        <f ca="1">INDEX(INDIRECT("CAM_WTPCore2_"&amp;$B28&amp;"_UnitValues"),2,MATCH("MEAN",LMH,0))</f>
        <v>12.15176348156276</v>
      </c>
      <c r="AB28" s="579">
        <f ca="1">AA28*($S28-$T28)*(AllProps_CAM/NHHProps_CAM)</f>
        <v>1.4278322090836244</v>
      </c>
      <c r="AC28" s="20">
        <f t="shared" ref="AC28:AC29" ca="1" si="13">X28*AA$31/X$30</f>
        <v>171.77279888914725</v>
      </c>
      <c r="AD28" s="341" t="str">
        <f>Q28</f>
        <v>Property affected</v>
      </c>
      <c r="AE28" s="931">
        <f ca="1">(AC28*NHHProps_CAM)/((S28-T28)*AllProps_CAM)</f>
        <v>1461.8961607586998</v>
      </c>
    </row>
    <row r="29" spans="1:31" x14ac:dyDescent="0.25">
      <c r="A29" s="9" t="s">
        <v>330</v>
      </c>
      <c r="B29" s="9" t="s">
        <v>319</v>
      </c>
      <c r="C29" s="9" t="str">
        <f>B29</f>
        <v>TempBan</v>
      </c>
      <c r="D29" s="514" t="s">
        <v>369</v>
      </c>
      <c r="E29" s="431">
        <f ca="1">INDEX(INDIRECT("ExtWTP_"&amp;$C29&amp;"_UnitValues"),MATCH(A$26, INDIRECT("ExtWTP_Comps_"&amp;C29),0),MATCH("NHH",ExtWTP_Group,0))</f>
        <v>88</v>
      </c>
      <c r="F29" s="521">
        <f t="shared" ca="1" si="9"/>
        <v>2.5000000000000001E-2</v>
      </c>
      <c r="G29" s="521">
        <f t="shared" ca="1" si="9"/>
        <v>1.6666666666666666E-2</v>
      </c>
      <c r="H29" s="581">
        <f ca="1">INDEX(INDIRECT("SSW_WTPCore2_"&amp;$B29&amp;"_LevelValues"),2,MATCH("S1 MEAN",WTPCore2_LevelValues,0))</f>
        <v>1.0363458862342743E-3</v>
      </c>
      <c r="I29" s="581">
        <f ca="1">INDEX(INDIRECT("SSW_WTPCore2_"&amp;$B29&amp;"_LevelValues"),2,MATCH("S2 MEAN",WTPCore2_LevelValues,0))</f>
        <v>6.2724159084084235E-4</v>
      </c>
      <c r="J29" s="581">
        <f ca="1">SUM(H29:I29)</f>
        <v>1.6635874770751166E-3</v>
      </c>
      <c r="K29" s="278">
        <f ca="1">E29*(F29-G29)</f>
        <v>0.7333333333333335</v>
      </c>
      <c r="L29" s="820">
        <f ca="1">INDEX(INDIRECT("SSW_WTPCore_DCE_"&amp;$C29&amp;"_UnitValues"),MATCH("COMBINED-NHH",WTPCore_Group,0),MATCH("MEAN",LMH,0))</f>
        <v>196425.59999999998</v>
      </c>
      <c r="M29" s="579">
        <f ca="1">L29*(F29-G29)/NHHProps_SSW*100</f>
        <v>4.4240000000000004</v>
      </c>
      <c r="N29" s="343">
        <f ca="1">INDEX(INDIRECT("SSW_WTPCore2_"&amp;$C29&amp;"_UnitValues"),2,MATCH("MEAN",LMH,0))</f>
        <v>326771.16833696596</v>
      </c>
      <c r="O29" s="579">
        <f ca="1">N29*(F29-G29)/NHHProps_SSW*100</f>
        <v>7.3597109985803151</v>
      </c>
      <c r="P29" s="20">
        <f t="shared" ca="1" si="11"/>
        <v>6.6556945495988638</v>
      </c>
      <c r="Q29" s="643" t="s">
        <v>422</v>
      </c>
      <c r="R29" s="534">
        <f ca="1">P29*NHHProps_SSW/((F29-G29)*100)</f>
        <v>295512.83800218953</v>
      </c>
      <c r="S29" s="521">
        <f t="shared" ca="1" si="10"/>
        <v>0.02</v>
      </c>
      <c r="T29" s="521">
        <f t="shared" ca="1" si="10"/>
        <v>1.3333333333333334E-2</v>
      </c>
      <c r="U29" s="581">
        <f ca="1">INDEX(INDIRECT("CAM_WTPCore2_"&amp;$B29&amp;"_LevelValues"),2,MATCH("S1 MEAN",WTPCore2_LevelValues,0))</f>
        <v>1.3694025744847137E-3</v>
      </c>
      <c r="V29" s="581">
        <f ca="1">INDEX(INDIRECT("CAM_WTPCore2_"&amp;$B29&amp;"_LevelValues"),2,MATCH("S2 MEAN",WTPCore2_LevelValues,0))</f>
        <v>1.1073984405910726E-3</v>
      </c>
      <c r="W29" s="581">
        <f t="shared" ref="W29" ca="1" si="14">SUM(U29:V29)</f>
        <v>2.4768010150757864E-3</v>
      </c>
      <c r="X29" s="278">
        <f t="shared" ca="1" si="12"/>
        <v>0.58666666666666667</v>
      </c>
      <c r="Y29" s="579">
        <f ca="1">INDEX(INDIRECT("CAM_WTPCore_"&amp;$C29&amp;"_UnitValues"),MATCH("COMBINED-NHH",WTPCore_Group,0),MATCH("MEAN",LMH,0))</f>
        <v>1105919.9999999998</v>
      </c>
      <c r="Z29" s="579">
        <f ca="1">Y29*(S29-T29)/NHHProps_CAM*100</f>
        <v>73.72799999999998</v>
      </c>
      <c r="AA29" s="117">
        <f ca="1">INDEX(INDIRECT("CAM_WTPCore2_"&amp;$B29&amp;"_UnitValues"),2,MATCH("MEAN",LMH,0))</f>
        <v>190218.3179578204</v>
      </c>
      <c r="AB29" s="579">
        <f ca="1">AA29*(S29-T29)/NHHProps_CAM*100</f>
        <v>12.681221197188028</v>
      </c>
      <c r="AC29" s="20">
        <f t="shared" ca="1" si="13"/>
        <v>14.226829460936429</v>
      </c>
      <c r="AD29" s="341" t="str">
        <f>Q29</f>
        <v>1% change in risk</v>
      </c>
      <c r="AE29" s="931">
        <f ca="1">(AC29*NHHProps_CAM)/((S29-T29)*100)</f>
        <v>213402.44191404645</v>
      </c>
    </row>
    <row r="30" spans="1:31" x14ac:dyDescent="0.25">
      <c r="D30" s="514"/>
      <c r="E30" s="431"/>
      <c r="F30" s="20"/>
      <c r="G30" s="20"/>
      <c r="H30" s="20"/>
      <c r="I30" s="20"/>
      <c r="J30" s="445">
        <f ca="1">SUM(J27:J29)*AvgNHHBill_SSW</f>
        <v>98.149667827491811</v>
      </c>
      <c r="K30" s="446">
        <f ca="1">SUM(K27:K29)</f>
        <v>7.8216666666666672</v>
      </c>
      <c r="L30" s="446"/>
      <c r="M30" s="446">
        <f ca="1">SUM(M27:M29)</f>
        <v>43.82839817826936</v>
      </c>
      <c r="N30" s="446"/>
      <c r="O30" s="446">
        <f ca="1">SUM(O27:O29)</f>
        <v>98.149667827491811</v>
      </c>
      <c r="P30" s="445">
        <f ca="1">SUM(P27:P29)</f>
        <v>70.989033002880589</v>
      </c>
      <c r="Q30" s="265"/>
      <c r="R30" s="834"/>
      <c r="S30" s="20"/>
      <c r="T30" s="20"/>
      <c r="U30" s="20"/>
      <c r="V30" s="20"/>
      <c r="W30" s="445">
        <f ca="1">SUM(W27:W29)*AvgNHHBill_CAM</f>
        <v>303.70424003282972</v>
      </c>
      <c r="X30" s="446">
        <f ca="1">SUM(X27:X29)</f>
        <v>8.5794017094017114</v>
      </c>
      <c r="Y30" s="446"/>
      <c r="Z30" s="446">
        <f ca="1">SUM(Z27:Z29)</f>
        <v>112.40150427350426</v>
      </c>
      <c r="AA30" s="446"/>
      <c r="AB30" s="446">
        <f ca="1">SUM(AB27:AB29)</f>
        <v>303.70424003282972</v>
      </c>
      <c r="AC30" s="445">
        <f ca="1">SUM(AC27:AC29)</f>
        <v>208.05287215316696</v>
      </c>
      <c r="AE30" s="931"/>
    </row>
    <row r="31" spans="1:31" x14ac:dyDescent="0.25">
      <c r="A31" s="60"/>
      <c r="B31" s="60"/>
      <c r="C31" s="60"/>
      <c r="D31" s="516"/>
      <c r="E31" s="523"/>
      <c r="F31" s="524"/>
      <c r="G31" s="524"/>
      <c r="H31" s="524"/>
      <c r="I31" s="524"/>
      <c r="J31" s="524"/>
      <c r="K31" s="31"/>
      <c r="L31" s="31"/>
      <c r="M31" s="45" t="s">
        <v>997</v>
      </c>
      <c r="N31" s="737">
        <f ca="1">AVERAGE(M30,O30)</f>
        <v>70.989033002880589</v>
      </c>
      <c r="O31" s="45"/>
      <c r="P31" s="15"/>
      <c r="Q31" s="60"/>
      <c r="R31" s="629"/>
      <c r="S31" s="524"/>
      <c r="T31" s="524"/>
      <c r="U31" s="524"/>
      <c r="V31" s="524"/>
      <c r="W31" s="524"/>
      <c r="X31" s="31"/>
      <c r="Y31" s="31"/>
      <c r="Z31" s="45" t="s">
        <v>997</v>
      </c>
      <c r="AA31" s="737">
        <f ca="1">AVERAGE(Z30,AB30)</f>
        <v>208.05287215316699</v>
      </c>
      <c r="AB31" s="45"/>
      <c r="AC31" s="15"/>
      <c r="AD31" s="60"/>
      <c r="AE31" s="932"/>
    </row>
    <row r="32" spans="1:31" x14ac:dyDescent="0.25">
      <c r="A32" s="571" t="s">
        <v>166</v>
      </c>
      <c r="B32" s="530"/>
      <c r="D32" s="515"/>
      <c r="E32" s="522"/>
      <c r="F32" s="448"/>
      <c r="G32" s="448"/>
      <c r="H32" s="497"/>
      <c r="I32" s="497"/>
      <c r="J32" s="497"/>
      <c r="K32" s="531"/>
      <c r="L32" s="531"/>
      <c r="M32" s="531"/>
      <c r="N32" s="531"/>
      <c r="O32" s="531"/>
      <c r="P32" s="54"/>
      <c r="Q32" s="912"/>
      <c r="R32" s="630"/>
      <c r="S32" s="448"/>
      <c r="T32" s="448"/>
      <c r="U32" s="497"/>
      <c r="V32" s="497"/>
      <c r="W32" s="497"/>
      <c r="X32" s="531"/>
      <c r="Y32" s="531"/>
      <c r="Z32" s="531"/>
      <c r="AA32" s="531"/>
      <c r="AB32" s="531"/>
      <c r="AC32" s="54"/>
      <c r="AE32" s="933"/>
    </row>
    <row r="33" spans="1:31" x14ac:dyDescent="0.25">
      <c r="A33" s="9" t="s">
        <v>181</v>
      </c>
      <c r="B33" s="9" t="s">
        <v>269</v>
      </c>
      <c r="C33" s="9" t="s">
        <v>328</v>
      </c>
      <c r="D33" s="514" t="s">
        <v>369</v>
      </c>
      <c r="E33" s="431">
        <f ca="1">INDEX(INDIRECT("ExtWTP_"&amp;$C33&amp;"_UnitValues"),MATCH(A$32, INDIRECT("ExtWTP_Comps_"&amp;C33),0),MATCH("NHH",ExtWTP_Group,0))</f>
        <v>426</v>
      </c>
      <c r="F33" s="521">
        <f ca="1">INDEX(INDIRECT("SSW_WTPCore2_"&amp;$B33&amp;"_Levels"),2,MATCH(F$4,WTPCore2_AttLevels,0))</f>
        <v>1.2500000000000001E-2</v>
      </c>
      <c r="G33" s="521">
        <f ca="1">INDEX(INDIRECT("SSW_WTPCore2_"&amp;$B33&amp;"_Levels"),2,MATCH(G$4,WTPCore2_AttLevels,0))</f>
        <v>8.3333333333333332E-3</v>
      </c>
      <c r="H33" s="581">
        <f ca="1">INDEX(INDIRECT("SSW_WTPCore2_"&amp;$B33&amp;"_LevelValues"),2,MATCH("S1 MEAN",WTPCore2_LevelValues,0))</f>
        <v>2.3562800507588295E-4</v>
      </c>
      <c r="I33" s="581">
        <f ca="1">INDEX(INDIRECT("SSW_WTPCore2_"&amp;$B33&amp;"_LevelValues"),2,MATCH("S2 MEAN",WTPCore2_LevelValues,0))</f>
        <v>4.1117889914467278E-4</v>
      </c>
      <c r="J33" s="581">
        <f ca="1">SUM(H33:I33)</f>
        <v>6.4680690422055573E-4</v>
      </c>
      <c r="K33" s="278">
        <f ca="1">E33*(F33-G33)</f>
        <v>1.7750000000000004</v>
      </c>
      <c r="L33" s="579">
        <f ca="1">INDEX(INDIRECT("SSW_WTPCore_DCE_"&amp;$B33&amp;"_UnitValues"),MATCH("COMBINED-NHH",WTPCore_Group,0),MATCH("MEAN",LMH,0))</f>
        <v>310.41834897651921</v>
      </c>
      <c r="M33" s="579">
        <f ca="1">L33*($F33-$G33)*(AllProps_SSW/NHHProps_SSW)</f>
        <v>20.589685534591201</v>
      </c>
      <c r="N33" s="117">
        <f ca="1">INDEX(INDIRECT("SSW_WTPCore2_"&amp;$B33&amp;"_UnitValues"),2,MATCH("MEAN",LMH,0))</f>
        <v>43.140724701414321</v>
      </c>
      <c r="O33" s="579">
        <f ca="1">N33*($F33-$G33)*(AllProps_SSW/NHHProps_SSW)</f>
        <v>2.8614737442717391</v>
      </c>
      <c r="P33" s="20">
        <f ca="1">K33*N$35/K$34</f>
        <v>11.725579639431469</v>
      </c>
      <c r="Q33" s="514" t="s">
        <v>369</v>
      </c>
      <c r="R33" s="534">
        <f ca="1">P33*NHHProps_SSW/((F33-G33)*AllProps_SSW)</f>
        <v>176.77953683896678</v>
      </c>
      <c r="S33" s="521">
        <f ca="1">INDEX(INDIRECT("CAM_WTPCore2_"&amp;$B33&amp;"_Levels"),2,MATCH(S$4,WTPCore2_AttLevels,0))</f>
        <v>2.5000000000000001E-2</v>
      </c>
      <c r="T33" s="521">
        <f ca="1">INDEX(INDIRECT("CAM_WTPCore2_"&amp;$B33&amp;"_Levels"),2,MATCH(T$4,WTPCore2_AttLevels,0))</f>
        <v>1.6666666666666666E-2</v>
      </c>
      <c r="U33" s="581">
        <f ca="1">INDEX(INDIRECT("CAM_WTPCore2_"&amp;$B33&amp;"_LevelValues"),2,MATCH("S1 MEAN",WTPCore2_LevelValues,0))</f>
        <v>2.654718763279678E-4</v>
      </c>
      <c r="V33" s="581">
        <f ca="1">INDEX(INDIRECT("CAM_WTPCore2_"&amp;$B33&amp;"_LevelValues"),2,MATCH("S2 MEAN",WTPCore2_LevelValues,0))</f>
        <v>1.3401602008677625E-5</v>
      </c>
      <c r="W33" s="581">
        <f ca="1">SUM(U33:V33)</f>
        <v>2.7887347833664542E-4</v>
      </c>
      <c r="X33" s="278">
        <f ca="1">E33*(S33-T33)</f>
        <v>3.5500000000000007</v>
      </c>
      <c r="Y33" s="579">
        <f ca="1">INDEX(INDIRECT("CAM_WTPCore_"&amp;$B33&amp;"_UnitValues"),MATCH("COMBINED-NHH",WTPCore_Group,0),MATCH("MEAN",LMH,0))</f>
        <v>90.78014184397162</v>
      </c>
      <c r="Z33" s="579">
        <f ca="1">Y33*(S33-T33)*(AllProps_CAM/NHHProps_CAM)</f>
        <v>10.666666666666668</v>
      </c>
      <c r="AA33" s="117">
        <f ca="1">INDEX(INDIRECT("CAM_WTPCore2_"&amp;$B33&amp;"_UnitValues"),2,MATCH("MEAN",LMH,0))</f>
        <v>12.15176348156276</v>
      </c>
      <c r="AB33" s="579">
        <f ca="1">AA33*($S33-$T33)*(AllProps_CAM/NHHProps_CAM)</f>
        <v>1.4278322090836244</v>
      </c>
      <c r="AC33" s="20">
        <f ca="1">X33*AA$35/X$34</f>
        <v>6.0472494378751458</v>
      </c>
      <c r="AD33" s="341" t="str">
        <f>Q33</f>
        <v>Property affected</v>
      </c>
      <c r="AE33" s="931">
        <f ca="1">(AC33*NHHProps_CAM)/((S33-T33)*AllProps_CAM)</f>
        <v>51.465952662767187</v>
      </c>
    </row>
    <row r="34" spans="1:31" x14ac:dyDescent="0.25">
      <c r="A34" s="574" t="s">
        <v>501</v>
      </c>
      <c r="D34" s="514"/>
      <c r="E34" s="431"/>
      <c r="F34" s="20"/>
      <c r="G34" s="20"/>
      <c r="H34" s="20"/>
      <c r="I34" s="20"/>
      <c r="J34" s="445">
        <f ca="1">SUM(J33:J33)*AvgNHHBill_SSW</f>
        <v>2.8614737442717386</v>
      </c>
      <c r="K34" s="446">
        <f ca="1">SUM(K33:K33)</f>
        <v>1.7750000000000004</v>
      </c>
      <c r="L34" s="446"/>
      <c r="M34" s="446">
        <f ca="1">SUM(M31:M33)</f>
        <v>20.589685534591201</v>
      </c>
      <c r="N34" s="446"/>
      <c r="O34" s="446">
        <f ca="1">SUM(O31:O33)</f>
        <v>2.8614737442717391</v>
      </c>
      <c r="P34" s="445">
        <f ca="1">SUM(P33:P33)</f>
        <v>11.725579639431469</v>
      </c>
      <c r="Q34" s="265"/>
      <c r="R34" s="834"/>
      <c r="S34" s="20"/>
      <c r="T34" s="20"/>
      <c r="U34" s="20"/>
      <c r="V34" s="20"/>
      <c r="W34" s="445">
        <f ca="1">SUM(W33:W33)*AvgNHHBill_CAM</f>
        <v>1.4278322090836246</v>
      </c>
      <c r="X34" s="446">
        <f ca="1">SUM(X33:X33)</f>
        <v>3.5500000000000007</v>
      </c>
      <c r="Y34" s="446"/>
      <c r="Z34" s="446">
        <f ca="1">SUM(Z31:Z33)</f>
        <v>10.666666666666668</v>
      </c>
      <c r="AA34" s="446"/>
      <c r="AB34" s="289">
        <f ca="1">SUM(AB31:AB33)</f>
        <v>1.4278322090836244</v>
      </c>
      <c r="AC34" s="445">
        <f ca="1">SUM(AC33:AC33)</f>
        <v>6.0472494378751458</v>
      </c>
      <c r="AE34" s="931"/>
    </row>
    <row r="35" spans="1:31" x14ac:dyDescent="0.25">
      <c r="A35" s="60"/>
      <c r="B35" s="60"/>
      <c r="C35" s="60"/>
      <c r="D35" s="516"/>
      <c r="E35" s="523"/>
      <c r="F35" s="524"/>
      <c r="G35" s="524"/>
      <c r="H35" s="524"/>
      <c r="I35" s="524"/>
      <c r="J35" s="524"/>
      <c r="K35" s="31"/>
      <c r="L35" s="31"/>
      <c r="M35" s="45" t="s">
        <v>997</v>
      </c>
      <c r="N35" s="737">
        <f ca="1">AVERAGE(M34,O34)</f>
        <v>11.725579639431469</v>
      </c>
      <c r="O35" s="45"/>
      <c r="P35" s="15"/>
      <c r="Q35" s="60"/>
      <c r="R35" s="629"/>
      <c r="S35" s="524"/>
      <c r="T35" s="524"/>
      <c r="U35" s="524"/>
      <c r="V35" s="524"/>
      <c r="W35" s="524"/>
      <c r="X35" s="31"/>
      <c r="Y35" s="31"/>
      <c r="Z35" s="45" t="s">
        <v>997</v>
      </c>
      <c r="AA35" s="737">
        <f ca="1">AVERAGE(Z34,AB34)</f>
        <v>6.0472494378751458</v>
      </c>
      <c r="AB35" s="45"/>
      <c r="AC35" s="15"/>
      <c r="AD35" s="60"/>
      <c r="AE35" s="932"/>
    </row>
    <row r="36" spans="1:31" x14ac:dyDescent="0.25">
      <c r="A36" s="61" t="s">
        <v>167</v>
      </c>
      <c r="B36" s="237"/>
      <c r="D36" s="515"/>
      <c r="E36" s="522"/>
      <c r="F36" s="448"/>
      <c r="G36" s="448"/>
      <c r="H36" s="497"/>
      <c r="I36" s="497"/>
      <c r="J36" s="497"/>
      <c r="K36" s="531"/>
      <c r="L36" s="531"/>
      <c r="M36" s="531"/>
      <c r="N36" s="531"/>
      <c r="O36" s="531"/>
      <c r="P36" s="54"/>
      <c r="Q36" s="912"/>
      <c r="R36" s="630"/>
      <c r="S36" s="448"/>
      <c r="T36" s="448"/>
      <c r="U36" s="497"/>
      <c r="V36" s="497"/>
      <c r="W36" s="497"/>
      <c r="X36" s="531"/>
      <c r="Y36" s="531"/>
      <c r="Z36" s="531"/>
      <c r="AA36" s="531"/>
      <c r="AB36" s="531"/>
      <c r="AC36" s="54"/>
      <c r="AE36" s="933"/>
    </row>
    <row r="37" spans="1:31" x14ac:dyDescent="0.25">
      <c r="A37" s="9" t="s">
        <v>25</v>
      </c>
      <c r="B37" s="9" t="s">
        <v>266</v>
      </c>
      <c r="C37" s="9" t="str">
        <f>B37</f>
        <v>Discolour</v>
      </c>
      <c r="D37" s="514" t="s">
        <v>369</v>
      </c>
      <c r="E37" s="431">
        <f ca="1">INDEX(INDIRECT("ExtWTP_"&amp;$C37&amp;"_UnitValues"),MATCH(A$36, INDIRECT("ExtWTP_Comps_"&amp;C37),0),MATCH("NHH",ExtWTP_Group,0))</f>
        <v>2170</v>
      </c>
      <c r="F37" s="521">
        <f t="shared" ref="F37:G40" ca="1" si="15">INDEX(INDIRECT("SSW_WTPCore2_"&amp;$B37&amp;"_Levels"),2,MATCH(F$4,WTPCore2_AttLevels,0))</f>
        <v>6.6666666666666666E-2</v>
      </c>
      <c r="G37" s="521">
        <f t="shared" ca="1" si="15"/>
        <v>0.04</v>
      </c>
      <c r="H37" s="581">
        <f ca="1">INDEX(INDIRECT("SSW_WTPCore2_"&amp;$B37&amp;"_LevelValues"),2,MATCH("S1 MEAN",WTPCore2_LevelValues,0))</f>
        <v>1.9376915692789636E-2</v>
      </c>
      <c r="I37" s="581">
        <f ca="1">INDEX(INDIRECT("SSW_WTPCore2_"&amp;$B37&amp;"_LevelValues"),2,MATCH("S2 MEAN",WTPCore2_LevelValues,0))</f>
        <v>4.9841954334050795E-4</v>
      </c>
      <c r="J37" s="581">
        <f ca="1">SUM(H37:I37)</f>
        <v>1.9875335236130144E-2</v>
      </c>
      <c r="K37" s="278">
        <f ca="1">E37*(F37-G37)</f>
        <v>57.86666666666666</v>
      </c>
      <c r="L37" s="579">
        <f ca="1">INDEX(INDIRECT("SSW_WTPCore_DCE_"&amp;$C37&amp;"_UnitValues"),MATCH("COMBINED-NHH",WTPCore_Group,0),MATCH("MEAN",LMH,0))</f>
        <v>44.321585387272407</v>
      </c>
      <c r="M37" s="579">
        <f ca="1">L37*(F37-G37)*(AllProps_SSW/NHHProps_SSW)</f>
        <v>18.81471264367816</v>
      </c>
      <c r="N37" s="117">
        <f ca="1">INDEX(INDIRECT("SSW_WTPCore2_"&amp;$C37&amp;"_UnitValues"),2,MATCH("MEAN",LMH,0))</f>
        <v>207.13203782671931</v>
      </c>
      <c r="O37" s="579">
        <f ca="1">N37*($F37-$G37)*(AllProps_SSW/NHHProps_SSW)</f>
        <v>87.928483084639765</v>
      </c>
      <c r="P37" s="20">
        <f ca="1">K37*N$42/K$41</f>
        <v>63.092320617766255</v>
      </c>
      <c r="Q37" s="514" t="s">
        <v>369</v>
      </c>
      <c r="R37" s="534">
        <f ca="1">P37*NHHProps_SSW/((F37-G37)*AllProps_SSW)</f>
        <v>148.62579772012</v>
      </c>
      <c r="S37" s="521">
        <f t="shared" ref="S37:T40" ca="1" si="16">INDEX(INDIRECT("CAM_WTPCore2_"&amp;$B37&amp;"_Levels"),2,MATCH(S$4,WTPCore2_AttLevels,0))</f>
        <v>2.2222222222222223E-2</v>
      </c>
      <c r="T37" s="521">
        <f t="shared" ca="1" si="16"/>
        <v>1.5384615384615385E-2</v>
      </c>
      <c r="U37" s="581">
        <f ca="1">INDEX(INDIRECT("CAM_WTPCore2_"&amp;$B37&amp;"_LevelValues"),2,MATCH("S1 MEAN",WTPCore2_LevelValues,0))</f>
        <v>5.6414013673365619E-2</v>
      </c>
      <c r="V37" s="581">
        <f ca="1">INDEX(INDIRECT("CAM_WTPCore2_"&amp;$B37&amp;"_LevelValues"),2,MATCH("S2 MEAN",WTPCore2_LevelValues,0))</f>
        <v>1.4754621463399648E-4</v>
      </c>
      <c r="W37" s="581">
        <f ca="1">SUM(U37:V37)</f>
        <v>5.6561559887999616E-2</v>
      </c>
      <c r="X37" s="278">
        <f ca="1">E37*(S37-T37)</f>
        <v>14.837606837606838</v>
      </c>
      <c r="Y37" s="579">
        <f ca="1">INDEX(INDIRECT("CAM_WTPCore_"&amp;$C37&amp;"_UnitValues"),MATCH("COMBINED-NHH",WTPCore_Group,0),MATCH("MEAN",LMH,0))</f>
        <v>290.49645390070918</v>
      </c>
      <c r="Z37" s="579">
        <f ca="1">Y37*(S37-T37)*(AllProps_CAM/NHHProps_CAM)</f>
        <v>28.006837606837603</v>
      </c>
      <c r="AA37" s="117">
        <f ca="1">INDEX(INDIRECT("CAM_WTPCore2_"&amp;$B37&amp;"_UnitValues"),2,MATCH("MEAN",LMH,0))</f>
        <v>3003.7798612861075</v>
      </c>
      <c r="AB37" s="579">
        <f ca="1">AA37*($S37-$T37)*(AllProps_CAM/NHHProps_CAM)</f>
        <v>289.59518662655802</v>
      </c>
      <c r="AC37" s="20">
        <f ca="1">X37*AA$42/X$41</f>
        <v>168.84624734275874</v>
      </c>
      <c r="AD37" s="341" t="str">
        <f>Q37</f>
        <v>Property affected</v>
      </c>
      <c r="AE37" s="931">
        <f ca="1">(AC37*NHHProps_CAM)/((S37-T37)*AllProps_CAM)</f>
        <v>1751.3307570126572</v>
      </c>
    </row>
    <row r="38" spans="1:31" x14ac:dyDescent="0.25">
      <c r="A38" s="9" t="s">
        <v>117</v>
      </c>
      <c r="B38" s="9" t="s">
        <v>265</v>
      </c>
      <c r="C38" s="9" t="str">
        <f>B38</f>
        <v>TasteSmell</v>
      </c>
      <c r="D38" s="514" t="s">
        <v>369</v>
      </c>
      <c r="E38" s="431">
        <f ca="1">INDEX(INDIRECT("ExtWTP_"&amp;$C38&amp;"_UnitValues"),MATCH(A$36, INDIRECT("ExtWTP_Comps_"&amp;C38),0),MATCH("NHH",ExtWTP_Group,0))</f>
        <v>2796</v>
      </c>
      <c r="F38" s="521">
        <f t="shared" ca="1" si="15"/>
        <v>1.6666666666666666E-2</v>
      </c>
      <c r="G38" s="521">
        <f t="shared" ca="1" si="15"/>
        <v>1.1111111111111112E-2</v>
      </c>
      <c r="H38" s="581">
        <f ca="1">INDEX(INDIRECT("SSW_WTPCore2_"&amp;$B38&amp;"_LevelValues"),2,MATCH("S1 MEAN",WTPCore2_LevelValues,0))</f>
        <v>3.6865032727528453E-3</v>
      </c>
      <c r="I38" s="581">
        <f ca="1">INDEX(INDIRECT("SSW_WTPCore2_"&amp;$B38&amp;"_LevelValues"),2,MATCH("S2 MEAN",WTPCore2_LevelValues,0))</f>
        <v>5.1592292451456759E-6</v>
      </c>
      <c r="J38" s="581">
        <f ca="1">SUM(H38:I38)</f>
        <v>3.691662501997991E-3</v>
      </c>
      <c r="K38" s="278">
        <f ca="1">E38*(F38-G38)</f>
        <v>15.533333333333331</v>
      </c>
      <c r="L38" s="579">
        <f ca="1">INDEX(INDIRECT("SSW_WTPCore_DCE_"&amp;$B38&amp;"_UnitValues"),MATCH("COMBINED-NHH",WTPCore_Group,0),MATCH("MEAN",LMH,0))</f>
        <v>70.914536619635854</v>
      </c>
      <c r="M38" s="579">
        <f ca="1">L38*(F38-G38)*(AllProps_SSW/NHHProps_SSW)</f>
        <v>6.2715708812260527</v>
      </c>
      <c r="N38" s="117">
        <f ca="1">INDEX(INDIRECT("SSW_WTPCore2_"&amp;$B38&amp;"_UnitValues"),2,MATCH("MEAN",LMH,0))</f>
        <v>184.66986976717914</v>
      </c>
      <c r="O38" s="579">
        <f ca="1">N38*($F38-$G38)*(AllProps_SSW/NHHProps_SSW)</f>
        <v>16.331914908839117</v>
      </c>
      <c r="P38" s="20">
        <f t="shared" ref="P38:P40" ca="1" si="17">K38*N$42/K$41</f>
        <v>16.936072239561682</v>
      </c>
      <c r="Q38" s="514" t="s">
        <v>369</v>
      </c>
      <c r="R38" s="534">
        <f ca="1">P38*NHHProps_SSW/((F38-G38)*AllProps_SSW)</f>
        <v>191.50125826057865</v>
      </c>
      <c r="S38" s="521">
        <f t="shared" ca="1" si="16"/>
        <v>1.4285714285714285E-2</v>
      </c>
      <c r="T38" s="521">
        <f t="shared" ca="1" si="16"/>
        <v>0.01</v>
      </c>
      <c r="U38" s="581">
        <f ca="1">INDEX(INDIRECT("CAM_WTPCore2_"&amp;$B38&amp;"_LevelValues"),2,MATCH("S1 MEAN",WTPCore2_LevelValues,0))</f>
        <v>4.257264223936371E-2</v>
      </c>
      <c r="V38" s="581">
        <f ca="1">INDEX(INDIRECT("CAM_WTPCore2_"&amp;$B38&amp;"_LevelValues"),2,MATCH("S2 MEAN",WTPCore2_LevelValues,0))</f>
        <v>1.0971349631991048E-2</v>
      </c>
      <c r="W38" s="581">
        <f t="shared" ref="W38:W40" ca="1" si="18">SUM(U38:V38)</f>
        <v>5.3543991871354758E-2</v>
      </c>
      <c r="X38" s="278">
        <f t="shared" ref="X38:X40" ca="1" si="19">E38*(S38-T38)</f>
        <v>11.98285714285714</v>
      </c>
      <c r="Y38" s="579">
        <f ca="1">INDEX(INDIRECT("CAM_WTPCore_"&amp;$C38&amp;"_UnitValues"),MATCH("COMBINED-NHH",WTPCore_Group,0),MATCH("MEAN",LMH,0))</f>
        <v>181.56028368794324</v>
      </c>
      <c r="Z38" s="579">
        <f ca="1">Y38*(S38-T38)*(AllProps_CAM/NHHProps_CAM)</f>
        <v>10.971428571428568</v>
      </c>
      <c r="AA38" s="117">
        <f ca="1">INDEX(INDIRECT("CAM_WTPCore2_"&amp;$B38&amp;"_UnitValues"),2,MATCH("MEAN",LMH,0))</f>
        <v>4536.682431842446</v>
      </c>
      <c r="AB38" s="579">
        <f ca="1">AA38*($S38-$T38)*(AllProps_CAM/NHHProps_CAM)</f>
        <v>274.1452383813363</v>
      </c>
      <c r="AC38" s="20">
        <f t="shared" ref="AC38:AC40" ca="1" si="20">X38*AA$42/X$41</f>
        <v>136.36029604772384</v>
      </c>
      <c r="AD38" s="341" t="str">
        <f>Q38</f>
        <v>Property affected</v>
      </c>
      <c r="AE38" s="931">
        <f ca="1">(AC38*NHHProps_CAM)/((S38-T38)*AllProps_CAM)</f>
        <v>2256.5533624918839</v>
      </c>
    </row>
    <row r="39" spans="1:31" x14ac:dyDescent="0.25">
      <c r="A39" s="9" t="s">
        <v>180</v>
      </c>
      <c r="B39" s="9" t="s">
        <v>269</v>
      </c>
      <c r="C39" s="9" t="s">
        <v>331</v>
      </c>
      <c r="D39" s="514" t="s">
        <v>369</v>
      </c>
      <c r="E39" s="431">
        <f ca="1">INDEX(INDIRECT("ExtWTP_"&amp;$C39&amp;"_UnitValues"),MATCH(A$36, INDIRECT("ExtWTP_Comps_"&amp;C39),0),MATCH("NHH",ExtWTP_Group,0))</f>
        <v>466</v>
      </c>
      <c r="F39" s="521">
        <f t="shared" ca="1" si="15"/>
        <v>1.2500000000000001E-2</v>
      </c>
      <c r="G39" s="521">
        <f t="shared" ca="1" si="15"/>
        <v>8.3333333333333332E-3</v>
      </c>
      <c r="H39" s="581">
        <f ca="1">INDEX(INDIRECT("SSW_WTPCore2_"&amp;$B39&amp;"_LevelValues"),2,MATCH("S1 MEAN",WTPCore2_LevelValues,0))</f>
        <v>2.3562800507588295E-4</v>
      </c>
      <c r="I39" s="581">
        <f ca="1">INDEX(INDIRECT("SSW_WTPCore2_"&amp;$B39&amp;"_LevelValues"),2,MATCH("S2 MEAN",WTPCore2_LevelValues,0))</f>
        <v>4.1117889914467278E-4</v>
      </c>
      <c r="J39" s="581">
        <f ca="1">SUM(H39:I39)</f>
        <v>6.4680690422055573E-4</v>
      </c>
      <c r="K39" s="278">
        <f ca="1">E39*(F39-G39)</f>
        <v>1.9416666666666671</v>
      </c>
      <c r="L39" s="579">
        <f ca="1">INDEX(INDIRECT("SSW_WTPCore_DCE_"&amp;$B39&amp;"_UnitValues"),MATCH("COMBINED-NHH",WTPCore_Group,0),MATCH("MEAN",LMH,0))</f>
        <v>310.41834897651921</v>
      </c>
      <c r="M39" s="579">
        <f ca="1">L39*(F39-G39)*(AllProps_SSW/NHHProps_SSW)</f>
        <v>20.589685534591201</v>
      </c>
      <c r="N39" s="117">
        <f ca="1">INDEX(INDIRECT("SSW_WTPCore2_"&amp;$B39&amp;"_UnitValues"),2,MATCH("MEAN",LMH,0))</f>
        <v>43.140724701414321</v>
      </c>
      <c r="O39" s="579">
        <f ca="1">N39*($F39-$G39)*(AllProps_SSW/NHHProps_SSW)</f>
        <v>2.8614737442717391</v>
      </c>
      <c r="P39" s="20">
        <f t="shared" ca="1" si="17"/>
        <v>2.1170090299452107</v>
      </c>
      <c r="Q39" s="514" t="s">
        <v>369</v>
      </c>
      <c r="R39" s="534">
        <f ca="1">P39*NHHProps_SSW/((F39-G39)*AllProps_SSW)</f>
        <v>31.916876376763106</v>
      </c>
      <c r="S39" s="521">
        <f t="shared" ca="1" si="16"/>
        <v>2.5000000000000001E-2</v>
      </c>
      <c r="T39" s="521">
        <f t="shared" ca="1" si="16"/>
        <v>1.6666666666666666E-2</v>
      </c>
      <c r="U39" s="581">
        <f ca="1">INDEX(INDIRECT("CAM_WTPCore2_"&amp;$B39&amp;"_LevelValues"),2,MATCH("S1 MEAN",WTPCore2_LevelValues,0))</f>
        <v>2.654718763279678E-4</v>
      </c>
      <c r="V39" s="581">
        <f ca="1">INDEX(INDIRECT("CAM_WTPCore2_"&amp;$B39&amp;"_LevelValues"),2,MATCH("S2 MEAN",WTPCore2_LevelValues,0))</f>
        <v>1.3401602008677625E-5</v>
      </c>
      <c r="W39" s="581">
        <f t="shared" ca="1" si="18"/>
        <v>2.7887347833664542E-4</v>
      </c>
      <c r="X39" s="278">
        <f t="shared" ca="1" si="19"/>
        <v>3.8833333333333342</v>
      </c>
      <c r="Y39" s="579">
        <f ca="1">INDEX(INDIRECT("CAM_WTPCore_"&amp;$B39&amp;"_UnitValues"),MATCH("COMBINED-NHH",WTPCore_Group,0),MATCH("MEAN",LMH,0))</f>
        <v>90.78014184397162</v>
      </c>
      <c r="Z39" s="579">
        <f ca="1">Y39*(S39-T39)*(AllProps_CAM/NHHProps_CAM)</f>
        <v>10.666666666666668</v>
      </c>
      <c r="AA39" s="117">
        <f ca="1">INDEX(INDIRECT("CAM_WTPCore2_"&amp;$B39&amp;"_UnitValues"),2,MATCH("MEAN",LMH,0))</f>
        <v>12.15176348156276</v>
      </c>
      <c r="AB39" s="579">
        <f ca="1">AA39*($S39-$T39)*(AllProps_CAM/NHHProps_CAM)</f>
        <v>1.4278322090836244</v>
      </c>
      <c r="AC39" s="20">
        <f t="shared" ca="1" si="20"/>
        <v>44.190836682132748</v>
      </c>
      <c r="AD39" s="341" t="str">
        <f>Q39</f>
        <v>Property affected</v>
      </c>
      <c r="AE39" s="931">
        <f ca="1">(AC39*NHHProps_CAM)/((S39-T39)*AllProps_CAM)</f>
        <v>376.09222708198075</v>
      </c>
    </row>
    <row r="40" spans="1:31" x14ac:dyDescent="0.25">
      <c r="A40" s="9" t="s">
        <v>330</v>
      </c>
      <c r="B40" s="9" t="s">
        <v>319</v>
      </c>
      <c r="C40" s="9" t="str">
        <f>B40</f>
        <v>TempBan</v>
      </c>
      <c r="D40" s="514" t="s">
        <v>369</v>
      </c>
      <c r="E40" s="431">
        <f ca="1">INDEX(INDIRECT("ExtWTP_"&amp;$C40&amp;"_UnitValues"),MATCH(A$36, INDIRECT("ExtWTP_Comps_"&amp;C40),0),MATCH("NHH",ExtWTP_Group,0))</f>
        <v>16</v>
      </c>
      <c r="F40" s="521">
        <f t="shared" ca="1" si="15"/>
        <v>2.5000000000000001E-2</v>
      </c>
      <c r="G40" s="521">
        <f t="shared" ca="1" si="15"/>
        <v>1.6666666666666666E-2</v>
      </c>
      <c r="H40" s="581">
        <f ca="1">INDEX(INDIRECT("SSW_WTPCore2_"&amp;$B40&amp;"_LevelValues"),2,MATCH("S1 MEAN",WTPCore2_LevelValues,0))</f>
        <v>1.0363458862342743E-3</v>
      </c>
      <c r="I40" s="581">
        <f ca="1">INDEX(INDIRECT("SSW_WTPCore2_"&amp;$B40&amp;"_LevelValues"),2,MATCH("S2 MEAN",WTPCore2_LevelValues,0))</f>
        <v>6.2724159084084235E-4</v>
      </c>
      <c r="J40" s="581">
        <f ca="1">SUM(H40:I40)</f>
        <v>1.6635874770751166E-3</v>
      </c>
      <c r="K40" s="278">
        <f ca="1">E40*(F40-G40)</f>
        <v>0.13333333333333336</v>
      </c>
      <c r="L40" s="820">
        <f ca="1">INDEX(INDIRECT("SSW_WTPCore_DCE_"&amp;$C40&amp;"_UnitValues"),MATCH("COMBINED-NHH",WTPCore_Group,0),MATCH("MEAN",LMH,0))</f>
        <v>196425.59999999998</v>
      </c>
      <c r="M40" s="579">
        <f ca="1">L40*(F40-G40)/NHHProps_SSW*100</f>
        <v>4.4240000000000004</v>
      </c>
      <c r="N40" s="343">
        <f ca="1">INDEX(INDIRECT("SSW_WTPCore2_"&amp;$C40&amp;"_UnitValues"),2,MATCH("MEAN",LMH,0))</f>
        <v>326771.16833696596</v>
      </c>
      <c r="O40" s="579">
        <f ca="1">N40*(F40-G40)/NHHProps_SSW*100</f>
        <v>7.3597109985803151</v>
      </c>
      <c r="P40" s="20">
        <f t="shared" ca="1" si="17"/>
        <v>0.14537401064001446</v>
      </c>
      <c r="Q40" s="643" t="s">
        <v>422</v>
      </c>
      <c r="R40" s="534">
        <f ca="1">P40*NHHProps_SSW/((F40-G40)*100)</f>
        <v>6454.6060724166409</v>
      </c>
      <c r="S40" s="521">
        <f t="shared" ca="1" si="16"/>
        <v>0.02</v>
      </c>
      <c r="T40" s="521">
        <f t="shared" ca="1" si="16"/>
        <v>1.3333333333333334E-2</v>
      </c>
      <c r="U40" s="581">
        <f ca="1">INDEX(INDIRECT("CAM_WTPCore2_"&amp;$B40&amp;"_LevelValues"),2,MATCH("S1 MEAN",WTPCore2_LevelValues,0))</f>
        <v>1.3694025744847137E-3</v>
      </c>
      <c r="V40" s="581">
        <f ca="1">INDEX(INDIRECT("CAM_WTPCore2_"&amp;$B40&amp;"_LevelValues"),2,MATCH("S2 MEAN",WTPCore2_LevelValues,0))</f>
        <v>1.1073984405910726E-3</v>
      </c>
      <c r="W40" s="581">
        <f t="shared" ca="1" si="18"/>
        <v>2.4768010150757864E-3</v>
      </c>
      <c r="X40" s="278">
        <f t="shared" ca="1" si="19"/>
        <v>0.10666666666666666</v>
      </c>
      <c r="Y40" s="579">
        <f ca="1">INDEX(INDIRECT("CAM_WTPCore_"&amp;$C40&amp;"_UnitValues"),MATCH("COMBINED-NHH",WTPCore_Group,0),MATCH("MEAN",LMH,0))</f>
        <v>1105919.9999999998</v>
      </c>
      <c r="Z40" s="579">
        <f ca="1">Y40*(S40-T40)/NHHProps_CAM*100</f>
        <v>73.72799999999998</v>
      </c>
      <c r="AA40" s="117">
        <f ca="1">INDEX(INDIRECT("CAM_WTPCore2_"&amp;$B40&amp;"_UnitValues"),2,MATCH("MEAN",LMH,0))</f>
        <v>190218.3179578204</v>
      </c>
      <c r="AB40" s="579">
        <f ca="1">AA40*(S40-T40)/NHHProps_CAM*100</f>
        <v>12.681221197188028</v>
      </c>
      <c r="AC40" s="20">
        <f t="shared" ca="1" si="20"/>
        <v>1.2138255569341181</v>
      </c>
      <c r="AD40" s="341" t="str">
        <f>Q40</f>
        <v>1% change in risk</v>
      </c>
      <c r="AE40" s="931">
        <f ca="1">(AC40*NHHProps_CAM)/((S40-T40)*100)</f>
        <v>18207.383354011774</v>
      </c>
    </row>
    <row r="41" spans="1:31" x14ac:dyDescent="0.25">
      <c r="D41" s="514"/>
      <c r="E41" s="431"/>
      <c r="F41" s="20"/>
      <c r="G41" s="20"/>
      <c r="H41" s="20"/>
      <c r="I41" s="20"/>
      <c r="J41" s="445">
        <f ca="1">SUM(J37:J40)*AvgNHHBill_SSW</f>
        <v>114.48158273633092</v>
      </c>
      <c r="K41" s="446">
        <f ca="1">SUM(K37:K40)</f>
        <v>75.474999999999994</v>
      </c>
      <c r="L41" s="446"/>
      <c r="M41" s="446">
        <f ca="1">SUM(M37:M40)</f>
        <v>50.099969059495415</v>
      </c>
      <c r="N41" s="446"/>
      <c r="O41" s="446">
        <f ca="1">SUM(O37:O40)</f>
        <v>114.48158273633092</v>
      </c>
      <c r="P41" s="445">
        <f ca="1">SUM(P37:P40)</f>
        <v>82.29077589791315</v>
      </c>
      <c r="Q41" s="37"/>
      <c r="R41" s="834"/>
      <c r="S41" s="20"/>
      <c r="T41" s="20"/>
      <c r="U41" s="20"/>
      <c r="V41" s="20"/>
      <c r="W41" s="826">
        <f ca="1">SUM(W37:W40)*AvgNHHBill_CAM</f>
        <v>577.84947841416613</v>
      </c>
      <c r="X41" s="446">
        <f ca="1">SUM(X37:X40)</f>
        <v>30.810463980463975</v>
      </c>
      <c r="Y41" s="446"/>
      <c r="Z41" s="446">
        <f ca="1">SUM(Z37:Z40)</f>
        <v>123.37293284493282</v>
      </c>
      <c r="AA41" s="446"/>
      <c r="AB41" s="446">
        <f ca="1">SUM(AB37:AB40)</f>
        <v>577.84947841416601</v>
      </c>
      <c r="AC41" s="445">
        <f ca="1">SUM(AC37:AC40)</f>
        <v>350.61120562954943</v>
      </c>
      <c r="AE41" s="931"/>
    </row>
    <row r="42" spans="1:31" x14ac:dyDescent="0.25">
      <c r="A42" s="60"/>
      <c r="B42" s="60"/>
      <c r="C42" s="60"/>
      <c r="D42" s="516"/>
      <c r="E42" s="523"/>
      <c r="F42" s="524"/>
      <c r="G42" s="524"/>
      <c r="H42" s="524"/>
      <c r="I42" s="524"/>
      <c r="J42" s="524"/>
      <c r="K42" s="31"/>
      <c r="L42" s="31"/>
      <c r="M42" s="45" t="s">
        <v>997</v>
      </c>
      <c r="N42" s="737">
        <f ca="1">AVERAGE(M41,O41)</f>
        <v>82.290775897913164</v>
      </c>
      <c r="O42" s="45"/>
      <c r="P42" s="15"/>
      <c r="Q42" s="60"/>
      <c r="R42" s="629"/>
      <c r="S42" s="524"/>
      <c r="T42" s="524"/>
      <c r="U42" s="524"/>
      <c r="V42" s="524"/>
      <c r="W42" s="524"/>
      <c r="X42" s="31"/>
      <c r="Y42" s="31"/>
      <c r="Z42" s="45" t="s">
        <v>997</v>
      </c>
      <c r="AA42" s="737">
        <f ca="1">AVERAGE(Z41,AB41)</f>
        <v>350.61120562954943</v>
      </c>
      <c r="AB42" s="45"/>
      <c r="AC42" s="15"/>
      <c r="AD42" s="60"/>
      <c r="AE42" s="932"/>
    </row>
    <row r="43" spans="1:31" x14ac:dyDescent="0.25">
      <c r="A43" s="61" t="s">
        <v>170</v>
      </c>
      <c r="B43" s="237"/>
      <c r="D43" s="515"/>
      <c r="E43" s="522"/>
      <c r="F43" s="448"/>
      <c r="G43" s="448"/>
      <c r="H43" s="497"/>
      <c r="I43" s="497"/>
      <c r="J43" s="497"/>
      <c r="K43" s="531"/>
      <c r="L43" s="531"/>
      <c r="M43" s="531"/>
      <c r="N43" s="531"/>
      <c r="O43" s="531"/>
      <c r="P43" s="54"/>
      <c r="Q43" s="912"/>
      <c r="R43" s="630"/>
      <c r="S43" s="448"/>
      <c r="T43" s="448"/>
      <c r="U43" s="497"/>
      <c r="V43" s="497"/>
      <c r="W43" s="497"/>
      <c r="X43" s="531"/>
      <c r="Y43" s="531"/>
      <c r="Z43" s="531"/>
      <c r="AA43" s="531"/>
      <c r="AB43" s="531"/>
      <c r="AC43" s="54"/>
      <c r="AE43" s="933"/>
    </row>
    <row r="44" spans="1:31" x14ac:dyDescent="0.25">
      <c r="A44" s="9" t="s">
        <v>181</v>
      </c>
      <c r="B44" s="9" t="s">
        <v>269</v>
      </c>
      <c r="C44" s="9" t="s">
        <v>328</v>
      </c>
      <c r="D44" s="514" t="s">
        <v>369</v>
      </c>
      <c r="E44" s="431">
        <f ca="1">INDEX(INDIRECT("ExtWTP_"&amp;$C44&amp;"_UnitValues"),MATCH(A$43, INDIRECT("ExtWTP_Comps_"&amp;C44),0),MATCH("NHH",ExtWTP_Group,0))</f>
        <v>149</v>
      </c>
      <c r="F44" s="521">
        <f ca="1">INDEX(INDIRECT("SSW_WTPCore2_"&amp;$B44&amp;"_Levels"),2,MATCH(F$4,WTPCore2_AttLevels,0))</f>
        <v>1.2500000000000001E-2</v>
      </c>
      <c r="G44" s="521">
        <f ca="1">INDEX(INDIRECT("SSW_WTPCore2_"&amp;$B44&amp;"_Levels"),2,MATCH(G$4,WTPCore2_AttLevels,0))</f>
        <v>8.3333333333333332E-3</v>
      </c>
      <c r="H44" s="581">
        <f ca="1">INDEX(INDIRECT("SSW_WTPCore2_"&amp;$B44&amp;"_LevelValues"),2,MATCH("S1 MEAN",WTPCore2_LevelValues,0))</f>
        <v>2.3562800507588295E-4</v>
      </c>
      <c r="I44" s="581">
        <f ca="1">INDEX(INDIRECT("SSW_WTPCore2_"&amp;$B44&amp;"_LevelValues"),2,MATCH("S2 MEAN",WTPCore2_LevelValues,0))</f>
        <v>4.1117889914467278E-4</v>
      </c>
      <c r="J44" s="581">
        <f ca="1">SUM(H44:I44)</f>
        <v>6.4680690422055573E-4</v>
      </c>
      <c r="K44" s="278">
        <f ca="1">E44*(F44-G44)</f>
        <v>0.62083333333333346</v>
      </c>
      <c r="L44" s="579">
        <f ca="1">INDEX(INDIRECT("SSW_WTPCore_DCE_"&amp;$B44&amp;"_UnitValues"),MATCH("COMBINED-NHH",WTPCore_Group,0),MATCH("MEAN",LMH,0))</f>
        <v>310.41834897651921</v>
      </c>
      <c r="M44" s="579">
        <f ca="1">L44*($F44-$G44)*(AllProps_SSW/NHHProps_SSW)</f>
        <v>20.589685534591201</v>
      </c>
      <c r="N44" s="117">
        <f ca="1">INDEX(INDIRECT("SSW_WTPCore2_"&amp;$B44&amp;"_UnitValues"),2,MATCH("MEAN",LMH,0))</f>
        <v>43.140724701414321</v>
      </c>
      <c r="O44" s="579">
        <f ca="1">N44*($F44-$G44)*(AllProps_SSW/NHHProps_SSW)</f>
        <v>2.8614737442717391</v>
      </c>
      <c r="P44" s="20">
        <f ca="1">K44*N$47/K$46</f>
        <v>11.563867117486883</v>
      </c>
      <c r="Q44" s="514" t="s">
        <v>369</v>
      </c>
      <c r="R44" s="534">
        <f ca="1">P44*NHHProps_SSW/((F44-G44)*AllProps_SSW)</f>
        <v>174.34149406329968</v>
      </c>
      <c r="S44" s="521">
        <f ca="1">INDEX(INDIRECT("CAM_WTPCore2_"&amp;$B44&amp;"_Levels"),2,MATCH(S$4,WTPCore2_AttLevels,0))</f>
        <v>2.5000000000000001E-2</v>
      </c>
      <c r="T44" s="521">
        <f ca="1">INDEX(INDIRECT("CAM_WTPCore2_"&amp;$B44&amp;"_Levels"),2,MATCH(T$4,WTPCore2_AttLevels,0))</f>
        <v>1.6666666666666666E-2</v>
      </c>
      <c r="U44" s="581">
        <f ca="1">INDEX(INDIRECT("CAM_WTPCore2_"&amp;$B44&amp;"_LevelValues"),2,MATCH("S1 MEAN",WTPCore2_LevelValues,0))</f>
        <v>2.654718763279678E-4</v>
      </c>
      <c r="V44" s="581">
        <f ca="1">INDEX(INDIRECT("CAM_WTPCore2_"&amp;$B44&amp;"_LevelValues"),2,MATCH("S2 MEAN",WTPCore2_LevelValues,0))</f>
        <v>1.3401602008677625E-5</v>
      </c>
      <c r="W44" s="581">
        <f ca="1">SUM(U44:V44)</f>
        <v>2.7887347833664542E-4</v>
      </c>
      <c r="X44" s="278">
        <f ca="1">E44*(S44-T44)</f>
        <v>1.2416666666666669</v>
      </c>
      <c r="Y44" s="579">
        <f ca="1">INDEX(INDIRECT("CAM_WTPCore_"&amp;$B44&amp;"_UnitValues"),MATCH("COMBINED-NHH",WTPCore_Group,0),MATCH("MEAN",LMH,0))</f>
        <v>90.78014184397162</v>
      </c>
      <c r="Z44" s="579">
        <f ca="1">Y44*(S44-T44)*(AllProps_CAM/NHHProps_CAM)</f>
        <v>10.666666666666668</v>
      </c>
      <c r="AA44" s="117">
        <f ca="1">INDEX(INDIRECT("CAM_WTPCore2_"&amp;$B44&amp;"_UnitValues"),2,MATCH("MEAN",LMH,0))</f>
        <v>12.15176348156276</v>
      </c>
      <c r="AB44" s="579">
        <f ca="1">AA44*($S44-$T44)*(AllProps_CAM/NHHProps_CAM)</f>
        <v>1.4278322090836244</v>
      </c>
      <c r="AC44" s="20">
        <f ca="1">X44*AA$47/X$46</f>
        <v>40.72434597910047</v>
      </c>
      <c r="AD44" s="341" t="str">
        <f>Q44</f>
        <v>Property affected</v>
      </c>
      <c r="AE44" s="931">
        <f ca="1">(AC44*NHHProps_CAM)/((S44-T44)*AllProps_CAM)</f>
        <v>346.59017854553588</v>
      </c>
    </row>
    <row r="45" spans="1:31" x14ac:dyDescent="0.25">
      <c r="A45" s="9" t="s">
        <v>330</v>
      </c>
      <c r="B45" s="9" t="s">
        <v>319</v>
      </c>
      <c r="C45" s="9" t="str">
        <f>B45</f>
        <v>TempBan</v>
      </c>
      <c r="D45" s="514" t="s">
        <v>369</v>
      </c>
      <c r="E45" s="431">
        <f ca="1">INDEX(INDIRECT("ExtWTP_"&amp;$C45&amp;"_UnitValues"),MATCH(A$43, INDIRECT("ExtWTP_Comps_"&amp;C45),0),MATCH("NHH",ExtWTP_Group,0))</f>
        <v>39</v>
      </c>
      <c r="F45" s="521">
        <f ca="1">INDEX(INDIRECT("SSW_WTPCore2_"&amp;$B45&amp;"_Levels"),2,MATCH(F$4,WTPCore2_AttLevels,0))</f>
        <v>2.5000000000000001E-2</v>
      </c>
      <c r="G45" s="521">
        <f ca="1">INDEX(INDIRECT("SSW_WTPCore2_"&amp;$B45&amp;"_Levels"),2,MATCH(G$4,WTPCore2_AttLevels,0))</f>
        <v>1.6666666666666666E-2</v>
      </c>
      <c r="H45" s="581">
        <f ca="1">INDEX(INDIRECT("SSW_WTPCore2_"&amp;$B45&amp;"_LevelValues"),2,MATCH("S1 MEAN",WTPCore2_LevelValues,0))</f>
        <v>1.0363458862342743E-3</v>
      </c>
      <c r="I45" s="581">
        <f ca="1">INDEX(INDIRECT("SSW_WTPCore2_"&amp;$B45&amp;"_LevelValues"),2,MATCH("S2 MEAN",WTPCore2_LevelValues,0))</f>
        <v>6.2724159084084235E-4</v>
      </c>
      <c r="J45" s="581">
        <f ca="1">SUM(H45:I45)</f>
        <v>1.6635874770751166E-3</v>
      </c>
      <c r="K45" s="278">
        <f ca="1">E45*(F45-G45)</f>
        <v>0.32500000000000007</v>
      </c>
      <c r="L45" s="820">
        <f ca="1">INDEX(INDIRECT("SSW_WTPCore_DCE_"&amp;$C45&amp;"_UnitValues"),MATCH("COMBINED-NHH",WTPCore_Group,0),MATCH("MEAN",LMH,0))</f>
        <v>196425.59999999998</v>
      </c>
      <c r="M45" s="579">
        <f ca="1">L45*(F45-G45)/NHHProps_SSW*100</f>
        <v>4.4240000000000004</v>
      </c>
      <c r="N45" s="343">
        <f ca="1">INDEX(INDIRECT("SSW_WTPCore2_"&amp;$C45&amp;"_UnitValues"),2,MATCH("MEAN",LMH,0))</f>
        <v>326771.16833696596</v>
      </c>
      <c r="O45" s="579">
        <f ca="1">N45*(F45-G45)/NHHProps_SSW*100</f>
        <v>7.3597109985803151</v>
      </c>
      <c r="P45" s="20">
        <f ca="1">K45*N$47/K$46</f>
        <v>6.053568021234744</v>
      </c>
      <c r="Q45" s="643" t="s">
        <v>422</v>
      </c>
      <c r="R45" s="534">
        <f ca="1">P45*NHHProps_SSW/((F45-G45)*100)</f>
        <v>268778.42014282261</v>
      </c>
      <c r="S45" s="828">
        <f ca="1">INDEX(INDIRECT("CAM_WTPCore2_"&amp;$B45&amp;"_Levels"),2,MATCH(S$4,WTPCore2_AttLevels,0))</f>
        <v>0.02</v>
      </c>
      <c r="T45" s="828">
        <f ca="1">INDEX(INDIRECT("CAM_WTPCore2_"&amp;$B45&amp;"_Levels"),2,MATCH(T$4,WTPCore2_AttLevels,0))</f>
        <v>1.3333333333333334E-2</v>
      </c>
      <c r="U45" s="435">
        <f ca="1">INDEX(INDIRECT("CAM_WTPCore2_"&amp;$B45&amp;"_LevelValues"),2,MATCH("S1 MEAN",WTPCore2_LevelValues,0))</f>
        <v>1.3694025744847137E-3</v>
      </c>
      <c r="V45" s="435">
        <f ca="1">INDEX(INDIRECT("CAM_WTPCore2_"&amp;$B45&amp;"_LevelValues"),2,MATCH("S2 MEAN",WTPCore2_LevelValues,0))</f>
        <v>1.1073984405910726E-3</v>
      </c>
      <c r="W45" s="435">
        <f t="shared" ref="W45" ca="1" si="21">SUM(U45:V45)</f>
        <v>2.4768010150757864E-3</v>
      </c>
      <c r="X45" s="302">
        <f ca="1">E45*(S45-T45)</f>
        <v>0.26</v>
      </c>
      <c r="Y45" s="117">
        <f ca="1">INDEX(INDIRECT("CAM_WTPCore_"&amp;$C45&amp;"_UnitValues"),MATCH("COMBINED-NHH",WTPCore_Group,0),MATCH("MEAN",LMH,0))</f>
        <v>1105919.9999999998</v>
      </c>
      <c r="Z45" s="117">
        <f ca="1">Y45*(S45-T45)/NHHProps_CAM*100</f>
        <v>73.72799999999998</v>
      </c>
      <c r="AA45" s="117">
        <f ca="1">INDEX(INDIRECT("CAM_WTPCore2_"&amp;$B45&amp;"_UnitValues"),2,MATCH("MEAN",LMH,0))</f>
        <v>190218.3179578204</v>
      </c>
      <c r="AB45" s="117">
        <f ca="1">AA45*(S45-T45)/NHHProps_CAM*100</f>
        <v>12.681221197188028</v>
      </c>
      <c r="AC45" s="436">
        <f ca="1">X45*AA$47/X$46</f>
        <v>8.5275140573686876</v>
      </c>
      <c r="AD45" s="341" t="str">
        <f>Q45</f>
        <v>1% change in risk</v>
      </c>
      <c r="AE45" s="931">
        <f ca="1">(AC45*NHHProps_CAM)/((S45-T45)*100)</f>
        <v>127912.71086053032</v>
      </c>
    </row>
    <row r="46" spans="1:31" x14ac:dyDescent="0.25">
      <c r="D46" s="514"/>
      <c r="E46" s="431"/>
      <c r="F46" s="20"/>
      <c r="G46" s="20"/>
      <c r="H46" s="20"/>
      <c r="I46" s="20"/>
      <c r="J46" s="445">
        <f ca="1">SUM(J44:J45)*AvgNHHBill_SSW</f>
        <v>10.221184742852055</v>
      </c>
      <c r="K46" s="446">
        <f ca="1">SUM(K44:K45)</f>
        <v>0.94583333333333353</v>
      </c>
      <c r="L46" s="446"/>
      <c r="M46" s="446">
        <f ca="1">SUM(M44:M45)</f>
        <v>25.0136855345912</v>
      </c>
      <c r="N46" s="446"/>
      <c r="O46" s="446">
        <f ca="1">SUM(O44:O45)</f>
        <v>10.221184742852055</v>
      </c>
      <c r="P46" s="445">
        <f ca="1">SUM(P44:P45)</f>
        <v>17.617435138721625</v>
      </c>
      <c r="Q46" s="265"/>
      <c r="R46" s="834"/>
      <c r="S46" s="436"/>
      <c r="T46" s="436"/>
      <c r="U46" s="436"/>
      <c r="V46" s="436"/>
      <c r="W46" s="445">
        <f ca="1">SUM(W44:W45)*AvgNHHBill_CAM</f>
        <v>14.10905340627165</v>
      </c>
      <c r="X46" s="446">
        <f ca="1">SUM(X44:X45)</f>
        <v>1.5016666666666669</v>
      </c>
      <c r="Y46" s="446"/>
      <c r="Z46" s="446">
        <f ca="1">SUM(Z44:Z45)</f>
        <v>84.394666666666652</v>
      </c>
      <c r="AA46" s="446"/>
      <c r="AB46" s="289">
        <f ca="1">SUM(AB44:AB45)</f>
        <v>14.109053406271652</v>
      </c>
      <c r="AC46" s="445">
        <f ca="1">SUM(AC44:AC45)</f>
        <v>49.251860036469154</v>
      </c>
      <c r="AE46" s="931"/>
    </row>
    <row r="47" spans="1:31" x14ac:dyDescent="0.25">
      <c r="A47" s="60"/>
      <c r="B47" s="60"/>
      <c r="C47" s="60"/>
      <c r="D47" s="516"/>
      <c r="E47" s="523"/>
      <c r="F47" s="524"/>
      <c r="G47" s="524"/>
      <c r="H47" s="524"/>
      <c r="I47" s="524"/>
      <c r="J47" s="524"/>
      <c r="K47" s="31"/>
      <c r="L47" s="31"/>
      <c r="M47" s="45" t="s">
        <v>997</v>
      </c>
      <c r="N47" s="737">
        <f ca="1">AVERAGE(M46,O46)</f>
        <v>17.617435138721628</v>
      </c>
      <c r="O47" s="45"/>
      <c r="P47" s="15"/>
      <c r="Q47" s="60"/>
      <c r="R47" s="629"/>
      <c r="S47" s="553"/>
      <c r="T47" s="553"/>
      <c r="U47" s="553"/>
      <c r="V47" s="553"/>
      <c r="W47" s="553"/>
      <c r="X47" s="829"/>
      <c r="Y47" s="829"/>
      <c r="Z47" s="830" t="s">
        <v>997</v>
      </c>
      <c r="AA47" s="737">
        <f ca="1">AVERAGE(Z46,AB46)</f>
        <v>49.251860036469154</v>
      </c>
      <c r="AB47" s="830"/>
      <c r="AC47" s="177"/>
      <c r="AD47" s="60"/>
      <c r="AE47" s="932"/>
    </row>
    <row r="48" spans="1:31" x14ac:dyDescent="0.25">
      <c r="A48" s="61" t="s">
        <v>179</v>
      </c>
      <c r="B48" s="237"/>
      <c r="D48" s="515"/>
      <c r="E48" s="522"/>
      <c r="F48" s="448"/>
      <c r="G48" s="448"/>
      <c r="H48" s="497"/>
      <c r="I48" s="497"/>
      <c r="J48" s="497"/>
      <c r="K48" s="531"/>
      <c r="L48" s="531"/>
      <c r="M48" s="531"/>
      <c r="N48" s="531"/>
      <c r="O48" s="531"/>
      <c r="P48" s="54"/>
      <c r="Q48" s="912"/>
      <c r="R48" s="630"/>
      <c r="S48" s="448"/>
      <c r="T48" s="448"/>
      <c r="U48" s="497"/>
      <c r="V48" s="497"/>
      <c r="W48" s="497"/>
      <c r="X48" s="531"/>
      <c r="Y48" s="531"/>
      <c r="Z48" s="531"/>
      <c r="AA48" s="531"/>
      <c r="AB48" s="531"/>
      <c r="AC48" s="54"/>
      <c r="AE48" s="933"/>
    </row>
    <row r="49" spans="1:31" x14ac:dyDescent="0.25">
      <c r="A49" s="9" t="s">
        <v>181</v>
      </c>
      <c r="B49" s="9" t="s">
        <v>269</v>
      </c>
      <c r="C49" s="9" t="s">
        <v>328</v>
      </c>
      <c r="D49" s="514" t="s">
        <v>369</v>
      </c>
      <c r="E49" s="431">
        <f ca="1">INDEX(INDIRECT("ExtWTP_"&amp;$C49&amp;"_UnitValues"),MATCH(A$48, INDIRECT("ExtWTP_Comps_"&amp;C49),0),MATCH("NHH",ExtWTP_Group,0))</f>
        <v>339</v>
      </c>
      <c r="F49" s="521">
        <f ca="1">INDEX(INDIRECT("SSW_WTPCore2_"&amp;$B49&amp;"_Levels"),2,MATCH(F$4,WTPCore2_AttLevels,0))</f>
        <v>1.2500000000000001E-2</v>
      </c>
      <c r="G49" s="521">
        <f ca="1">INDEX(INDIRECT("SSW_WTPCore2_"&amp;$B49&amp;"_Levels"),2,MATCH(G$4,WTPCore2_AttLevels,0))</f>
        <v>8.3333333333333332E-3</v>
      </c>
      <c r="H49" s="581">
        <f ca="1">INDEX(INDIRECT("SSW_WTPCore2_"&amp;$B49&amp;"_LevelValues"),2,MATCH("S1 MEAN",WTPCore2_LevelValues,0))</f>
        <v>2.3562800507588295E-4</v>
      </c>
      <c r="I49" s="581">
        <f ca="1">INDEX(INDIRECT("SSW_WTPCore2_"&amp;$B49&amp;"_LevelValues"),2,MATCH("S2 MEAN",WTPCore2_LevelValues,0))</f>
        <v>4.1117889914467278E-4</v>
      </c>
      <c r="J49" s="581">
        <f ca="1">SUM(H49:I49)</f>
        <v>6.4680690422055573E-4</v>
      </c>
      <c r="K49" s="278">
        <f ca="1">E49*(F49-G49)</f>
        <v>1.4125000000000003</v>
      </c>
      <c r="L49" s="579">
        <f ca="1">INDEX(INDIRECT("SSW_WTPCore_DCE_"&amp;$B49&amp;"_UnitValues"),MATCH("COMBINED-NHH",WTPCore_Group,0),MATCH("MEAN",LMH,0))</f>
        <v>310.41834897651921</v>
      </c>
      <c r="M49" s="579">
        <f ca="1">L49*($F49-$G49)*(AllProps_SSW/NHHProps_SSW)</f>
        <v>20.589685534591201</v>
      </c>
      <c r="N49" s="117">
        <f ca="1">INDEX(INDIRECT("SSW_WTPCore2_"&amp;$B49&amp;"_UnitValues"),2,MATCH("MEAN",LMH,0))</f>
        <v>43.140724701414321</v>
      </c>
      <c r="O49" s="579">
        <f ca="1">N49*($F49-$G49)*(AllProps_SSW/NHHProps_SSW)</f>
        <v>2.8614737442717391</v>
      </c>
      <c r="P49" s="20">
        <f ca="1">K49*N$52/K$51</f>
        <v>5.7489724973542176</v>
      </c>
      <c r="Q49" s="514" t="s">
        <v>369</v>
      </c>
      <c r="R49" s="534">
        <f ca="1">P49*NHHProps_SSW/((F49-G49)*AllProps_SSW)</f>
        <v>86.67381286333692</v>
      </c>
      <c r="S49" s="521">
        <f ca="1">INDEX(INDIRECT("CAM_WTPCore2_"&amp;$B49&amp;"_Levels"),2,MATCH(S$4,WTPCore2_AttLevels,0))</f>
        <v>2.5000000000000001E-2</v>
      </c>
      <c r="T49" s="521">
        <f ca="1">INDEX(INDIRECT("CAM_WTPCore2_"&amp;$B49&amp;"_Levels"),2,MATCH(T$4,WTPCore2_AttLevels,0))</f>
        <v>1.6666666666666666E-2</v>
      </c>
      <c r="U49" s="581">
        <f ca="1">INDEX(INDIRECT("CAM_WTPCore2_"&amp;$B49&amp;"_LevelValues"),2,MATCH("S1 MEAN",WTPCore2_LevelValues,0))</f>
        <v>2.654718763279678E-4</v>
      </c>
      <c r="V49" s="581">
        <f ca="1">INDEX(INDIRECT("CAM_WTPCore2_"&amp;$B49&amp;"_LevelValues"),2,MATCH("S2 MEAN",WTPCore2_LevelValues,0))</f>
        <v>1.3401602008677625E-5</v>
      </c>
      <c r="W49" s="581">
        <f ca="1">SUM(U49:V49)</f>
        <v>2.7887347833664542E-4</v>
      </c>
      <c r="X49" s="278">
        <f ca="1">E49*(S49-T49)</f>
        <v>2.8250000000000006</v>
      </c>
      <c r="Y49" s="579">
        <f ca="1">INDEX(INDIRECT("CAM_WTPCore_"&amp;$B49&amp;"_UnitValues"),MATCH("COMBINED-NHH",WTPCore_Group,0),MATCH("MEAN",LMH,0))</f>
        <v>90.78014184397162</v>
      </c>
      <c r="Z49" s="579">
        <f ca="1">Y49*(S49-T49)*(AllProps_CAM/NHHProps_CAM)</f>
        <v>10.666666666666668</v>
      </c>
      <c r="AA49" s="117">
        <f ca="1">INDEX(INDIRECT("CAM_WTPCore2_"&amp;$B49&amp;"_UnitValues"),2,MATCH("MEAN",LMH,0))</f>
        <v>12.15176348156276</v>
      </c>
      <c r="AB49" s="579">
        <f ca="1">AA49*($S49-$T49)*(AllProps_CAM/NHHProps_CAM)</f>
        <v>1.4278322090836244</v>
      </c>
      <c r="AC49" s="20">
        <f ca="1">X49*AA$52/X$51</f>
        <v>10.658413108859497</v>
      </c>
      <c r="AD49" s="341" t="str">
        <f>Q49</f>
        <v>Property affected</v>
      </c>
      <c r="AE49" s="931">
        <f ca="1">(AC49*NHHProps_CAM)/((S49-T49)*AllProps_CAM)</f>
        <v>90.709898798804204</v>
      </c>
    </row>
    <row r="50" spans="1:31" x14ac:dyDescent="0.25">
      <c r="A50" s="9" t="s">
        <v>185</v>
      </c>
      <c r="B50" s="9" t="s">
        <v>270</v>
      </c>
      <c r="C50" s="9" t="str">
        <f>B50</f>
        <v>LowPressure</v>
      </c>
      <c r="D50" s="514" t="s">
        <v>369</v>
      </c>
      <c r="E50" s="431">
        <f ca="1">INDEX(INDIRECT("ExtWTP_"&amp;$C50&amp;"_UnitValues"),MATCH(A$48, INDIRECT("ExtWTP_Comps_"&amp;C50),0),MATCH("NHH",ExtWTP_Group,0))</f>
        <v>127</v>
      </c>
      <c r="F50" s="521">
        <f ca="1">INDEX(INDIRECT("SSW_WTPCore2_"&amp;$B50&amp;"_Levels"),2,MATCH(F$4,WTPCore2_AttLevels,0))</f>
        <v>0.1</v>
      </c>
      <c r="G50" s="521">
        <f ca="1">INDEX(INDIRECT("SSW_WTPCore2_"&amp;$B50&amp;"_Levels"),2,MATCH(G$4,WTPCore2_AttLevels,0))</f>
        <v>6.6666666666666666E-2</v>
      </c>
      <c r="H50" s="581">
        <f ca="1">INDEX(INDIRECT("SSW_WTPCore2_"&amp;$B50&amp;"_LevelValues"),2,MATCH("S1 MEAN",WTPCore2_LevelValues,0))</f>
        <v>6.9813125314618224E-5</v>
      </c>
      <c r="I50" s="581">
        <f ca="1">INDEX(INDIRECT("SSW_WTPCore2_"&amp;$B50&amp;"_LevelValues"),2,MATCH("S2 MEAN",WTPCore2_LevelValues,0))</f>
        <v>4.2539865887973236E-4</v>
      </c>
      <c r="J50" s="581">
        <f ca="1">SUM(H50:I50)</f>
        <v>4.9521178419435058E-4</v>
      </c>
      <c r="K50" s="278">
        <f ca="1">E50*(F50-G50)</f>
        <v>4.2333333333333343</v>
      </c>
      <c r="L50" s="579">
        <f ca="1">INDEX(INDIRECT("SSW_WTPCore_DCE_"&amp;$C50&amp;"_UnitValues"),MATCH("COMBINED-NHH",WTPCore_Group,0),MATCH("MEAN",LMH,0))</f>
        <v>38.286305674962968</v>
      </c>
      <c r="M50" s="579">
        <f ca="1">L50*($F50-$G50)*(AllProps_SSW/NHHProps_SSW)</f>
        <v>20.315886524822695</v>
      </c>
      <c r="N50" s="117">
        <f ca="1">INDEX(INDIRECT("SSW_WTPCore2_"&amp;$C50&amp;"_UnitValues"),2,MATCH("MEAN",LMH,0))</f>
        <v>4.12870423758259</v>
      </c>
      <c r="O50" s="579">
        <f ca="1">N50*($F50-$G50)*(AllProps_SSW/NHHProps_SSW)</f>
        <v>2.1908169332758072</v>
      </c>
      <c r="P50" s="20">
        <f ca="1">K50*N$52/K$51</f>
        <v>17.229958871126506</v>
      </c>
      <c r="Q50" s="514" t="s">
        <v>369</v>
      </c>
      <c r="R50" s="534">
        <f ca="1">P50*NHHProps_SSW/((F50-G50)*AllProps_SSW)</f>
        <v>32.470720453226519</v>
      </c>
      <c r="S50" s="521">
        <f ca="1">INDEX(INDIRECT("CAM_WTPCore2_"&amp;$B50&amp;"_Levels"),2,MATCH(S$4,WTPCore2_AttLevels,0))</f>
        <v>9.0909090909090912E-2</v>
      </c>
      <c r="T50" s="521">
        <f ca="1">INDEX(INDIRECT("CAM_WTPCore2_"&amp;$B50&amp;"_Levels"),2,MATCH(T$4,WTPCore2_AttLevels,0))</f>
        <v>6.6666666666666666E-2</v>
      </c>
      <c r="U50" s="581">
        <f ca="1">INDEX(INDIRECT("CAM_WTPCore2_"&amp;$B50&amp;"_LevelValues"),2,MATCH("S1 MEAN",WTPCore2_LevelValues,0))</f>
        <v>4.8585541264324922E-5</v>
      </c>
      <c r="V50" s="581">
        <f ca="1">INDEX(INDIRECT("CAM_WTPCore2_"&amp;$B50&amp;"_LevelValues"),2,MATCH("S2 MEAN",WTPCore2_LevelValues,0))</f>
        <v>4.7427328754792901E-3</v>
      </c>
      <c r="W50" s="581">
        <f ca="1">SUM(U50:V50)</f>
        <v>4.7913184167436155E-3</v>
      </c>
      <c r="X50" s="278">
        <f ca="1">E50*(S50-T50)</f>
        <v>3.0787878787878791</v>
      </c>
      <c r="Y50" s="579">
        <f ca="1">INDEX(INDIRECT("CAM_WTPCore_"&amp;$C50&amp;"_UnitValues"),MATCH("COMBINED-NHH",WTPCore_Group,0),MATCH("MEAN",LMH,0))</f>
        <v>23.177908555907649</v>
      </c>
      <c r="Z50" s="579">
        <f ca="1">Y50*(S50-T50)*(AllProps_CAM/NHHProps_CAM)</f>
        <v>7.9226305609284342</v>
      </c>
      <c r="AA50" s="117">
        <f ca="1">INDEX(INDIRECT("CAM_WTPCore2_"&amp;$B50&amp;"_UnitValues"),2,MATCH("MEAN",LMH,0))</f>
        <v>71.767833306117126</v>
      </c>
      <c r="AB50" s="579">
        <f ca="1">AA50*($S50-$T50)*(AllProps_CAM/NHHProps_CAM)</f>
        <v>24.53155029372731</v>
      </c>
      <c r="AC50" s="20">
        <f ca="1">X50*AA$52/X$51</f>
        <v>11.615926756343523</v>
      </c>
      <c r="AD50" s="341" t="str">
        <f>Q50</f>
        <v>Property affected</v>
      </c>
      <c r="AE50" s="931">
        <f ca="1">(AC50*NHHProps_CAM)/((S50-T50)*AllProps_CAM)</f>
        <v>33.98276444674967</v>
      </c>
    </row>
    <row r="51" spans="1:31" x14ac:dyDescent="0.25">
      <c r="D51" s="514"/>
      <c r="E51" s="431"/>
      <c r="F51" s="521"/>
      <c r="G51" s="521"/>
      <c r="H51" s="20"/>
      <c r="I51" s="20"/>
      <c r="J51" s="445">
        <f ca="1">SUM(J49:J50)*AvgNHHBill_SSW</f>
        <v>5.0522906775475454</v>
      </c>
      <c r="K51" s="446">
        <f ca="1">SUM(K49:K50)</f>
        <v>5.6458333333333348</v>
      </c>
      <c r="L51" s="446"/>
      <c r="M51" s="446">
        <f ca="1">SUM(M49:M50)</f>
        <v>40.905572059413899</v>
      </c>
      <c r="N51" s="446"/>
      <c r="O51" s="446">
        <f ca="1">SUM(O49:O50)</f>
        <v>5.0522906775475462</v>
      </c>
      <c r="P51" s="445">
        <f ca="1">SUM(P49:P50)</f>
        <v>22.978931368480723</v>
      </c>
      <c r="Q51" s="37"/>
      <c r="R51" s="927"/>
      <c r="S51" s="521"/>
      <c r="T51" s="521"/>
      <c r="U51" s="20"/>
      <c r="V51" s="20"/>
      <c r="W51" s="827">
        <f ca="1">SUM(W49:W50)*AvgNHHBill_CAM</f>
        <v>25.959382502810936</v>
      </c>
      <c r="X51" s="446">
        <f ca="1">SUM(X49:X50)</f>
        <v>5.9037878787878793</v>
      </c>
      <c r="Y51" s="446"/>
      <c r="Z51" s="446">
        <f ca="1">SUM(Z49:Z50)</f>
        <v>18.589297227595104</v>
      </c>
      <c r="AA51" s="446"/>
      <c r="AB51" s="446">
        <f ca="1">SUM(AB49:AB50)</f>
        <v>25.959382502810936</v>
      </c>
      <c r="AC51" s="445">
        <f ca="1">SUM(AC49:AC50)</f>
        <v>22.274339865203018</v>
      </c>
      <c r="AE51" s="931"/>
    </row>
    <row r="52" spans="1:31" x14ac:dyDescent="0.25">
      <c r="A52" s="60"/>
      <c r="B52" s="60"/>
      <c r="C52" s="60"/>
      <c r="D52" s="516"/>
      <c r="E52" s="523"/>
      <c r="F52" s="524"/>
      <c r="G52" s="524"/>
      <c r="H52" s="524"/>
      <c r="I52" s="524"/>
      <c r="J52" s="524"/>
      <c r="K52" s="31"/>
      <c r="L52" s="31"/>
      <c r="M52" s="45" t="s">
        <v>997</v>
      </c>
      <c r="N52" s="737">
        <f ca="1">AVERAGE(M51,O51)</f>
        <v>22.978931368480723</v>
      </c>
      <c r="O52" s="45"/>
      <c r="P52" s="554"/>
      <c r="Q52" s="60"/>
      <c r="R52" s="629"/>
      <c r="S52" s="524"/>
      <c r="T52" s="524"/>
      <c r="U52" s="524"/>
      <c r="V52" s="524"/>
      <c r="W52" s="524"/>
      <c r="X52" s="31"/>
      <c r="Y52" s="31"/>
      <c r="Z52" s="45" t="s">
        <v>997</v>
      </c>
      <c r="AA52" s="737">
        <f ca="1">AVERAGE(Z51,AB51)</f>
        <v>22.274339865203018</v>
      </c>
      <c r="AB52" s="45"/>
      <c r="AC52" s="554"/>
      <c r="AD52" s="60"/>
      <c r="AE52" s="932"/>
    </row>
    <row r="53" spans="1:31" x14ac:dyDescent="0.25">
      <c r="A53" s="61" t="s">
        <v>174</v>
      </c>
      <c r="B53" s="237"/>
      <c r="D53" s="515"/>
      <c r="E53" s="522"/>
      <c r="F53" s="448"/>
      <c r="G53" s="448"/>
      <c r="H53" s="497"/>
      <c r="I53" s="497"/>
      <c r="J53" s="497"/>
      <c r="K53" s="531"/>
      <c r="L53" s="531"/>
      <c r="M53" s="531"/>
      <c r="N53" s="531"/>
      <c r="O53" s="531"/>
      <c r="P53" s="10"/>
      <c r="Q53" s="912"/>
      <c r="R53" s="630"/>
      <c r="S53" s="448"/>
      <c r="T53" s="448"/>
      <c r="U53" s="497"/>
      <c r="V53" s="497"/>
      <c r="W53" s="497"/>
      <c r="X53" s="531"/>
      <c r="Y53" s="531"/>
      <c r="Z53" s="531"/>
      <c r="AA53" s="531"/>
      <c r="AB53" s="531"/>
      <c r="AC53" s="10"/>
      <c r="AE53" s="933"/>
    </row>
    <row r="54" spans="1:31" x14ac:dyDescent="0.25">
      <c r="A54" s="9" t="s">
        <v>25</v>
      </c>
      <c r="B54" s="9" t="s">
        <v>266</v>
      </c>
      <c r="C54" s="9" t="str">
        <f>B54</f>
        <v>Discolour</v>
      </c>
      <c r="D54" s="514" t="s">
        <v>369</v>
      </c>
      <c r="E54" s="431">
        <f ca="1">INDEX(INDIRECT("ExtWTP_"&amp;$C54&amp;"_UnitValues"),MATCH(A$53, INDIRECT("ExtWTP_Comps_"&amp;C54),0),MATCH("NHH",ExtWTP_Group,0))</f>
        <v>2550</v>
      </c>
      <c r="F54" s="521">
        <f t="shared" ref="F54:G57" ca="1" si="22">INDEX(INDIRECT("SSW_WTPCore2_"&amp;$B54&amp;"_Levels"),2,MATCH(F$4,WTPCore2_AttLevels,0))</f>
        <v>6.6666666666666666E-2</v>
      </c>
      <c r="G54" s="521">
        <f t="shared" ca="1" si="22"/>
        <v>0.04</v>
      </c>
      <c r="H54" s="581">
        <f ca="1">INDEX(INDIRECT("SSW_WTPCore2_"&amp;$B54&amp;"_LevelValues"),2,MATCH("S1 MEAN",WTPCore2_LevelValues,0))</f>
        <v>1.9376915692789636E-2</v>
      </c>
      <c r="I54" s="581">
        <f ca="1">INDEX(INDIRECT("SSW_WTPCore2_"&amp;$B54&amp;"_LevelValues"),2,MATCH("S2 MEAN",WTPCore2_LevelValues,0))</f>
        <v>4.9841954334050795E-4</v>
      </c>
      <c r="J54" s="581">
        <f ca="1">SUM(H54:I54)</f>
        <v>1.9875335236130144E-2</v>
      </c>
      <c r="K54" s="278">
        <f ca="1">E54*(F54-G54)</f>
        <v>68</v>
      </c>
      <c r="L54" s="579">
        <f ca="1">INDEX(INDIRECT("SSW_WTPCore_DCE_"&amp;$C54&amp;"_UnitValues"),MATCH("COMBINED-NHH",WTPCore_Group,0),MATCH("MEAN",LMH,0))</f>
        <v>44.321585387272407</v>
      </c>
      <c r="M54" s="579">
        <f ca="1">L54*(F54-G54)*(AllProps_SSW/NHHProps_SSW)</f>
        <v>18.81471264367816</v>
      </c>
      <c r="N54" s="117">
        <f ca="1">INDEX(INDIRECT("SSW_WTPCore2_"&amp;$C54&amp;"_UnitValues"),2,MATCH("MEAN",LMH,0))</f>
        <v>207.13203782671931</v>
      </c>
      <c r="O54" s="579">
        <f ca="1">N54*($F54-$G54)*(AllProps_SSW/NHHProps_SSW)</f>
        <v>87.928483084639765</v>
      </c>
      <c r="P54" s="20">
        <f ca="1">K54*N$59/K$58</f>
        <v>69.752102361190339</v>
      </c>
      <c r="Q54" s="514" t="s">
        <v>369</v>
      </c>
      <c r="R54" s="534">
        <f ca="1">P54*NHHProps_SSW/((F54-G54)*AllProps_SSW)</f>
        <v>164.31416303251544</v>
      </c>
      <c r="S54" s="521">
        <f t="shared" ref="S54:T57" ca="1" si="23">INDEX(INDIRECT("CAM_WTPCore2_"&amp;$B54&amp;"_Levels"),2,MATCH(S$4,WTPCore2_AttLevels,0))</f>
        <v>2.2222222222222223E-2</v>
      </c>
      <c r="T54" s="521">
        <f t="shared" ca="1" si="23"/>
        <v>1.5384615384615385E-2</v>
      </c>
      <c r="U54" s="581">
        <f ca="1">INDEX(INDIRECT("CAM_WTPCore2_"&amp;$B54&amp;"_LevelValues"),2,MATCH("S1 MEAN",WTPCore2_LevelValues,0))</f>
        <v>5.6414013673365619E-2</v>
      </c>
      <c r="V54" s="581">
        <f ca="1">INDEX(INDIRECT("CAM_WTPCore2_"&amp;$B54&amp;"_LevelValues"),2,MATCH("S2 MEAN",WTPCore2_LevelValues,0))</f>
        <v>1.4754621463399648E-4</v>
      </c>
      <c r="W54" s="581">
        <f ca="1">SUM(U54:V54)</f>
        <v>5.6561559887999616E-2</v>
      </c>
      <c r="X54" s="278">
        <f ca="1">E54*(S54-T54)</f>
        <v>17.435897435897434</v>
      </c>
      <c r="Y54" s="579">
        <f ca="1">INDEX(INDIRECT("CAM_WTPCore_"&amp;$C54&amp;"_UnitValues"),MATCH("COMBINED-NHH",WTPCore_Group,0),MATCH("MEAN",LMH,0))</f>
        <v>290.49645390070918</v>
      </c>
      <c r="Z54" s="579">
        <f ca="1">Y54*(S54-T54)*(AllProps_CAM/NHHProps_CAM)</f>
        <v>28.006837606837603</v>
      </c>
      <c r="AA54" s="117">
        <f ca="1">INDEX(INDIRECT("CAM_WTPCore2_"&amp;$B54&amp;"_UnitValues"),2,MATCH("MEAN",LMH,0))</f>
        <v>3003.7798612861075</v>
      </c>
      <c r="AB54" s="579">
        <f ca="1">AA54*($S54-$T54)*(AllProps_CAM/NHHProps_CAM)</f>
        <v>289.59518662655802</v>
      </c>
      <c r="AC54" s="20">
        <f ca="1">X54*AA$59/X$58</f>
        <v>145.30144166486383</v>
      </c>
      <c r="AD54" s="341" t="str">
        <f>Q54</f>
        <v>Property affected</v>
      </c>
      <c r="AE54" s="931">
        <f ca="1">(AC54*NHHProps_CAM)/((S54-T54)*AllProps_CAM)</f>
        <v>1507.1160172685343</v>
      </c>
    </row>
    <row r="55" spans="1:31" x14ac:dyDescent="0.25">
      <c r="A55" s="9" t="s">
        <v>182</v>
      </c>
      <c r="B55" s="9" t="s">
        <v>269</v>
      </c>
      <c r="C55" s="9" t="s">
        <v>326</v>
      </c>
      <c r="D55" s="514" t="s">
        <v>369</v>
      </c>
      <c r="E55" s="431">
        <f ca="1">INDEX(INDIRECT("ExtWTP_"&amp;$C55&amp;"_UnitValues"),MATCH(A$53, INDIRECT("ExtWTP_Comps_"&amp;C55),0),MATCH("NHH",ExtWTP_Group,0))</f>
        <v>410</v>
      </c>
      <c r="F55" s="521">
        <f t="shared" ca="1" si="22"/>
        <v>1.2500000000000001E-2</v>
      </c>
      <c r="G55" s="521">
        <f t="shared" ca="1" si="22"/>
        <v>8.3333333333333332E-3</v>
      </c>
      <c r="H55" s="581">
        <f ca="1">INDEX(INDIRECT("SSW_WTPCore2_"&amp;$B55&amp;"_LevelValues"),2,MATCH("S1 MEAN",WTPCore2_LevelValues,0))</f>
        <v>2.3562800507588295E-4</v>
      </c>
      <c r="I55" s="581">
        <f ca="1">INDEX(INDIRECT("SSW_WTPCore2_"&amp;$B55&amp;"_LevelValues"),2,MATCH("S2 MEAN",WTPCore2_LevelValues,0))</f>
        <v>4.1117889914467278E-4</v>
      </c>
      <c r="J55" s="581">
        <f ca="1">SUM(H55:I55)</f>
        <v>6.4680690422055573E-4</v>
      </c>
      <c r="K55" s="278">
        <f ca="1">E55*(F55-G55)</f>
        <v>1.7083333333333337</v>
      </c>
      <c r="L55" s="579">
        <f ca="1">INDEX(INDIRECT("SSW_WTPCore_DCE_"&amp;$B55&amp;"_UnitValues"),MATCH("COMBINED-NHH",WTPCore_Group,0),MATCH("MEAN",LMH,0))</f>
        <v>310.41834897651921</v>
      </c>
      <c r="M55" s="579">
        <f ca="1">L55*(F55-G55)*(AllProps_SSW/NHHProps_SSW)</f>
        <v>20.589685534591201</v>
      </c>
      <c r="N55" s="117">
        <f ca="1">INDEX(INDIRECT("SSW_WTPCore2_"&amp;$B55&amp;"_UnitValues"),2,MATCH("MEAN",LMH,0))</f>
        <v>43.140724701414321</v>
      </c>
      <c r="O55" s="579">
        <f ca="1">N55*($F55-$G55)*(AllProps_SSW/NHHProps_SSW)</f>
        <v>2.8614737442717391</v>
      </c>
      <c r="P55" s="20">
        <f t="shared" ref="P55:P57" ca="1" si="24">K55*N$59/K$58</f>
        <v>1.7523506107897091</v>
      </c>
      <c r="Q55" s="514" t="s">
        <v>369</v>
      </c>
      <c r="R55" s="534">
        <f ca="1">P55*NHHProps_SSW/((F55-G55)*AllProps_SSW)</f>
        <v>26.419139938561315</v>
      </c>
      <c r="S55" s="521">
        <f t="shared" ca="1" si="23"/>
        <v>2.5000000000000001E-2</v>
      </c>
      <c r="T55" s="521">
        <f t="shared" ca="1" si="23"/>
        <v>1.6666666666666666E-2</v>
      </c>
      <c r="U55" s="581">
        <f ca="1">INDEX(INDIRECT("CAM_WTPCore2_"&amp;$B55&amp;"_LevelValues"),2,MATCH("S1 MEAN",WTPCore2_LevelValues,0))</f>
        <v>2.654718763279678E-4</v>
      </c>
      <c r="V55" s="581">
        <f ca="1">INDEX(INDIRECT("CAM_WTPCore2_"&amp;$B55&amp;"_LevelValues"),2,MATCH("S2 MEAN",WTPCore2_LevelValues,0))</f>
        <v>1.3401602008677625E-5</v>
      </c>
      <c r="W55" s="581">
        <f t="shared" ref="W55:W57" ca="1" si="25">SUM(U55:V55)</f>
        <v>2.7887347833664542E-4</v>
      </c>
      <c r="X55" s="278">
        <f t="shared" ref="X55:X57" ca="1" si="26">E55*(S55-T55)</f>
        <v>3.4166666666666674</v>
      </c>
      <c r="Y55" s="579">
        <f ca="1">INDEX(INDIRECT("CAM_WTPCore_"&amp;$B55&amp;"_UnitValues"),MATCH("COMBINED-NHH",WTPCore_Group,0),MATCH("MEAN",LMH,0))</f>
        <v>90.78014184397162</v>
      </c>
      <c r="Z55" s="579">
        <f ca="1">Y55*(S55-T55)*(AllProps_CAM/NHHProps_CAM)</f>
        <v>10.666666666666668</v>
      </c>
      <c r="AA55" s="117">
        <f ca="1">INDEX(INDIRECT("CAM_WTPCore2_"&amp;$B55&amp;"_UnitValues"),2,MATCH("MEAN",LMH,0))</f>
        <v>12.15176348156276</v>
      </c>
      <c r="AB55" s="579">
        <f ca="1">AA55*($S55-$T55)*(AllProps_CAM/NHHProps_CAM)</f>
        <v>1.4278322090836244</v>
      </c>
      <c r="AC55" s="20">
        <f t="shared" ref="AC55:AC57" ca="1" si="27">X55*AA$59/X$58</f>
        <v>28.472672208592808</v>
      </c>
      <c r="AD55" s="341" t="str">
        <f>Q55</f>
        <v>Property affected</v>
      </c>
      <c r="AE55" s="931">
        <f ca="1">(AC55*NHHProps_CAM)/((S55-T55)*AllProps_CAM)</f>
        <v>242.32061454121535</v>
      </c>
    </row>
    <row r="56" spans="1:31" x14ac:dyDescent="0.25">
      <c r="A56" s="9" t="s">
        <v>330</v>
      </c>
      <c r="B56" s="9" t="s">
        <v>319</v>
      </c>
      <c r="C56" s="9" t="str">
        <f>B56</f>
        <v>TempBan</v>
      </c>
      <c r="D56" s="514" t="s">
        <v>369</v>
      </c>
      <c r="E56" s="431">
        <f ca="1">INDEX(INDIRECT("ExtWTP_"&amp;$C56&amp;"_UnitValues"),MATCH(A$53, INDIRECT("ExtWTP_Comps_"&amp;C56),0),MATCH("NHH",ExtWTP_Group,0))</f>
        <v>0</v>
      </c>
      <c r="F56" s="521">
        <f t="shared" ca="1" si="22"/>
        <v>2.5000000000000001E-2</v>
      </c>
      <c r="G56" s="521">
        <f t="shared" ca="1" si="22"/>
        <v>1.6666666666666666E-2</v>
      </c>
      <c r="H56" s="581">
        <f ca="1">INDEX(INDIRECT("SSW_WTPCore2_"&amp;$B56&amp;"_LevelValues"),2,MATCH("S1 MEAN",WTPCore2_LevelValues,0))</f>
        <v>1.0363458862342743E-3</v>
      </c>
      <c r="I56" s="581">
        <f ca="1">INDEX(INDIRECT("SSW_WTPCore2_"&amp;$B56&amp;"_LevelValues"),2,MATCH("S2 MEAN",WTPCore2_LevelValues,0))</f>
        <v>6.2724159084084235E-4</v>
      </c>
      <c r="J56" s="581">
        <f ca="1">SUM(H56:I56)</f>
        <v>1.6635874770751166E-3</v>
      </c>
      <c r="K56" s="278">
        <f ca="1">E56*(F56-G56)</f>
        <v>0</v>
      </c>
      <c r="L56" s="820">
        <f ca="1">INDEX(INDIRECT("SSW_WTPCore_DCE_"&amp;$C56&amp;"_UnitValues"),MATCH("COMBINED-NHH",WTPCore_Group,0),MATCH("MEAN",LMH,0))</f>
        <v>196425.59999999998</v>
      </c>
      <c r="M56" s="579">
        <f ca="1">L56*(F56-G56)/NHHProps_SSW</f>
        <v>4.4240000000000002E-2</v>
      </c>
      <c r="N56" s="343">
        <f ca="1">INDEX(INDIRECT("SSW_WTPCore2_"&amp;$C56&amp;"_UnitValues"),2,MATCH("MEAN",LMH,0))</f>
        <v>326771.16833696596</v>
      </c>
      <c r="O56" s="579">
        <f ca="1">N56*(F56-G56)/NHHProps_SSW*100</f>
        <v>7.3597109985803151</v>
      </c>
      <c r="P56" s="20">
        <f t="shared" ca="1" si="24"/>
        <v>0</v>
      </c>
      <c r="Q56" s="643" t="s">
        <v>422</v>
      </c>
      <c r="R56" s="534">
        <f ca="1">P56*NHHProps_SSW/((F56-G56)*100)</f>
        <v>0</v>
      </c>
      <c r="S56" s="521">
        <f t="shared" ca="1" si="23"/>
        <v>0.02</v>
      </c>
      <c r="T56" s="521">
        <f t="shared" ca="1" si="23"/>
        <v>1.3333333333333334E-2</v>
      </c>
      <c r="U56" s="581">
        <f ca="1">INDEX(INDIRECT("CAM_WTPCore2_"&amp;$B56&amp;"_LevelValues"),2,MATCH("S1 MEAN",WTPCore2_LevelValues,0))</f>
        <v>1.3694025744847137E-3</v>
      </c>
      <c r="V56" s="581">
        <f ca="1">INDEX(INDIRECT("CAM_WTPCore2_"&amp;$B56&amp;"_LevelValues"),2,MATCH("S2 MEAN",WTPCore2_LevelValues,0))</f>
        <v>1.1073984405910726E-3</v>
      </c>
      <c r="W56" s="581">
        <f t="shared" ca="1" si="25"/>
        <v>2.4768010150757864E-3</v>
      </c>
      <c r="X56" s="278">
        <f t="shared" ca="1" si="26"/>
        <v>0</v>
      </c>
      <c r="Y56" s="117">
        <f ca="1">INDEX(INDIRECT("CAM_WTPCore_"&amp;$C56&amp;"_UnitValues"),MATCH("COMBINED-NHH",WTPCore_Group,0),MATCH("MEAN",LMH,0))</f>
        <v>1105919.9999999998</v>
      </c>
      <c r="Z56" s="579">
        <f ca="1">Y56*(S56-T56)/NHHProps_CAM*100</f>
        <v>73.72799999999998</v>
      </c>
      <c r="AA56" s="117">
        <f ca="1">INDEX(INDIRECT("CAM_WTPCore2_"&amp;$B56&amp;"_UnitValues"),2,MATCH("MEAN",LMH,0))</f>
        <v>190218.3179578204</v>
      </c>
      <c r="AB56" s="579">
        <f ca="1">AA56*(S56-T56)/NHHProps_CAM*100</f>
        <v>12.681221197188028</v>
      </c>
      <c r="AC56" s="20">
        <f t="shared" ca="1" si="27"/>
        <v>0</v>
      </c>
      <c r="AD56" s="341" t="str">
        <f>Q56</f>
        <v>1% change in risk</v>
      </c>
      <c r="AE56" s="931">
        <f ca="1">(AC56*NHHProps_CAM)/((S56-T56)*100)</f>
        <v>0</v>
      </c>
    </row>
    <row r="57" spans="1:31" x14ac:dyDescent="0.25">
      <c r="A57" s="9" t="s">
        <v>185</v>
      </c>
      <c r="B57" s="9" t="s">
        <v>270</v>
      </c>
      <c r="C57" s="9" t="str">
        <f>B57</f>
        <v>LowPressure</v>
      </c>
      <c r="D57" s="514" t="s">
        <v>369</v>
      </c>
      <c r="E57" s="431">
        <f ca="1">INDEX(INDIRECT("ExtWTP_"&amp;$C57&amp;"_UnitValues"),MATCH(A$53, INDIRECT("ExtWTP_Comps_"&amp;C57),0),MATCH("NHH",ExtWTP_Group,0))</f>
        <v>250</v>
      </c>
      <c r="F57" s="521">
        <f t="shared" ca="1" si="22"/>
        <v>0.1</v>
      </c>
      <c r="G57" s="521">
        <f t="shared" ca="1" si="22"/>
        <v>6.6666666666666666E-2</v>
      </c>
      <c r="H57" s="581">
        <f ca="1">INDEX(INDIRECT("SSW_WTPCore2_"&amp;$B57&amp;"_LevelValues"),2,MATCH("S1 MEAN",WTPCore2_LevelValues,0))</f>
        <v>6.9813125314618224E-5</v>
      </c>
      <c r="I57" s="581">
        <f ca="1">INDEX(INDIRECT("SSW_WTPCore2_"&amp;$B57&amp;"_LevelValues"),2,MATCH("S2 MEAN",WTPCore2_LevelValues,0))</f>
        <v>4.2539865887973236E-4</v>
      </c>
      <c r="J57" s="581">
        <f ca="1">SUM(H57:I57)</f>
        <v>4.9521178419435058E-4</v>
      </c>
      <c r="K57" s="278">
        <f ca="1">E57*(F57-G57)</f>
        <v>8.3333333333333357</v>
      </c>
      <c r="L57" s="579">
        <f ca="1">INDEX(INDIRECT("SSW_WTPCore_DCE_"&amp;$C57&amp;"_UnitValues"),MATCH("COMBINED-NHH",WTPCore_Group,0),MATCH("MEAN",LMH,0))</f>
        <v>38.286305674962968</v>
      </c>
      <c r="M57" s="579">
        <f ca="1">L57*(F57-G57)*(AllProps_SSW/NHHProps_SSW)</f>
        <v>20.315886524822695</v>
      </c>
      <c r="N57" s="117">
        <f ca="1">INDEX(INDIRECT("SSW_WTPCore2_"&amp;$C57&amp;"_UnitValues"),2,MATCH("MEAN",LMH,0))</f>
        <v>4.12870423758259</v>
      </c>
      <c r="O57" s="579">
        <f ca="1">N57*($F57-$G57)*(AllProps_SSW/NHHProps_SSW)</f>
        <v>2.1908169332758072</v>
      </c>
      <c r="P57" s="20">
        <f t="shared" ca="1" si="24"/>
        <v>8.5480517599498</v>
      </c>
      <c r="Q57" s="514" t="s">
        <v>369</v>
      </c>
      <c r="R57" s="534">
        <f ca="1">P57*NHHProps_SSW/((F57-G57)*AllProps_SSW)</f>
        <v>16.109231669854459</v>
      </c>
      <c r="S57" s="521">
        <f t="shared" ca="1" si="23"/>
        <v>9.0909090909090912E-2</v>
      </c>
      <c r="T57" s="521">
        <f t="shared" ca="1" si="23"/>
        <v>6.6666666666666666E-2</v>
      </c>
      <c r="U57" s="581">
        <f ca="1">INDEX(INDIRECT("CAM_WTPCore2_"&amp;$B57&amp;"_LevelValues"),2,MATCH("S1 MEAN",WTPCore2_LevelValues,0))</f>
        <v>4.8585541264324922E-5</v>
      </c>
      <c r="V57" s="581">
        <f ca="1">INDEX(INDIRECT("CAM_WTPCore2_"&amp;$B57&amp;"_LevelValues"),2,MATCH("S2 MEAN",WTPCore2_LevelValues,0))</f>
        <v>4.7427328754792901E-3</v>
      </c>
      <c r="W57" s="581">
        <f t="shared" ca="1" si="25"/>
        <v>4.7913184167436155E-3</v>
      </c>
      <c r="X57" s="278">
        <f t="shared" ca="1" si="26"/>
        <v>6.0606060606060614</v>
      </c>
      <c r="Y57" s="579">
        <f ca="1">INDEX(INDIRECT("CAM_WTPCore_"&amp;$C57&amp;"_UnitValues"),MATCH("COMBINED-NHH",WTPCore_Group,0),MATCH("MEAN",LMH,0))</f>
        <v>23.177908555907649</v>
      </c>
      <c r="Z57" s="579">
        <f ca="1">Y57*(S57-T57)*(AllProps_CAM/NHHProps_CAM)</f>
        <v>7.9226305609284342</v>
      </c>
      <c r="AA57" s="117">
        <f ca="1">INDEX(INDIRECT("CAM_WTPCore2_"&amp;$B57&amp;"_UnitValues"),2,MATCH("MEAN",LMH,0))</f>
        <v>71.767833306117126</v>
      </c>
      <c r="AB57" s="579">
        <f ca="1">AA57*($S57-$T57)*(AllProps_CAM/NHHProps_CAM)</f>
        <v>24.53155029372731</v>
      </c>
      <c r="AC57" s="20">
        <f t="shared" ca="1" si="27"/>
        <v>50.505848707038233</v>
      </c>
      <c r="AD57" s="341" t="str">
        <f>Q57</f>
        <v>Property affected</v>
      </c>
      <c r="AE57" s="931">
        <f ca="1">(AC57*NHHProps_CAM)/((S57-T57)*AllProps_CAM)</f>
        <v>147.75647228122887</v>
      </c>
    </row>
    <row r="58" spans="1:31" x14ac:dyDescent="0.25">
      <c r="D58" s="514"/>
      <c r="E58" s="431"/>
      <c r="F58" s="521"/>
      <c r="G58" s="521"/>
      <c r="H58" s="20"/>
      <c r="I58" s="20"/>
      <c r="J58" s="445">
        <f ca="1">SUM(J54:J57)*AvgNHHBill_SSW</f>
        <v>100.34048476076762</v>
      </c>
      <c r="K58" s="446">
        <f ca="1">SUM(K54:K57)</f>
        <v>78.041666666666657</v>
      </c>
      <c r="L58" s="446"/>
      <c r="M58" s="446">
        <f ca="1">SUM(M54:M57)</f>
        <v>59.764524703092057</v>
      </c>
      <c r="N58" s="446"/>
      <c r="O58" s="446">
        <f ca="1">SUM(O54:O57)</f>
        <v>100.34048476076762</v>
      </c>
      <c r="P58" s="446">
        <f ca="1">SUM(P54:P57)</f>
        <v>80.052504731929844</v>
      </c>
      <c r="Q58" s="37"/>
      <c r="R58" s="927"/>
      <c r="S58" s="521"/>
      <c r="T58" s="521"/>
      <c r="U58" s="20"/>
      <c r="V58" s="20"/>
      <c r="W58" s="826">
        <f ca="1">SUM(W54:W57)*AvgNHHBill_CAM</f>
        <v>328.23579032655698</v>
      </c>
      <c r="X58" s="446">
        <f ca="1">SUM(X54:X57)</f>
        <v>26.913170163170165</v>
      </c>
      <c r="Y58" s="446"/>
      <c r="Z58" s="446">
        <f ca="1">SUM(Z54:Z57)</f>
        <v>120.3241348344327</v>
      </c>
      <c r="AA58" s="446"/>
      <c r="AB58" s="446">
        <f ca="1">SUM(AB54:AB57)</f>
        <v>328.23579032655704</v>
      </c>
      <c r="AC58" s="446">
        <f ca="1">SUM(AC54:AC57)</f>
        <v>224.27996258049487</v>
      </c>
      <c r="AE58" s="931"/>
    </row>
    <row r="59" spans="1:31" x14ac:dyDescent="0.25">
      <c r="A59" s="60"/>
      <c r="B59" s="60"/>
      <c r="C59" s="60"/>
      <c r="D59" s="516"/>
      <c r="E59" s="523"/>
      <c r="F59" s="524"/>
      <c r="G59" s="524"/>
      <c r="H59" s="524"/>
      <c r="I59" s="524"/>
      <c r="J59" s="524"/>
      <c r="K59" s="31"/>
      <c r="L59" s="31"/>
      <c r="M59" s="45" t="s">
        <v>997</v>
      </c>
      <c r="N59" s="737">
        <f ca="1">AVERAGE(M58,O58)</f>
        <v>80.052504731929844</v>
      </c>
      <c r="O59" s="45"/>
      <c r="P59" s="554"/>
      <c r="Q59" s="60"/>
      <c r="R59" s="629"/>
      <c r="S59" s="524"/>
      <c r="T59" s="524"/>
      <c r="U59" s="524"/>
      <c r="V59" s="524"/>
      <c r="W59" s="524"/>
      <c r="X59" s="31"/>
      <c r="Y59" s="31"/>
      <c r="Z59" s="45" t="s">
        <v>997</v>
      </c>
      <c r="AA59" s="737">
        <f ca="1">AVERAGE(Z58,AB58)</f>
        <v>224.27996258049487</v>
      </c>
      <c r="AB59" s="45"/>
      <c r="AC59" s="554"/>
      <c r="AD59" s="60"/>
      <c r="AE59" s="932"/>
    </row>
    <row r="60" spans="1:31" x14ac:dyDescent="0.25">
      <c r="A60" s="61" t="s">
        <v>171</v>
      </c>
      <c r="B60" s="237"/>
      <c r="D60" s="515"/>
      <c r="E60" s="522"/>
      <c r="F60" s="448"/>
      <c r="G60" s="448"/>
      <c r="H60" s="497"/>
      <c r="I60" s="497"/>
      <c r="J60" s="497"/>
      <c r="K60" s="531"/>
      <c r="L60" s="531"/>
      <c r="M60" s="531"/>
      <c r="N60" s="531"/>
      <c r="O60" s="531"/>
      <c r="P60" s="10"/>
      <c r="Q60" s="912"/>
      <c r="R60" s="630"/>
      <c r="S60" s="448"/>
      <c r="T60" s="448"/>
      <c r="U60" s="497"/>
      <c r="V60" s="497"/>
      <c r="W60" s="497"/>
      <c r="X60" s="531"/>
      <c r="Y60" s="531"/>
      <c r="Z60" s="531"/>
      <c r="AA60" s="531"/>
      <c r="AB60" s="531"/>
      <c r="AC60" s="10"/>
      <c r="AE60" s="933"/>
    </row>
    <row r="61" spans="1:31" x14ac:dyDescent="0.25">
      <c r="A61" s="9" t="s">
        <v>181</v>
      </c>
      <c r="B61" s="9" t="s">
        <v>269</v>
      </c>
      <c r="C61" s="9" t="s">
        <v>328</v>
      </c>
      <c r="D61" s="514" t="s">
        <v>369</v>
      </c>
      <c r="E61" s="431">
        <f ca="1">INDEX(INDIRECT("ExtWTP_"&amp;$C61&amp;"_UnitValues"),MATCH(A$60, INDIRECT("ExtWTP_Comps_"&amp;C61),0),MATCH("NHH",ExtWTP_Group,0))</f>
        <v>770</v>
      </c>
      <c r="F61" s="521">
        <f t="shared" ref="F61:G64" ca="1" si="28">INDEX(INDIRECT("SSW_WTPCore2_"&amp;$B61&amp;"_Levels"),2,MATCH(F$4,WTPCore2_AttLevels,0))</f>
        <v>1.2500000000000001E-2</v>
      </c>
      <c r="G61" s="521">
        <f t="shared" ca="1" si="28"/>
        <v>8.3333333333333332E-3</v>
      </c>
      <c r="H61" s="581">
        <f ca="1">INDEX(INDIRECT("SSW_WTPCore2_"&amp;$B61&amp;"_LevelValues"),2,MATCH("S1 MEAN",WTPCore2_LevelValues,0))</f>
        <v>2.3562800507588295E-4</v>
      </c>
      <c r="I61" s="581">
        <f ca="1">INDEX(INDIRECT("SSW_WTPCore2_"&amp;$B61&amp;"_LevelValues"),2,MATCH("S2 MEAN",WTPCore2_LevelValues,0))</f>
        <v>4.1117889914467278E-4</v>
      </c>
      <c r="J61" s="581">
        <f ca="1">SUM(H61:I61)</f>
        <v>6.4680690422055573E-4</v>
      </c>
      <c r="K61" s="278">
        <f ca="1">E61*(F61-G61)</f>
        <v>3.2083333333333339</v>
      </c>
      <c r="L61" s="579">
        <f ca="1">INDEX(INDIRECT("SSW_WTPCore_DCE_"&amp;$B61&amp;"_UnitValues"),MATCH("COMBINED-NHH",WTPCore_Group,0),MATCH("MEAN",LMH,0))</f>
        <v>310.41834897651921</v>
      </c>
      <c r="M61" s="579">
        <f ca="1">L61*($F61-$G61)*(AllProps_SSW/NHHProps_SSW)</f>
        <v>20.589685534591201</v>
      </c>
      <c r="N61" s="117">
        <f ca="1">INDEX(INDIRECT("SSW_WTPCore2_"&amp;$B61&amp;"_UnitValues"),2,MATCH("MEAN",LMH,0))</f>
        <v>43.140724701414321</v>
      </c>
      <c r="O61" s="579">
        <f ca="1">N61*($F61-$G61)*(AllProps_SSW/NHHProps_SSW)</f>
        <v>2.8614737442717391</v>
      </c>
      <c r="P61" s="20">
        <f ca="1">K61*N$66/K$65</f>
        <v>14.044843433856149</v>
      </c>
      <c r="Q61" s="514" t="s">
        <v>369</v>
      </c>
      <c r="R61" s="534">
        <f ca="1">P61*NHHProps_SSW/((F61-G61)*AllProps_SSW)</f>
        <v>211.74568708428282</v>
      </c>
      <c r="S61" s="521">
        <f t="shared" ref="S61:T64" ca="1" si="29">INDEX(INDIRECT("CAM_WTPCore2_"&amp;$B61&amp;"_Levels"),2,MATCH(S$4,WTPCore2_AttLevels,0))</f>
        <v>2.5000000000000001E-2</v>
      </c>
      <c r="T61" s="521">
        <f t="shared" ca="1" si="29"/>
        <v>1.6666666666666666E-2</v>
      </c>
      <c r="U61" s="581">
        <f ca="1">INDEX(INDIRECT("CAM_WTPCore2_"&amp;$B61&amp;"_LevelValues"),2,MATCH("S1 MEAN",WTPCore2_LevelValues,0))</f>
        <v>2.654718763279678E-4</v>
      </c>
      <c r="V61" s="581">
        <f ca="1">INDEX(INDIRECT("CAM_WTPCore2_"&amp;$B61&amp;"_LevelValues"),2,MATCH("S2 MEAN",WTPCore2_LevelValues,0))</f>
        <v>1.3401602008677625E-5</v>
      </c>
      <c r="W61" s="581">
        <f ca="1">SUM(U61:V61)</f>
        <v>2.7887347833664542E-4</v>
      </c>
      <c r="X61" s="278">
        <f ca="1">E61*(S61-T61)</f>
        <v>6.4166666666666679</v>
      </c>
      <c r="Y61" s="579">
        <f ca="1">INDEX(INDIRECT("CAM_WTPCore_"&amp;$B61&amp;"_UnitValues"),MATCH("COMBINED-NHH",WTPCore_Group,0),MATCH("MEAN",LMH,0))</f>
        <v>90.78014184397162</v>
      </c>
      <c r="Z61" s="579">
        <f ca="1">Y61*(S61-T61)*(AllProps_CAM/NHHProps_CAM)</f>
        <v>10.666666666666668</v>
      </c>
      <c r="AA61" s="117">
        <f ca="1">INDEX(INDIRECT("CAM_WTPCore2_"&amp;$B61&amp;"_UnitValues"),2,MATCH("MEAN",LMH,0))</f>
        <v>12.15176348156276</v>
      </c>
      <c r="AB61" s="579">
        <f ca="1">AA61*($S61-$T61)*(AllProps_CAM/NHHProps_CAM)</f>
        <v>1.4278322090836244</v>
      </c>
      <c r="AC61" s="20">
        <f ca="1">X61*AA$66/X$65</f>
        <v>3.8372303180903089E-3</v>
      </c>
      <c r="AD61" s="341" t="str">
        <f>Q61</f>
        <v>Property affected</v>
      </c>
      <c r="AE61" s="936">
        <f ca="1">(AC61*NHHProps_CAM)/((S61-T61)*AllProps_CAM)</f>
        <v>3.265727930289624E-2</v>
      </c>
    </row>
    <row r="62" spans="1:31" x14ac:dyDescent="0.25">
      <c r="A62" s="9" t="s">
        <v>330</v>
      </c>
      <c r="B62" s="9" t="s">
        <v>319</v>
      </c>
      <c r="C62" s="9" t="str">
        <f>B62</f>
        <v>TempBan</v>
      </c>
      <c r="D62" s="514" t="s">
        <v>369</v>
      </c>
      <c r="E62" s="583">
        <f ca="1">INDEX(INDIRECT("ExtWTP_NEUseBan_UnitValues"),2,2)</f>
        <v>1352</v>
      </c>
      <c r="F62" s="521">
        <f t="shared" ca="1" si="28"/>
        <v>2.5000000000000001E-2</v>
      </c>
      <c r="G62" s="521">
        <f t="shared" ca="1" si="28"/>
        <v>1.6666666666666666E-2</v>
      </c>
      <c r="H62" s="581">
        <f ca="1">INDEX(INDIRECT("SSW_WTPCore2_"&amp;$B62&amp;"_LevelValues"),2,MATCH("S1 MEAN",WTPCore2_LevelValues,0))</f>
        <v>1.0363458862342743E-3</v>
      </c>
      <c r="I62" s="581">
        <f ca="1">INDEX(INDIRECT("SSW_WTPCore2_"&amp;$B62&amp;"_LevelValues"),2,MATCH("S2 MEAN",WTPCore2_LevelValues,0))</f>
        <v>6.2724159084084235E-4</v>
      </c>
      <c r="J62" s="581">
        <f ca="1">SUM(H62:I62)</f>
        <v>1.6635874770751166E-3</v>
      </c>
      <c r="K62" s="278">
        <f ca="1">E62*(F62-G62)</f>
        <v>11.266666666666669</v>
      </c>
      <c r="L62" s="820">
        <f ca="1">INDEX(INDIRECT("SSW_WTPCore_DCE_"&amp;$C62&amp;"_UnitValues"),MATCH("COMBINED-NHH",WTPCore_Group,0),MATCH("MEAN",LMH,0))</f>
        <v>196425.59999999998</v>
      </c>
      <c r="M62" s="579">
        <f ca="1">L62*(F62-G62)/NHHProps_SSW*100</f>
        <v>4.4240000000000004</v>
      </c>
      <c r="N62" s="343">
        <f ca="1">INDEX(INDIRECT("SSW_WTPCore2_"&amp;$C62&amp;"_UnitValues"),2,MATCH("MEAN",LMH,0))</f>
        <v>326771.16833696596</v>
      </c>
      <c r="O62" s="579">
        <f ca="1">N62*(F62-G62)/NHHProps_SSW*100</f>
        <v>7.3597109985803151</v>
      </c>
      <c r="P62" s="20">
        <f t="shared" ref="P62:P64" ca="1" si="30">K62*N$66/K$65</f>
        <v>49.321112526164974</v>
      </c>
      <c r="Q62" s="643" t="s">
        <v>422</v>
      </c>
      <c r="R62" s="534">
        <f ca="1">P62*NHHProps_SSW/((F62-G62)*100)</f>
        <v>2189857.3961617243</v>
      </c>
      <c r="S62" s="521">
        <f t="shared" ca="1" si="29"/>
        <v>0.02</v>
      </c>
      <c r="T62" s="521">
        <f t="shared" ca="1" si="29"/>
        <v>1.3333333333333334E-2</v>
      </c>
      <c r="U62" s="581">
        <f ca="1">INDEX(INDIRECT("CAM_WTPCore2_"&amp;$B62&amp;"_LevelValues"),2,MATCH("S1 MEAN",WTPCore2_LevelValues,0))</f>
        <v>1.3694025744847137E-3</v>
      </c>
      <c r="V62" s="581">
        <f ca="1">INDEX(INDIRECT("CAM_WTPCore2_"&amp;$B62&amp;"_LevelValues"),2,MATCH("S2 MEAN",WTPCore2_LevelValues,0))</f>
        <v>1.1073984405910726E-3</v>
      </c>
      <c r="W62" s="581">
        <f t="shared" ref="W62:W64" ca="1" si="31">SUM(U62:V62)</f>
        <v>2.4768010150757864E-3</v>
      </c>
      <c r="X62" s="278">
        <f t="shared" ref="X62" ca="1" si="32">E62*(S62-T62)</f>
        <v>9.0133333333333319</v>
      </c>
      <c r="Y62" s="579">
        <f ca="1">INDEX(INDIRECT("CAM_WTPCore_"&amp;$C62&amp;"_UnitValues"),MATCH("COMBINED-NHH",WTPCore_Group,0),MATCH("MEAN",LMH,0))</f>
        <v>1105919.9999999998</v>
      </c>
      <c r="Z62" s="579">
        <f ca="1">Y62*(S62-T62)/NHHProps_CAM*100</f>
        <v>73.72799999999998</v>
      </c>
      <c r="AA62" s="117">
        <f ca="1">INDEX(INDIRECT("CAM_WTPCore2_"&amp;$B62&amp;"_UnitValues"),2,MATCH("MEAN",LMH,0))</f>
        <v>190218.3179578204</v>
      </c>
      <c r="AB62" s="579">
        <f ca="1">AA62*(S62-T62)/NHHProps_CAM*100</f>
        <v>12.681221197188028</v>
      </c>
      <c r="AC62" s="20">
        <f t="shared" ref="AC62:AC64" ca="1" si="33">X62*AA$66/X$65</f>
        <v>5.3900627429175028E-3</v>
      </c>
      <c r="AD62" s="341" t="str">
        <f>Q62</f>
        <v>1% change in risk</v>
      </c>
      <c r="AE62" s="931">
        <f ca="1">(AC62*NHHProps_CAM)/((S62-T62)*100)</f>
        <v>80.850941143762554</v>
      </c>
    </row>
    <row r="63" spans="1:31" x14ac:dyDescent="0.25">
      <c r="A63" s="9" t="s">
        <v>186</v>
      </c>
      <c r="B63" s="9" t="s">
        <v>268</v>
      </c>
      <c r="C63" s="9" t="str">
        <f>B63</f>
        <v>Hardness</v>
      </c>
      <c r="D63" s="514" t="s">
        <v>369</v>
      </c>
      <c r="E63" s="431">
        <f ca="1">INDEX(INDIRECT("ExtWTP_"&amp;$C63&amp;"_UnitValues"),MATCH(A$60, INDIRECT("ExtWTP_Comps_"&amp;C63),0),MATCH("NHH",ExtWTP_Group,0))</f>
        <v>1</v>
      </c>
      <c r="F63" s="600">
        <f t="shared" ca="1" si="28"/>
        <v>0</v>
      </c>
      <c r="G63" s="600">
        <f t="shared" ca="1" si="28"/>
        <v>4000</v>
      </c>
      <c r="H63" s="581">
        <f ca="1">INDEX(INDIRECT("SSW_WTPCore2_"&amp;$B63&amp;"_LevelValues"),2,MATCH("S1 MEAN",WTPCore2_LevelValues,0))</f>
        <v>4.1590321254674992E-3</v>
      </c>
      <c r="I63" s="581">
        <f ca="1">INDEX(INDIRECT("SSW_WTPCore2_"&amp;$B63&amp;"_LevelValues"),2,MATCH("S2 MEAN",WTPCore2_LevelValues,0))</f>
        <v>5.1578958405461544E-4</v>
      </c>
      <c r="J63" s="581">
        <f ca="1">SUM(H63:I63)</f>
        <v>4.6748217095221147E-3</v>
      </c>
      <c r="K63" s="278">
        <f ca="1">-E63*(F63-G63)/NHHProps_SSW</f>
        <v>0.10810810810810811</v>
      </c>
      <c r="L63" s="579">
        <f ca="1">INDEX(INDIRECT("SSW_WTPCore_DCE_"&amp;$C63&amp;"_UnitValues"),MATCH("COMBINED-NHH",WTPCore_Group,0),MATCH("MEAN",LMH,0))</f>
        <v>9.7267911714770818</v>
      </c>
      <c r="M63" s="579">
        <f ca="1">-L63*(F63-G63)/NHHProps_SSW</f>
        <v>1.0515449915110358</v>
      </c>
      <c r="N63" s="117">
        <f ca="1">INDEX(INDIRECT("SSW_WTPCore2_"&amp;$C63&amp;"_UnitValues"),2,MATCH("MEAN",LMH,0))</f>
        <v>191.30305399706398</v>
      </c>
      <c r="O63" s="579">
        <f ca="1">-N63*(F63-G63)/NHHProps_SSW</f>
        <v>20.681411242925837</v>
      </c>
      <c r="P63" s="20">
        <f t="shared" ca="1" si="30"/>
        <v>0.47325551760273438</v>
      </c>
      <c r="Q63" s="514" t="s">
        <v>369</v>
      </c>
      <c r="R63" s="534">
        <f ca="1">-P63*NHHProps_SSW/((F63-G63))</f>
        <v>4.3776135378252929</v>
      </c>
      <c r="S63" s="600">
        <f t="shared" ca="1" si="29"/>
        <v>0</v>
      </c>
      <c r="T63" s="600">
        <f t="shared" ca="1" si="29"/>
        <v>1350</v>
      </c>
      <c r="U63" s="581">
        <f ca="1">INDEX(INDIRECT("CAM_WTPCore2_"&amp;$B63&amp;"_LevelValues"),2,MATCH("S1 MEAN",WTPCore2_LevelValues,0))</f>
        <v>5.8970314160098417E-2</v>
      </c>
      <c r="V63" s="581">
        <f ca="1">INDEX(INDIRECT("CAM_WTPCore2_"&amp;$B63&amp;"_LevelValues"),2,MATCH("S2 MEAN",WTPCore2_LevelValues,0))</f>
        <v>4.2450333610873081E-4</v>
      </c>
      <c r="W63" s="581">
        <f t="shared" ca="1" si="31"/>
        <v>5.9394817496207147E-2</v>
      </c>
      <c r="X63" s="278">
        <f ca="1">-E63*(S63-T63)</f>
        <v>1350</v>
      </c>
      <c r="Y63" s="579">
        <f ca="1">INDEX(INDIRECT("CAM_WTPCore_"&amp;$C63&amp;"_UnitValues"),MATCH("COMBINED-NHH",WTPCore_Group,0),MATCH("MEAN",LMH,0))</f>
        <v>5.8099290780141848</v>
      </c>
      <c r="Z63" s="579">
        <f ca="1">-Y63*(S63-T63)/NHHProps_CAM</f>
        <v>0.78434042553191496</v>
      </c>
      <c r="AA63" s="117">
        <f ca="1">INDEX(INDIRECT("CAM_WTPCore2_"&amp;$B63&amp;"_UnitValues"),2,MATCH("MEAN",LMH,0))</f>
        <v>2252.6034487450415</v>
      </c>
      <c r="AB63" s="579">
        <f ca="1">-AA63*(S63-T63)/NHHProps_CAM</f>
        <v>304.10146558058062</v>
      </c>
      <c r="AC63" s="20">
        <f t="shared" ca="1" si="33"/>
        <v>0.80731339159822069</v>
      </c>
      <c r="AD63" s="341" t="str">
        <f>Q63</f>
        <v>Property affected</v>
      </c>
      <c r="AE63" s="931">
        <f ca="1">(AC63*NHHProps_CAM)/((S63-T63)*AllProps_CAM)</f>
        <v>-4.241205104272239E-5</v>
      </c>
    </row>
    <row r="64" spans="1:31" x14ac:dyDescent="0.25">
      <c r="A64" s="9" t="s">
        <v>3</v>
      </c>
      <c r="B64" s="9" t="s">
        <v>3</v>
      </c>
      <c r="C64" s="9" t="s">
        <v>3</v>
      </c>
      <c r="D64" s="514" t="s">
        <v>875</v>
      </c>
      <c r="E64" s="431">
        <f ca="1">INDEX(INDIRECT("ExtWTP_"&amp;$C64&amp;"_UnitValues"),MATCH(A$60, INDIRECT("ExtWTP_Comps_"&amp;C64),0),MATCH("NHH",ExtWTP_Group,0))</f>
        <v>118800</v>
      </c>
      <c r="F64" s="600">
        <f t="shared" ca="1" si="28"/>
        <v>70.5</v>
      </c>
      <c r="G64" s="600">
        <f t="shared" ca="1" si="28"/>
        <v>35.25</v>
      </c>
      <c r="H64" s="581">
        <f ca="1">INDEX(INDIRECT("SSW_WTPCore2_"&amp;$B64&amp;"_LevelValues"),2,MATCH("S1 MEAN",WTPCore2_LevelValues,0))</f>
        <v>1.8366495603833657E-2</v>
      </c>
      <c r="I64" s="581">
        <f ca="1">INDEX(INDIRECT("SSW_WTPCore2_"&amp;$B64&amp;"_LevelValues"),2,MATCH("S2 MEAN",WTPCore2_LevelValues,0))</f>
        <v>6.6875105310339848E-3</v>
      </c>
      <c r="J64" s="581">
        <f ca="1">SUM(H64:I64)</f>
        <v>2.5054006134867642E-2</v>
      </c>
      <c r="K64" s="278">
        <f ca="1">E64*(F64-G64)/AllProps_SSW</f>
        <v>7.1098471986417655</v>
      </c>
      <c r="L64" s="579">
        <f ca="1">INDEX(INDIRECT("SSW_WTPCore_DCE_"&amp;$C64&amp;"_UnitValues"),MATCH("COMBINED-NHH",WTPCore_Group,0),MATCH("MEAN",LMH,0))</f>
        <v>23218.156028368794</v>
      </c>
      <c r="M64" s="579">
        <f ca="1">L64*(F64-G64)/NHHProps_SSW</f>
        <v>22.12</v>
      </c>
      <c r="N64" s="117">
        <f ca="1">INDEX(INDIRECT("SSW_WTPCore2_"&amp;$C64&amp;"_UnitValues"),2,MATCH("MEAN",LMH,0))</f>
        <v>116341.56471501317</v>
      </c>
      <c r="O64" s="579">
        <f ca="1">N64*(F64-G64)/NHHProps_SSW</f>
        <v>110.83892314065444</v>
      </c>
      <c r="P64" s="20">
        <f t="shared" ca="1" si="30"/>
        <v>31.124163348643425</v>
      </c>
      <c r="Q64" s="514" t="s">
        <v>875</v>
      </c>
      <c r="R64" s="534">
        <f ca="1">P64*NHHProps_SSW/((F64-G64))</f>
        <v>32669.334578717921</v>
      </c>
      <c r="S64" s="600">
        <f t="shared" ca="1" si="29"/>
        <v>13.5</v>
      </c>
      <c r="T64" s="600">
        <f t="shared" ca="1" si="29"/>
        <v>6.75</v>
      </c>
      <c r="U64" s="581">
        <f ca="1">INDEX(INDIRECT("CAM_WTPCore2_"&amp;$B64&amp;"_LevelValues"),2,MATCH("S1 MEAN",WTPCore2_LevelValues,0))</f>
        <v>7.1569068986342493E-2</v>
      </c>
      <c r="V64" s="581">
        <f ca="1">INDEX(INDIRECT("CAM_WTPCore2_"&amp;$B64&amp;"_LevelValues"),2,MATCH("S2 MEAN",WTPCore2_LevelValues,0))</f>
        <v>3.5284810800562588E-2</v>
      </c>
      <c r="W64" s="581">
        <f t="shared" ca="1" si="31"/>
        <v>0.10685387978690508</v>
      </c>
      <c r="X64" s="278">
        <f ca="1">E64*(S64-T64)</f>
        <v>801900</v>
      </c>
      <c r="Y64" s="579">
        <f ca="1">INDEX(INDIRECT("CAM_WTPCore_"&amp;$C64&amp;"_UnitValues"),MATCH("COMBINED-NHH",WTPCore_Group,0),MATCH("MEAN",LMH,0))</f>
        <v>15170.37037037037</v>
      </c>
      <c r="Z64" s="579">
        <f ca="1">Y64*(S64-T64)/NHHProps_CAM</f>
        <v>10.24</v>
      </c>
      <c r="AA64" s="117">
        <f ca="1">INDEX(INDIRECT("CAM_WTPCore2_"&amp;$B64&amp;"_UnitValues"),2,MATCH("MEAN",LMH,0))</f>
        <v>810506.46593919117</v>
      </c>
      <c r="AB64" s="579">
        <f ca="1">AA64*(S64-T64)/NHHProps_CAM</f>
        <v>547.09186450895402</v>
      </c>
      <c r="AC64" s="20">
        <f t="shared" ca="1" si="33"/>
        <v>479.54415460934314</v>
      </c>
      <c r="AD64" s="341" t="s">
        <v>875</v>
      </c>
      <c r="AE64" s="931">
        <f ca="1">AC64*NHHProps_CAM/((S64-T64))</f>
        <v>710435.78460643429</v>
      </c>
    </row>
    <row r="65" spans="1:31" x14ac:dyDescent="0.25">
      <c r="D65" s="514"/>
      <c r="E65" s="529" t="s">
        <v>505</v>
      </c>
      <c r="F65" s="525"/>
      <c r="G65" s="525"/>
      <c r="H65" s="432"/>
      <c r="I65" s="432"/>
      <c r="J65" s="445">
        <f ca="1">SUM(J61:J64)*AvgNHHBill_SSW</f>
        <v>141.74151912643234</v>
      </c>
      <c r="K65" s="446">
        <f ca="1">SUM(K61:K64)</f>
        <v>21.692955306749877</v>
      </c>
      <c r="L65" s="446"/>
      <c r="M65" s="446">
        <f ca="1">SUM(M61:M64)</f>
        <v>48.185230526102238</v>
      </c>
      <c r="N65" s="446"/>
      <c r="O65" s="446">
        <f ca="1">SUM(O61:O64)</f>
        <v>141.74151912643234</v>
      </c>
      <c r="P65" s="446">
        <f ca="1">SUM(P61:P64)</f>
        <v>94.963374826267284</v>
      </c>
      <c r="Q65" s="913"/>
      <c r="R65" s="929"/>
      <c r="S65" s="525"/>
      <c r="T65" s="525"/>
      <c r="U65" s="432"/>
      <c r="V65" s="432"/>
      <c r="W65" s="826">
        <f ca="1">SUM(W61:W64)*AvgNHHBill_CAM</f>
        <v>865.30238349580623</v>
      </c>
      <c r="X65" s="446">
        <f ca="1">SUM(X61:X64)</f>
        <v>803265.43</v>
      </c>
      <c r="Y65" s="446"/>
      <c r="Z65" s="446">
        <f ca="1">SUM(Z61:Z64)</f>
        <v>95.419007092198555</v>
      </c>
      <c r="AA65" s="446"/>
      <c r="AB65" s="446">
        <f ca="1">SUM(AB61:AB64)</f>
        <v>865.30238349580623</v>
      </c>
      <c r="AC65" s="446">
        <f ca="1">SUM(AC61:AC64)</f>
        <v>480.36069529400237</v>
      </c>
      <c r="AE65" s="931"/>
    </row>
    <row r="66" spans="1:31" x14ac:dyDescent="0.25">
      <c r="A66" s="60"/>
      <c r="B66" s="60"/>
      <c r="C66" s="60"/>
      <c r="D66" s="516"/>
      <c r="E66" s="523"/>
      <c r="F66" s="524"/>
      <c r="G66" s="524"/>
      <c r="H66" s="524"/>
      <c r="I66" s="524"/>
      <c r="J66" s="524"/>
      <c r="K66" s="31"/>
      <c r="L66" s="31"/>
      <c r="M66" s="45" t="s">
        <v>997</v>
      </c>
      <c r="N66" s="737">
        <f ca="1">AVERAGE(M65,O65)</f>
        <v>94.963374826267284</v>
      </c>
      <c r="O66" s="45"/>
      <c r="P66" s="554"/>
      <c r="Q66" s="60"/>
      <c r="R66" s="629"/>
      <c r="S66" s="524"/>
      <c r="T66" s="524"/>
      <c r="U66" s="524"/>
      <c r="V66" s="524"/>
      <c r="W66" s="524"/>
      <c r="X66" s="31"/>
      <c r="Y66" s="31"/>
      <c r="Z66" s="45" t="s">
        <v>997</v>
      </c>
      <c r="AA66" s="824">
        <f ca="1">AVERAGE(Z65,AB65)</f>
        <v>480.36069529400237</v>
      </c>
      <c r="AB66" s="45"/>
      <c r="AC66" s="554"/>
      <c r="AD66" s="60"/>
      <c r="AE66" s="932"/>
    </row>
    <row r="67" spans="1:31" s="64" customFormat="1" x14ac:dyDescent="0.25">
      <c r="A67" s="165" t="s">
        <v>168</v>
      </c>
      <c r="D67" s="517"/>
      <c r="E67" s="526"/>
      <c r="F67" s="527"/>
      <c r="G67" s="527"/>
      <c r="H67" s="527"/>
      <c r="I67" s="527"/>
      <c r="J67" s="527"/>
      <c r="K67" s="217"/>
      <c r="L67" s="217"/>
      <c r="M67" s="217"/>
      <c r="N67" s="217"/>
      <c r="O67" s="217"/>
      <c r="P67" s="10"/>
      <c r="R67" s="628"/>
      <c r="S67" s="527"/>
      <c r="T67" s="527"/>
      <c r="U67" s="527"/>
      <c r="V67" s="527"/>
      <c r="W67" s="527"/>
      <c r="X67" s="217"/>
      <c r="Y67" s="217"/>
      <c r="Z67" s="217"/>
      <c r="AA67" s="217"/>
      <c r="AB67" s="217"/>
      <c r="AC67" s="10"/>
      <c r="AE67" s="934"/>
    </row>
    <row r="68" spans="1:31" s="64" customFormat="1" x14ac:dyDescent="0.25">
      <c r="A68" s="9" t="s">
        <v>25</v>
      </c>
      <c r="B68" s="9" t="s">
        <v>266</v>
      </c>
      <c r="C68" s="9" t="str">
        <f>B68</f>
        <v>Discolour</v>
      </c>
      <c r="D68" s="514" t="s">
        <v>369</v>
      </c>
      <c r="E68" s="431">
        <f ca="1">INDEX(INDIRECT("ExtWTP_"&amp;$C68&amp;"_UnitValues"),MATCH(A$67, INDIRECT("ExtWTP_Comps_"&amp;C68),0),MATCH("NHH",ExtWTP_Group,0))</f>
        <v>1373</v>
      </c>
      <c r="F68" s="521">
        <f t="shared" ref="F68:G72" ca="1" si="34">INDEX(INDIRECT("SSW_WTPCore2_"&amp;$B68&amp;"_Levels"),2,MATCH(F$4,WTPCore2_AttLevels,0))</f>
        <v>6.6666666666666666E-2</v>
      </c>
      <c r="G68" s="521">
        <f t="shared" ca="1" si="34"/>
        <v>0.04</v>
      </c>
      <c r="H68" s="581">
        <f ca="1">INDEX(INDIRECT("SSW_WTPCore2_"&amp;$B68&amp;"_LevelValues"),2,MATCH("S1 MEAN",WTPCore2_LevelValues,0))</f>
        <v>1.9376915692789636E-2</v>
      </c>
      <c r="I68" s="581">
        <f ca="1">INDEX(INDIRECT("SSW_WTPCore2_"&amp;$B68&amp;"_LevelValues"),2,MATCH("S2 MEAN",WTPCore2_LevelValues,0))</f>
        <v>4.9841954334050795E-4</v>
      </c>
      <c r="J68" s="581">
        <f ca="1">SUM(H68:I68)</f>
        <v>1.9875335236130144E-2</v>
      </c>
      <c r="K68" s="278">
        <f ca="1">E68*(F68-G68)</f>
        <v>36.61333333333333</v>
      </c>
      <c r="L68" s="579">
        <f ca="1">INDEX(INDIRECT("SSW_WTPCore_DCE_"&amp;$C68&amp;"_UnitValues"),MATCH("COMBINED-NHH",WTPCore_Group,0),MATCH("MEAN",LMH,0))</f>
        <v>44.321585387272407</v>
      </c>
      <c r="M68" s="579">
        <f ca="1">L68*(F68-G68)*(AllProps_SSW/NHHProps_SSW)</f>
        <v>18.81471264367816</v>
      </c>
      <c r="N68" s="117">
        <f ca="1">INDEX(INDIRECT("SSW_WTPCore2_"&amp;$C68&amp;"_UnitValues"),2,MATCH("MEAN",LMH,0))</f>
        <v>207.13203782671931</v>
      </c>
      <c r="O68" s="579">
        <f ca="1">N68*($F68-$G68)*(AllProps_SSW/NHHProps_SSW)</f>
        <v>87.928483084639765</v>
      </c>
      <c r="P68" s="20">
        <f ca="1">K68*N$74/K$73</f>
        <v>48.118797267597557</v>
      </c>
      <c r="Q68" s="514" t="s">
        <v>369</v>
      </c>
      <c r="R68" s="534">
        <f ca="1">P68*NHHProps_SSW/((F68-G68)*AllProps_SSW)</f>
        <v>113.35285434429817</v>
      </c>
      <c r="S68" s="521">
        <f t="shared" ref="S68:T72" ca="1" si="35">INDEX(INDIRECT("CAM_WTPCore2_"&amp;$B68&amp;"_Levels"),2,MATCH(S$4,WTPCore2_AttLevels,0))</f>
        <v>2.2222222222222223E-2</v>
      </c>
      <c r="T68" s="521">
        <f t="shared" ca="1" si="35"/>
        <v>1.5384615384615385E-2</v>
      </c>
      <c r="U68" s="581">
        <f ca="1">INDEX(INDIRECT("CAM_WTPCore2_"&amp;$B68&amp;"_LevelValues"),2,MATCH("S1 MEAN",WTPCore2_LevelValues,0))</f>
        <v>5.6414013673365619E-2</v>
      </c>
      <c r="V68" s="581">
        <f ca="1">INDEX(INDIRECT("CAM_WTPCore2_"&amp;$B68&amp;"_LevelValues"),2,MATCH("S2 MEAN",WTPCore2_LevelValues,0))</f>
        <v>1.4754621463399648E-4</v>
      </c>
      <c r="W68" s="581">
        <f ca="1">SUM(U68:V68)</f>
        <v>5.6561559887999616E-2</v>
      </c>
      <c r="X68" s="278">
        <f ca="1">E68*(S68-T68)</f>
        <v>9.3880341880341884</v>
      </c>
      <c r="Y68" s="579">
        <f ca="1">INDEX(INDIRECT("CAM_WTPCore_"&amp;$C68&amp;"_UnitValues"),MATCH("COMBINED-NHH",WTPCore_Group,0),MATCH("MEAN",LMH,0))</f>
        <v>290.49645390070918</v>
      </c>
      <c r="Z68" s="579">
        <f ca="1">Y68*(S68-T68)*(AllProps_CAM/NHHProps_CAM)</f>
        <v>28.006837606837603</v>
      </c>
      <c r="AA68" s="117">
        <f ca="1">INDEX(INDIRECT("CAM_WTPCore2_"&amp;$B68&amp;"_UnitValues"),2,MATCH("MEAN",LMH,0))</f>
        <v>3003.7798612861075</v>
      </c>
      <c r="AB68" s="579">
        <f ca="1">AA68*($S68-$T68)*(AllProps_CAM/NHHProps_CAM)</f>
        <v>289.59518662655802</v>
      </c>
      <c r="AC68" s="20">
        <f ca="1">X68*AA$74/X$73</f>
        <v>83.788578890229971</v>
      </c>
      <c r="AD68" s="341" t="str">
        <f>Q68</f>
        <v>Property affected</v>
      </c>
      <c r="AE68" s="931">
        <f ca="1">(AC68*NHHProps_CAM)/((S68-T68)*AllProps_CAM)</f>
        <v>869.08366402100239</v>
      </c>
    </row>
    <row r="69" spans="1:31" s="64" customFormat="1" x14ac:dyDescent="0.25">
      <c r="A69" s="9" t="s">
        <v>117</v>
      </c>
      <c r="B69" s="9" t="s">
        <v>265</v>
      </c>
      <c r="C69" s="9" t="str">
        <f>B69</f>
        <v>TasteSmell</v>
      </c>
      <c r="D69" s="514" t="s">
        <v>369</v>
      </c>
      <c r="E69" s="431">
        <f ca="1">INDEX(INDIRECT("ExtWTP_"&amp;$C69&amp;"_UnitValues"),MATCH(A$67, INDIRECT("ExtWTP_Comps_"&amp;C69),0),MATCH("NHH",ExtWTP_Group,0))</f>
        <v>2965</v>
      </c>
      <c r="F69" s="521">
        <f t="shared" ca="1" si="34"/>
        <v>1.6666666666666666E-2</v>
      </c>
      <c r="G69" s="521">
        <f t="shared" ca="1" si="34"/>
        <v>1.1111111111111112E-2</v>
      </c>
      <c r="H69" s="581">
        <f ca="1">INDEX(INDIRECT("SSW_WTPCore2_"&amp;$B69&amp;"_LevelValues"),2,MATCH("S1 MEAN",WTPCore2_LevelValues,0))</f>
        <v>3.6865032727528453E-3</v>
      </c>
      <c r="I69" s="581">
        <f ca="1">INDEX(INDIRECT("SSW_WTPCore2_"&amp;$B69&amp;"_LevelValues"),2,MATCH("S2 MEAN",WTPCore2_LevelValues,0))</f>
        <v>5.1592292451456759E-6</v>
      </c>
      <c r="J69" s="581">
        <f ca="1">SUM(H69:I69)</f>
        <v>3.691662501997991E-3</v>
      </c>
      <c r="K69" s="278">
        <f ca="1">E69*(F69-G69)</f>
        <v>16.472222222222221</v>
      </c>
      <c r="L69" s="579">
        <f ca="1">INDEX(INDIRECT("SSW_WTPCore_DCE_"&amp;$B69&amp;"_UnitValues"),MATCH("COMBINED-NHH",WTPCore_Group,0),MATCH("MEAN",LMH,0))</f>
        <v>70.914536619635854</v>
      </c>
      <c r="M69" s="579">
        <f ca="1">L69*(F69-G69)*(AllProps_SSW/NHHProps_SSW)</f>
        <v>6.2715708812260527</v>
      </c>
      <c r="N69" s="117">
        <f ca="1">INDEX(INDIRECT("SSW_WTPCore2_"&amp;$B69&amp;"_UnitValues"),2,MATCH("MEAN",LMH,0))</f>
        <v>184.66986976717914</v>
      </c>
      <c r="O69" s="579">
        <f ca="1">N69*($F69-$G69)*(AllProps_SSW/NHHProps_SSW)</f>
        <v>16.331914908839117</v>
      </c>
      <c r="P69" s="20">
        <f t="shared" ref="P69:P72" ca="1" si="36">K69*N$74/K$73</f>
        <v>21.648493854459026</v>
      </c>
      <c r="Q69" s="514" t="s">
        <v>369</v>
      </c>
      <c r="R69" s="534">
        <f ca="1">P69*NHHProps_SSW/((F69-G69)*AllProps_SSW)</f>
        <v>244.78602558692214</v>
      </c>
      <c r="S69" s="521">
        <f t="shared" ca="1" si="35"/>
        <v>1.4285714285714285E-2</v>
      </c>
      <c r="T69" s="521">
        <f t="shared" ca="1" si="35"/>
        <v>0.01</v>
      </c>
      <c r="U69" s="581">
        <f ca="1">INDEX(INDIRECT("CAM_WTPCore2_"&amp;$B69&amp;"_LevelValues"),2,MATCH("S1 MEAN",WTPCore2_LevelValues,0))</f>
        <v>4.257264223936371E-2</v>
      </c>
      <c r="V69" s="581">
        <f ca="1">INDEX(INDIRECT("CAM_WTPCore2_"&amp;$B69&amp;"_LevelValues"),2,MATCH("S2 MEAN",WTPCore2_LevelValues,0))</f>
        <v>1.0971349631991048E-2</v>
      </c>
      <c r="W69" s="581">
        <f t="shared" ref="W69:W72" ca="1" si="37">SUM(U69:V69)</f>
        <v>5.3543991871354758E-2</v>
      </c>
      <c r="X69" s="278">
        <f t="shared" ref="X69:X72" ca="1" si="38">E69*(S69-T69)</f>
        <v>12.707142857142856</v>
      </c>
      <c r="Y69" s="579">
        <f ca="1">INDEX(INDIRECT("CAM_WTPCore_"&amp;$C69&amp;"_UnitValues"),MATCH("COMBINED-NHH",WTPCore_Group,0),MATCH("MEAN",LMH,0))</f>
        <v>181.56028368794324</v>
      </c>
      <c r="Z69" s="579">
        <f ca="1">Y69*(S69-T69)*(AllProps_CAM/NHHProps_CAM)</f>
        <v>10.971428571428568</v>
      </c>
      <c r="AA69" s="117">
        <f ca="1">INDEX(INDIRECT("CAM_WTPCore2_"&amp;$B69&amp;"_UnitValues"),2,MATCH("MEAN",LMH,0))</f>
        <v>4536.682431842446</v>
      </c>
      <c r="AB69" s="579">
        <f ca="1">AA69*($S69-$T69)*(AllProps_CAM/NHHProps_CAM)</f>
        <v>274.1452383813363</v>
      </c>
      <c r="AC69" s="20">
        <f t="shared" ref="AC69:AC72" ca="1" si="39">X69*AA$74/X$73</f>
        <v>113.41175590436175</v>
      </c>
      <c r="AD69" s="341" t="str">
        <f>Q69</f>
        <v>Property affected</v>
      </c>
      <c r="AE69" s="931">
        <f ca="1">(AC69*NHHProps_CAM)/((S69-T69)*AllProps_CAM)</f>
        <v>1876.7902868334097</v>
      </c>
    </row>
    <row r="70" spans="1:31" s="64" customFormat="1" x14ac:dyDescent="0.25">
      <c r="A70" s="9" t="s">
        <v>181</v>
      </c>
      <c r="B70" s="9" t="s">
        <v>269</v>
      </c>
      <c r="C70" s="9" t="s">
        <v>328</v>
      </c>
      <c r="D70" s="514" t="s">
        <v>369</v>
      </c>
      <c r="E70" s="431">
        <f ca="1">INDEX(INDIRECT("ExtWTP_"&amp;$C70&amp;"_UnitValues"),MATCH(A$67, INDIRECT("ExtWTP_Comps_"&amp;C70),0),MATCH("NHH",ExtWTP_Group,0))</f>
        <v>1026</v>
      </c>
      <c r="F70" s="521">
        <f t="shared" ca="1" si="34"/>
        <v>1.2500000000000001E-2</v>
      </c>
      <c r="G70" s="521">
        <f t="shared" ca="1" si="34"/>
        <v>8.3333333333333332E-3</v>
      </c>
      <c r="H70" s="581">
        <f ca="1">INDEX(INDIRECT("SSW_WTPCore2_"&amp;$B70&amp;"_LevelValues"),2,MATCH("S1 MEAN",WTPCore2_LevelValues,0))</f>
        <v>2.3562800507588295E-4</v>
      </c>
      <c r="I70" s="581">
        <f ca="1">INDEX(INDIRECT("SSW_WTPCore2_"&amp;$B70&amp;"_LevelValues"),2,MATCH("S2 MEAN",WTPCore2_LevelValues,0))</f>
        <v>4.1117889914467278E-4</v>
      </c>
      <c r="J70" s="581">
        <f ca="1">SUM(H70:I70)</f>
        <v>6.4680690422055573E-4</v>
      </c>
      <c r="K70" s="278">
        <f ca="1">E70*(F70-G70)</f>
        <v>4.2750000000000012</v>
      </c>
      <c r="L70" s="579">
        <f ca="1">INDEX(INDIRECT("SSW_WTPCore_DCE_"&amp;$B70&amp;"_UnitValues"),MATCH("COMBINED-NHH",WTPCore_Group,0),MATCH("MEAN",LMH,0))</f>
        <v>310.41834897651921</v>
      </c>
      <c r="M70" s="579">
        <f ca="1">L70*(F70-G70)*(AllProps_SSW/NHHProps_SSW)</f>
        <v>20.589685534591201</v>
      </c>
      <c r="N70" s="117">
        <f ca="1">INDEX(INDIRECT("SSW_WTPCore2_"&amp;$B70&amp;"_UnitValues"),2,MATCH("MEAN",LMH,0))</f>
        <v>43.140724701414321</v>
      </c>
      <c r="O70" s="579">
        <f ca="1">N70*($F70-$G70)*(AllProps_SSW/NHHProps_SSW)</f>
        <v>2.8614737442717391</v>
      </c>
      <c r="P70" s="20">
        <f t="shared" ca="1" si="36"/>
        <v>5.6183865163596041</v>
      </c>
      <c r="Q70" s="514" t="s">
        <v>369</v>
      </c>
      <c r="R70" s="534">
        <f ca="1">P70*NHHProps_SSW/((F70-G70)*AllProps_SSW)</f>
        <v>84.705046290786555</v>
      </c>
      <c r="S70" s="521">
        <f t="shared" ca="1" si="35"/>
        <v>2.5000000000000001E-2</v>
      </c>
      <c r="T70" s="521">
        <f t="shared" ca="1" si="35"/>
        <v>1.6666666666666666E-2</v>
      </c>
      <c r="U70" s="581">
        <f ca="1">INDEX(INDIRECT("CAM_WTPCore2_"&amp;$B70&amp;"_LevelValues"),2,MATCH("S1 MEAN",WTPCore2_LevelValues,0))</f>
        <v>2.654718763279678E-4</v>
      </c>
      <c r="V70" s="581">
        <f ca="1">INDEX(INDIRECT("CAM_WTPCore2_"&amp;$B70&amp;"_LevelValues"),2,MATCH("S2 MEAN",WTPCore2_LevelValues,0))</f>
        <v>1.3401602008677625E-5</v>
      </c>
      <c r="W70" s="581">
        <f t="shared" ca="1" si="37"/>
        <v>2.7887347833664542E-4</v>
      </c>
      <c r="X70" s="278">
        <f t="shared" ca="1" si="38"/>
        <v>8.5500000000000025</v>
      </c>
      <c r="Y70" s="579">
        <f ca="1">INDEX(INDIRECT("CAM_WTPCore_"&amp;$B70&amp;"_UnitValues"),MATCH("COMBINED-NHH",WTPCore_Group,0),MATCH("MEAN",LMH,0))</f>
        <v>90.78014184397162</v>
      </c>
      <c r="Z70" s="579">
        <f ca="1">Y70*(S70-T70)*(AllProps_CAM/NHHProps_CAM)</f>
        <v>10.666666666666668</v>
      </c>
      <c r="AA70" s="117">
        <f ca="1">INDEX(INDIRECT("CAM_WTPCore2_"&amp;$B70&amp;"_UnitValues"),2,MATCH("MEAN",LMH,0))</f>
        <v>12.15176348156276</v>
      </c>
      <c r="AB70" s="579">
        <f ca="1">AA70*($S70-$T70)*(AllProps_CAM/NHHProps_CAM)</f>
        <v>1.4278322090836244</v>
      </c>
      <c r="AC70" s="20">
        <f t="shared" ca="1" si="39"/>
        <v>76.309090397707166</v>
      </c>
      <c r="AD70" s="341" t="str">
        <f>Q70</f>
        <v>Property affected</v>
      </c>
      <c r="AE70" s="931">
        <f ca="1">(AC70*NHHProps_CAM)/((S70-T70)*AllProps_CAM)</f>
        <v>649.4390672145289</v>
      </c>
    </row>
    <row r="71" spans="1:31" s="64" customFormat="1" x14ac:dyDescent="0.25">
      <c r="A71" s="9" t="s">
        <v>330</v>
      </c>
      <c r="B71" s="9" t="s">
        <v>319</v>
      </c>
      <c r="C71" s="9" t="str">
        <f>B71</f>
        <v>TempBan</v>
      </c>
      <c r="D71" s="514" t="s">
        <v>369</v>
      </c>
      <c r="E71" s="431">
        <f ca="1">INDEX(INDIRECT("ExtWTP_"&amp;$C71&amp;"_UnitValues"),MATCH(A$67, INDIRECT("ExtWTP_Comps_"&amp;C71),0),MATCH("NHH",ExtWTP_Group,0))</f>
        <v>674</v>
      </c>
      <c r="F71" s="521">
        <f t="shared" ca="1" si="34"/>
        <v>2.5000000000000001E-2</v>
      </c>
      <c r="G71" s="521">
        <f t="shared" ca="1" si="34"/>
        <v>1.6666666666666666E-2</v>
      </c>
      <c r="H71" s="581">
        <f ca="1">INDEX(INDIRECT("SSW_WTPCore2_"&amp;$B71&amp;"_LevelValues"),2,MATCH("S1 MEAN",WTPCore2_LevelValues,0))</f>
        <v>1.0363458862342743E-3</v>
      </c>
      <c r="I71" s="581">
        <f ca="1">INDEX(INDIRECT("SSW_WTPCore2_"&amp;$B71&amp;"_LevelValues"),2,MATCH("S2 MEAN",WTPCore2_LevelValues,0))</f>
        <v>6.2724159084084235E-4</v>
      </c>
      <c r="J71" s="581">
        <f ca="1">SUM(H71:I71)</f>
        <v>1.6635874770751166E-3</v>
      </c>
      <c r="K71" s="278">
        <f ca="1">E71*(F71-G71)</f>
        <v>5.616666666666668</v>
      </c>
      <c r="L71" s="820">
        <f ca="1">INDEX(INDIRECT("SSW_WTPCore_DCE_"&amp;$C71&amp;"_UnitValues"),MATCH("COMBINED-NHH",WTPCore_Group,0),MATCH("MEAN",LMH,0))</f>
        <v>196425.59999999998</v>
      </c>
      <c r="M71" s="579">
        <f ca="1">L71*(F71-G71)/NHHProps_SSW*100</f>
        <v>4.4240000000000004</v>
      </c>
      <c r="N71" s="343">
        <f ca="1">INDEX(INDIRECT("SSW_WTPCore2_"&amp;$C71&amp;"_UnitValues"),2,MATCH("MEAN",LMH,0))</f>
        <v>326771.16833696596</v>
      </c>
      <c r="O71" s="579">
        <f ca="1">N71*(F71-G71)/NHHProps_SSW*100</f>
        <v>7.3597109985803151</v>
      </c>
      <c r="P71" s="20">
        <f t="shared" ca="1" si="36"/>
        <v>7.3816618168155417</v>
      </c>
      <c r="Q71" s="643" t="s">
        <v>422</v>
      </c>
      <c r="R71" s="534">
        <f ca="1">P71*NHHProps_SSW/((F71-G71)*100)</f>
        <v>327745.78466661001</v>
      </c>
      <c r="S71" s="521">
        <f t="shared" ca="1" si="35"/>
        <v>0.02</v>
      </c>
      <c r="T71" s="521">
        <f t="shared" ca="1" si="35"/>
        <v>1.3333333333333334E-2</v>
      </c>
      <c r="U71" s="581">
        <f ca="1">INDEX(INDIRECT("CAM_WTPCore2_"&amp;$B71&amp;"_LevelValues"),2,MATCH("S1 MEAN",WTPCore2_LevelValues,0))</f>
        <v>1.3694025744847137E-3</v>
      </c>
      <c r="V71" s="581">
        <f ca="1">INDEX(INDIRECT("CAM_WTPCore2_"&amp;$B71&amp;"_LevelValues"),2,MATCH("S2 MEAN",WTPCore2_LevelValues,0))</f>
        <v>1.1073984405910726E-3</v>
      </c>
      <c r="W71" s="581">
        <f t="shared" ca="1" si="37"/>
        <v>2.4768010150757864E-3</v>
      </c>
      <c r="X71" s="278">
        <f t="shared" ca="1" si="38"/>
        <v>4.4933333333333332</v>
      </c>
      <c r="Y71" s="579">
        <f ca="1">INDEX(INDIRECT("CAM_WTPCore_"&amp;$C71&amp;"_UnitValues"),MATCH("COMBINED-NHH",WTPCore_Group,0),MATCH("MEAN",LMH,0))</f>
        <v>1105919.9999999998</v>
      </c>
      <c r="Z71" s="579">
        <f ca="1">Y71*(S71-T71)/NHHProps_CAM*100</f>
        <v>73.72799999999998</v>
      </c>
      <c r="AA71" s="117">
        <f ca="1">INDEX(INDIRECT("CAM_WTPCore2_"&amp;$B71&amp;"_UnitValues"),2,MATCH("MEAN",LMH,0))</f>
        <v>190218.3179578204</v>
      </c>
      <c r="AB71" s="579">
        <f ca="1">AA71*(S71-T71)/NHHProps_CAM*100</f>
        <v>12.681221197188028</v>
      </c>
      <c r="AC71" s="20">
        <f t="shared" ca="1" si="39"/>
        <v>40.103178891270659</v>
      </c>
      <c r="AD71" s="341" t="str">
        <f>Q71</f>
        <v>1% change in risk</v>
      </c>
      <c r="AE71" s="931">
        <f ca="1">(AC71*NHHProps_CAM)/((S71-T71)*100)</f>
        <v>601547.68336905993</v>
      </c>
    </row>
    <row r="72" spans="1:31" s="64" customFormat="1" x14ac:dyDescent="0.25">
      <c r="A72" s="9" t="s">
        <v>185</v>
      </c>
      <c r="B72" s="9" t="s">
        <v>270</v>
      </c>
      <c r="C72" s="9" t="str">
        <f>B72</f>
        <v>LowPressure</v>
      </c>
      <c r="D72" s="514" t="s">
        <v>369</v>
      </c>
      <c r="E72" s="431">
        <f ca="1">INDEX(INDIRECT("ExtWTP_"&amp;$C72&amp;"_UnitValues"),MATCH(A$67, INDIRECT("ExtWTP_Comps_"&amp;C72),0),MATCH("NHH",ExtWTP_Group,0))</f>
        <v>246</v>
      </c>
      <c r="F72" s="521">
        <f t="shared" ca="1" si="34"/>
        <v>0.1</v>
      </c>
      <c r="G72" s="521">
        <f t="shared" ca="1" si="34"/>
        <v>6.6666666666666666E-2</v>
      </c>
      <c r="H72" s="581">
        <f ca="1">INDEX(INDIRECT("SSW_WTPCore2_"&amp;$B72&amp;"_LevelValues"),2,MATCH("S1 MEAN",WTPCore2_LevelValues,0))</f>
        <v>6.9813125314618224E-5</v>
      </c>
      <c r="I72" s="581">
        <f ca="1">INDEX(INDIRECT("SSW_WTPCore2_"&amp;$B72&amp;"_LevelValues"),2,MATCH("S2 MEAN",WTPCore2_LevelValues,0))</f>
        <v>4.2539865887973236E-4</v>
      </c>
      <c r="J72" s="581">
        <f ca="1">SUM(H72:I72)</f>
        <v>4.9521178419435058E-4</v>
      </c>
      <c r="K72" s="278">
        <f ca="1">E72*(F72-G72)</f>
        <v>8.2000000000000011</v>
      </c>
      <c r="L72" s="579">
        <f ca="1">INDEX(INDIRECT("SSW_WTPCore_DCE_"&amp;$C72&amp;"_UnitValues"),MATCH("COMBINED-NHH",WTPCore_Group,0),MATCH("MEAN",LMH,0))</f>
        <v>38.286305674962968</v>
      </c>
      <c r="M72" s="579">
        <f ca="1">L72*(F72-G72)*(AllProps_SSW/NHHProps_SSW)</f>
        <v>20.315886524822695</v>
      </c>
      <c r="N72" s="117">
        <f ca="1">INDEX(INDIRECT("SSW_WTPCore2_"&amp;$C72&amp;"_UnitValues"),2,MATCH("MEAN",LMH,0))</f>
        <v>4.12870423758259</v>
      </c>
      <c r="O72" s="579">
        <f ca="1">N72*($F72-$G72)*(AllProps_SSW/NHHProps_SSW)</f>
        <v>2.1908169332758072</v>
      </c>
      <c r="P72" s="20">
        <f t="shared" ca="1" si="36"/>
        <v>10.776788171730702</v>
      </c>
      <c r="Q72" s="514" t="s">
        <v>369</v>
      </c>
      <c r="R72" s="534">
        <f ca="1">P72*NHHProps_SSW/((F72-G72)*AllProps_SSW)</f>
        <v>20.309397063872797</v>
      </c>
      <c r="S72" s="521">
        <f t="shared" ca="1" si="35"/>
        <v>9.0909090909090912E-2</v>
      </c>
      <c r="T72" s="521">
        <f t="shared" ca="1" si="35"/>
        <v>6.6666666666666666E-2</v>
      </c>
      <c r="U72" s="581">
        <f ca="1">INDEX(INDIRECT("CAM_WTPCore2_"&amp;$B72&amp;"_LevelValues"),2,MATCH("S1 MEAN",WTPCore2_LevelValues,0))</f>
        <v>4.8585541264324922E-5</v>
      </c>
      <c r="V72" s="581">
        <f ca="1">INDEX(INDIRECT("CAM_WTPCore2_"&amp;$B72&amp;"_LevelValues"),2,MATCH("S2 MEAN",WTPCore2_LevelValues,0))</f>
        <v>4.7427328754792901E-3</v>
      </c>
      <c r="W72" s="581">
        <f t="shared" ca="1" si="37"/>
        <v>4.7913184167436155E-3</v>
      </c>
      <c r="X72" s="278">
        <f t="shared" ca="1" si="38"/>
        <v>5.9636363636363647</v>
      </c>
      <c r="Y72" s="579">
        <f ca="1">INDEX(INDIRECT("CAM_WTPCore_"&amp;$C72&amp;"_UnitValues"),MATCH("COMBINED-NHH",WTPCore_Group,0),MATCH("MEAN",LMH,0))</f>
        <v>23.177908555907649</v>
      </c>
      <c r="Z72" s="579">
        <f ca="1">Y72*(S72-T72)*(AllProps_CAM/NHHProps_CAM)</f>
        <v>7.9226305609284342</v>
      </c>
      <c r="AA72" s="117">
        <f ca="1">INDEX(INDIRECT("CAM_WTPCore2_"&amp;$B72&amp;"_UnitValues"),2,MATCH("MEAN",LMH,0))</f>
        <v>71.767833306117126</v>
      </c>
      <c r="AB72" s="579">
        <f ca="1">AA72*($S72-$T72)*(AllProps_CAM/NHHProps_CAM)</f>
        <v>24.53155029372731</v>
      </c>
      <c r="AC72" s="20">
        <f t="shared" ca="1" si="39"/>
        <v>53.225691973307711</v>
      </c>
      <c r="AD72" s="341" t="str">
        <f>Q72</f>
        <v>Property affected</v>
      </c>
      <c r="AE72" s="931">
        <f ca="1">(AC72*NHHProps_CAM)/((S72-T72)*AllProps_SSW)</f>
        <v>37.276057621374235</v>
      </c>
    </row>
    <row r="73" spans="1:31" s="64" customFormat="1" x14ac:dyDescent="0.25">
      <c r="D73" s="517"/>
      <c r="E73" s="526"/>
      <c r="F73" s="527"/>
      <c r="G73" s="527"/>
      <c r="H73" s="527"/>
      <c r="I73" s="527"/>
      <c r="J73" s="445">
        <f ca="1">SUM(J68:J72)*AvgNHHBill_SSW</f>
        <v>116.67239966960673</v>
      </c>
      <c r="K73" s="446">
        <f ca="1">SUM(K68:K72)</f>
        <v>71.177222222222213</v>
      </c>
      <c r="L73" s="446"/>
      <c r="M73" s="446">
        <f ca="1">SUM(M68:M72)</f>
        <v>70.415855584318109</v>
      </c>
      <c r="N73" s="446"/>
      <c r="O73" s="446">
        <f ca="1">SUM(O68:O72)</f>
        <v>116.67239966960673</v>
      </c>
      <c r="P73" s="446">
        <f ca="1">SUM(P68:P72)</f>
        <v>93.544127626962421</v>
      </c>
      <c r="R73" s="628"/>
      <c r="S73" s="527"/>
      <c r="T73" s="527"/>
      <c r="U73" s="527"/>
      <c r="V73" s="527"/>
      <c r="W73" s="826">
        <f ca="1">SUM(W68:W72)*AvgNHHBill_CAM</f>
        <v>602.38102870789339</v>
      </c>
      <c r="X73" s="446">
        <f ca="1">SUM(X68:X72)</f>
        <v>41.102146742146743</v>
      </c>
      <c r="Y73" s="446"/>
      <c r="Z73" s="446">
        <f ca="1">SUM(Z68:Z72)</f>
        <v>131.29556340586126</v>
      </c>
      <c r="AA73" s="446"/>
      <c r="AB73" s="446">
        <f ca="1">SUM(AB68:AB72)</f>
        <v>602.38102870789328</v>
      </c>
      <c r="AC73" s="446">
        <f ca="1">SUM(AC68:AC72)</f>
        <v>366.83829605687725</v>
      </c>
      <c r="AE73" s="934"/>
    </row>
    <row r="74" spans="1:31" s="64" customFormat="1" x14ac:dyDescent="0.25">
      <c r="A74" s="60"/>
      <c r="B74" s="60"/>
      <c r="C74" s="60"/>
      <c r="D74" s="516"/>
      <c r="E74" s="523"/>
      <c r="F74" s="524"/>
      <c r="G74" s="524"/>
      <c r="H74" s="524"/>
      <c r="I74" s="524"/>
      <c r="J74" s="524"/>
      <c r="K74" s="31"/>
      <c r="L74" s="31"/>
      <c r="M74" s="45" t="s">
        <v>997</v>
      </c>
      <c r="N74" s="737">
        <f ca="1">AVERAGE(M73,O73)</f>
        <v>93.544127626962421</v>
      </c>
      <c r="O74" s="45"/>
      <c r="P74" s="554"/>
      <c r="Q74" s="60"/>
      <c r="R74" s="629"/>
      <c r="S74" s="524"/>
      <c r="T74" s="524"/>
      <c r="U74" s="524"/>
      <c r="V74" s="524"/>
      <c r="W74" s="524"/>
      <c r="X74" s="31"/>
      <c r="Y74" s="31"/>
      <c r="Z74" s="45" t="s">
        <v>997</v>
      </c>
      <c r="AA74" s="824">
        <f ca="1">AVERAGE(Z73,AB73)</f>
        <v>366.83829605687725</v>
      </c>
      <c r="AB74" s="45"/>
      <c r="AC74" s="554"/>
      <c r="AD74" s="60"/>
      <c r="AE74" s="932"/>
    </row>
    <row r="75" spans="1:31" x14ac:dyDescent="0.25">
      <c r="A75" s="61" t="s">
        <v>165</v>
      </c>
      <c r="B75" s="237"/>
      <c r="D75" s="515"/>
      <c r="E75" s="522"/>
      <c r="F75" s="448"/>
      <c r="G75" s="448"/>
      <c r="H75" s="497"/>
      <c r="I75" s="497"/>
      <c r="J75" s="497"/>
      <c r="K75" s="531"/>
      <c r="L75" s="531"/>
      <c r="M75" s="531"/>
      <c r="N75" s="531"/>
      <c r="O75" s="531"/>
      <c r="P75" s="10"/>
      <c r="Q75" s="912"/>
      <c r="R75" s="630"/>
      <c r="S75" s="448"/>
      <c r="T75" s="448"/>
      <c r="U75" s="497"/>
      <c r="V75" s="497"/>
      <c r="W75" s="497"/>
      <c r="X75" s="531"/>
      <c r="Y75" s="531"/>
      <c r="Z75" s="531"/>
      <c r="AA75" s="531"/>
      <c r="AB75" s="531"/>
      <c r="AC75" s="10"/>
      <c r="AE75" s="933"/>
    </row>
    <row r="76" spans="1:31" x14ac:dyDescent="0.25">
      <c r="A76" s="9" t="s">
        <v>25</v>
      </c>
      <c r="B76" s="9" t="s">
        <v>266</v>
      </c>
      <c r="C76" s="9" t="str">
        <f>B76</f>
        <v>Discolour</v>
      </c>
      <c r="D76" s="514" t="s">
        <v>369</v>
      </c>
      <c r="E76" s="431">
        <f ca="1">INDEX(INDIRECT("ExtWTP_"&amp;$C76&amp;"_UnitValues"),MATCH(A$75, INDIRECT("ExtWTP_Comps_"&amp;C76),0),MATCH("NHH",ExtWTP_Group,0))</f>
        <v>720</v>
      </c>
      <c r="F76" s="521">
        <f t="shared" ref="F76:G79" ca="1" si="40">INDEX(INDIRECT("SSW_WTPCore2_"&amp;$B76&amp;"_Levels"),2,MATCH(F$4,WTPCore2_AttLevels,0))</f>
        <v>6.6666666666666666E-2</v>
      </c>
      <c r="G76" s="521">
        <f t="shared" ca="1" si="40"/>
        <v>0.04</v>
      </c>
      <c r="H76" s="581">
        <f ca="1">INDEX(INDIRECT("SSW_WTPCore2_"&amp;$B76&amp;"_LevelValues"),2,MATCH("S1 MEAN",WTPCore2_LevelValues,0))</f>
        <v>1.9376915692789636E-2</v>
      </c>
      <c r="I76" s="581">
        <f ca="1">INDEX(INDIRECT("SSW_WTPCore2_"&amp;$B76&amp;"_LevelValues"),2,MATCH("S2 MEAN",WTPCore2_LevelValues,0))</f>
        <v>4.9841954334050795E-4</v>
      </c>
      <c r="J76" s="581">
        <f ca="1">SUM(H76:I76)</f>
        <v>1.9875335236130144E-2</v>
      </c>
      <c r="K76" s="278">
        <f ca="1">E76*(F76-G76)</f>
        <v>19.2</v>
      </c>
      <c r="L76" s="579">
        <f ca="1">INDEX(INDIRECT("SSW_WTPCore_DCE_"&amp;$C76&amp;"_UnitValues"),MATCH("COMBINED-NHH",WTPCore_Group,0),MATCH("MEAN",LMH,0))</f>
        <v>44.321585387272407</v>
      </c>
      <c r="M76" s="579">
        <f ca="1">L76*(F76-G76)*(AllProps_SSW/NHHProps_SSW)</f>
        <v>18.81471264367816</v>
      </c>
      <c r="N76" s="117">
        <f ca="1">INDEX(INDIRECT("SSW_WTPCore2_"&amp;$C76&amp;"_UnitValues"),2,MATCH("MEAN",LMH,0))</f>
        <v>207.13203782671931</v>
      </c>
      <c r="O76" s="579">
        <f ca="1">N76*($F76-$G76)*(AllProps_SSW/NHHProps_SSW)</f>
        <v>87.928483084639765</v>
      </c>
      <c r="P76" s="20">
        <f ca="1">K76*N$81/K$80</f>
        <v>52.09450409913228</v>
      </c>
      <c r="Q76" s="514" t="s">
        <v>369</v>
      </c>
      <c r="R76" s="534">
        <f ca="1">P76*NHHProps_SSW/((F76-G76)*AllProps_SSW)</f>
        <v>122.71837765287952</v>
      </c>
      <c r="S76" s="521">
        <f t="shared" ref="S76:T79" ca="1" si="41">INDEX(INDIRECT("CAM_WTPCore2_"&amp;$B76&amp;"_Levels"),2,MATCH(S$4,WTPCore2_AttLevels,0))</f>
        <v>2.2222222222222223E-2</v>
      </c>
      <c r="T76" s="521">
        <f t="shared" ca="1" si="41"/>
        <v>1.5384615384615385E-2</v>
      </c>
      <c r="U76" s="581">
        <f ca="1">INDEX(INDIRECT("CAM_WTPCore2_"&amp;$B76&amp;"_LevelValues"),2,MATCH("S1 MEAN",WTPCore2_LevelValues,0))</f>
        <v>5.6414013673365619E-2</v>
      </c>
      <c r="V76" s="581">
        <f ca="1">INDEX(INDIRECT("CAM_WTPCore2_"&amp;$B76&amp;"_LevelValues"),2,MATCH("S2 MEAN",WTPCore2_LevelValues,0))</f>
        <v>1.4754621463399648E-4</v>
      </c>
      <c r="W76" s="581">
        <f ca="1">SUM(U76:V76)</f>
        <v>5.6561559887999616E-2</v>
      </c>
      <c r="X76" s="278">
        <f ca="1">E76*(S76-T76)</f>
        <v>4.9230769230769234</v>
      </c>
      <c r="Y76" s="579">
        <f ca="1">INDEX(INDIRECT("CAM_WTPCore_"&amp;$C76&amp;"_UnitValues"),MATCH("COMBINED-NHH",WTPCore_Group,0),MATCH("MEAN",LMH,0))</f>
        <v>290.49645390070918</v>
      </c>
      <c r="Z76" s="579">
        <f ca="1">Y76*(S76-T76)*(AllProps_CAM/NHHProps_CAM)</f>
        <v>28.006837606837603</v>
      </c>
      <c r="AA76" s="117">
        <f ca="1">INDEX(INDIRECT("CAM_WTPCore2_"&amp;$B76&amp;"_UnitValues"),2,MATCH("MEAN",LMH,0))</f>
        <v>3003.7798612861075</v>
      </c>
      <c r="AB76" s="579">
        <f ca="1">AA76*($S76-$T76)*(AllProps_CAM/NHHProps_CAM)</f>
        <v>289.59518662655802</v>
      </c>
      <c r="AC76" s="20">
        <f ca="1">X76*AA$81/X$80</f>
        <v>78.708954717873212</v>
      </c>
      <c r="AD76" s="341" t="str">
        <f>Q76</f>
        <v>Property affected</v>
      </c>
      <c r="AE76" s="931">
        <f ca="1">(AC76*NHHProps_CAM)/((S76-T76)*AllProps_CAM)</f>
        <v>816.39607287155729</v>
      </c>
    </row>
    <row r="77" spans="1:31" x14ac:dyDescent="0.25">
      <c r="A77" s="9" t="s">
        <v>117</v>
      </c>
      <c r="B77" s="9" t="s">
        <v>265</v>
      </c>
      <c r="C77" s="9" t="str">
        <f>B77</f>
        <v>TasteSmell</v>
      </c>
      <c r="D77" s="514" t="s">
        <v>369</v>
      </c>
      <c r="E77" s="431">
        <f ca="1">INDEX(INDIRECT("ExtWTP_"&amp;$C77&amp;"_UnitValues"),MATCH(A$75, INDIRECT("ExtWTP_Comps_"&amp;C77),0),MATCH("NHH",ExtWTP_Group,0))</f>
        <v>450</v>
      </c>
      <c r="F77" s="521">
        <f t="shared" ca="1" si="40"/>
        <v>1.6666666666666666E-2</v>
      </c>
      <c r="G77" s="521">
        <f t="shared" ca="1" si="40"/>
        <v>1.1111111111111112E-2</v>
      </c>
      <c r="H77" s="581">
        <f ca="1">INDEX(INDIRECT("SSW_WTPCore2_"&amp;$B77&amp;"_LevelValues"),2,MATCH("S1 MEAN",WTPCore2_LevelValues,0))</f>
        <v>3.6865032727528453E-3</v>
      </c>
      <c r="I77" s="581">
        <f ca="1">INDEX(INDIRECT("SSW_WTPCore2_"&amp;$B77&amp;"_LevelValues"),2,MATCH("S2 MEAN",WTPCore2_LevelValues,0))</f>
        <v>5.1592292451456759E-6</v>
      </c>
      <c r="J77" s="581">
        <f ca="1">SUM(H77:I77)</f>
        <v>3.691662501997991E-3</v>
      </c>
      <c r="K77" s="278">
        <f ca="1">E77*(F77-G77)</f>
        <v>2.4999999999999996</v>
      </c>
      <c r="L77" s="579">
        <f ca="1">INDEX(INDIRECT("SSW_WTPCore_DCE_"&amp;$B77&amp;"_UnitValues"),MATCH("COMBINED-NHH",WTPCore_Group,0),MATCH("MEAN",LMH,0))</f>
        <v>70.914536619635854</v>
      </c>
      <c r="M77" s="579">
        <f ca="1">L77*(F77-G77)*(AllProps_SSW/NHHProps_SSW)</f>
        <v>6.2715708812260527</v>
      </c>
      <c r="N77" s="117">
        <f ca="1">INDEX(INDIRECT("SSW_WTPCore2_"&amp;$B77&amp;"_UnitValues"),2,MATCH("MEAN",LMH,0))</f>
        <v>184.66986976717914</v>
      </c>
      <c r="O77" s="579">
        <f ca="1">N77*($F77-$G77)*(AllProps_SSW/NHHProps_SSW)</f>
        <v>16.331914908839117</v>
      </c>
      <c r="P77" s="20">
        <f t="shared" ref="P77:P79" ca="1" si="42">K77*N$81/K$80</f>
        <v>6.7831385545745144</v>
      </c>
      <c r="Q77" s="514" t="s">
        <v>369</v>
      </c>
      <c r="R77" s="534">
        <f ca="1">P77*NHHProps_SSW/((F77-G77)*AllProps_SSW)</f>
        <v>76.698986033049692</v>
      </c>
      <c r="S77" s="521">
        <f t="shared" ca="1" si="41"/>
        <v>1.4285714285714285E-2</v>
      </c>
      <c r="T77" s="521">
        <f t="shared" ca="1" si="41"/>
        <v>0.01</v>
      </c>
      <c r="U77" s="581">
        <f ca="1">INDEX(INDIRECT("CAM_WTPCore2_"&amp;$B77&amp;"_LevelValues"),2,MATCH("S1 MEAN",WTPCore2_LevelValues,0))</f>
        <v>4.257264223936371E-2</v>
      </c>
      <c r="V77" s="581">
        <f ca="1">INDEX(INDIRECT("CAM_WTPCore2_"&amp;$B77&amp;"_LevelValues"),2,MATCH("S2 MEAN",WTPCore2_LevelValues,0))</f>
        <v>1.0971349631991048E-2</v>
      </c>
      <c r="W77" s="581">
        <f t="shared" ref="W77:W79" ca="1" si="43">SUM(U77:V77)</f>
        <v>5.3543991871354758E-2</v>
      </c>
      <c r="X77" s="278">
        <f t="shared" ref="X77:X79" ca="1" si="44">E77*(S77-T77)</f>
        <v>1.9285714285714284</v>
      </c>
      <c r="Y77" s="579">
        <f ca="1">INDEX(INDIRECT("CAM_WTPCore_"&amp;$C77&amp;"_UnitValues"),MATCH("COMBINED-NHH",WTPCore_Group,0),MATCH("MEAN",LMH,0))</f>
        <v>181.56028368794324</v>
      </c>
      <c r="Z77" s="579">
        <f ca="1">Y77*(S77-T77)*(AllProps_CAM/NHHProps_CAM)</f>
        <v>10.971428571428568</v>
      </c>
      <c r="AA77" s="117">
        <f ca="1">INDEX(INDIRECT("CAM_WTPCore2_"&amp;$B77&amp;"_UnitValues"),2,MATCH("MEAN",LMH,0))</f>
        <v>4536.682431842446</v>
      </c>
      <c r="AB77" s="579">
        <f ca="1">AA77*($S77-$T77)*(AllProps_CAM/NHHProps_CAM)</f>
        <v>274.1452383813363</v>
      </c>
      <c r="AC77" s="20">
        <f t="shared" ref="AC77:AC79" ca="1" si="45">X77*AA$81/X$80</f>
        <v>30.833530252202561</v>
      </c>
      <c r="AD77" s="341" t="str">
        <f>Q77</f>
        <v>Property affected</v>
      </c>
      <c r="AE77" s="931">
        <f ca="1">(AC77*NHHProps_CAM)/((S77-T77)*AllProps_CAM)</f>
        <v>510.24754554472327</v>
      </c>
    </row>
    <row r="78" spans="1:31" x14ac:dyDescent="0.25">
      <c r="A78" s="9" t="s">
        <v>183</v>
      </c>
      <c r="B78" s="9" t="s">
        <v>269</v>
      </c>
      <c r="C78" s="9" t="s">
        <v>332</v>
      </c>
      <c r="D78" s="514" t="s">
        <v>369</v>
      </c>
      <c r="E78" s="431">
        <f ca="1">INDEX(INDIRECT("ExtWTP_"&amp;$C78&amp;"_UnitValues"),MATCH(A$75, INDIRECT("ExtWTP_Comps_"&amp;C78),0),MATCH("NHH",ExtWTP_Group,0))</f>
        <v>1635</v>
      </c>
      <c r="F78" s="521">
        <f t="shared" ca="1" si="40"/>
        <v>1.2500000000000001E-2</v>
      </c>
      <c r="G78" s="521">
        <f t="shared" ca="1" si="40"/>
        <v>8.3333333333333332E-3</v>
      </c>
      <c r="H78" s="581">
        <f ca="1">INDEX(INDIRECT("SSW_WTPCore2_"&amp;$B78&amp;"_LevelValues"),2,MATCH("S1 MEAN",WTPCore2_LevelValues,0))</f>
        <v>2.3562800507588295E-4</v>
      </c>
      <c r="I78" s="581">
        <f ca="1">INDEX(INDIRECT("SSW_WTPCore2_"&amp;$B78&amp;"_LevelValues"),2,MATCH("S2 MEAN",WTPCore2_LevelValues,0))</f>
        <v>4.1117889914467278E-4</v>
      </c>
      <c r="J78" s="581">
        <f ca="1">SUM(H78:I78)</f>
        <v>6.4680690422055573E-4</v>
      </c>
      <c r="K78" s="278">
        <f ca="1">E78*(F78-G78)</f>
        <v>6.8125000000000009</v>
      </c>
      <c r="L78" s="579">
        <f ca="1">INDEX(INDIRECT("SSW_WTPCore_DCE_"&amp;$B78&amp;"_UnitValues"),MATCH("COMBINED-NHH",WTPCore_Group,0),MATCH("MEAN",LMH,0))</f>
        <v>310.41834897651921</v>
      </c>
      <c r="M78" s="579">
        <f ca="1">L78*(F78-G78)*(AllProps_SSW/NHHProps_SSW)</f>
        <v>20.589685534591201</v>
      </c>
      <c r="N78" s="117">
        <f ca="1">INDEX(INDIRECT("SSW_WTPCore2_"&amp;$B78&amp;"_UnitValues"),2,MATCH("MEAN",LMH,0))</f>
        <v>43.140724701414321</v>
      </c>
      <c r="O78" s="579">
        <f ca="1">N78*($F78-$G78)*(AllProps_SSW/NHHProps_SSW)</f>
        <v>2.8614737442717391</v>
      </c>
      <c r="P78" s="20">
        <f t="shared" ca="1" si="42"/>
        <v>18.48405256121556</v>
      </c>
      <c r="Q78" s="514" t="s">
        <v>369</v>
      </c>
      <c r="R78" s="534">
        <f ca="1">P78*NHHProps_SSW/((F78-G78)*AllProps_SSW)</f>
        <v>278.67298258674725</v>
      </c>
      <c r="S78" s="521">
        <f t="shared" ca="1" si="41"/>
        <v>2.5000000000000001E-2</v>
      </c>
      <c r="T78" s="521">
        <f t="shared" ca="1" si="41"/>
        <v>1.6666666666666666E-2</v>
      </c>
      <c r="U78" s="581">
        <f ca="1">INDEX(INDIRECT("CAM_WTPCore2_"&amp;$B78&amp;"_LevelValues"),2,MATCH("S1 MEAN",WTPCore2_LevelValues,0))</f>
        <v>2.654718763279678E-4</v>
      </c>
      <c r="V78" s="581">
        <f ca="1">INDEX(INDIRECT("CAM_WTPCore2_"&amp;$B78&amp;"_LevelValues"),2,MATCH("S2 MEAN",WTPCore2_LevelValues,0))</f>
        <v>1.3401602008677625E-5</v>
      </c>
      <c r="W78" s="581">
        <f t="shared" ca="1" si="43"/>
        <v>2.7887347833664542E-4</v>
      </c>
      <c r="X78" s="278">
        <f t="shared" ca="1" si="44"/>
        <v>13.625000000000002</v>
      </c>
      <c r="Y78" s="579">
        <f ca="1">INDEX(INDIRECT("CAM_WTPCore_"&amp;$B78&amp;"_UnitValues"),MATCH("COMBINED-NHH",WTPCore_Group,0),MATCH("MEAN",LMH,0))</f>
        <v>90.78014184397162</v>
      </c>
      <c r="Z78" s="579">
        <f ca="1">Y78*(S78-T78)*(AllProps_CAM/NHHProps_CAM)</f>
        <v>10.666666666666668</v>
      </c>
      <c r="AA78" s="117">
        <f ca="1">INDEX(INDIRECT("CAM_WTPCore2_"&amp;$B78&amp;"_UnitValues"),2,MATCH("MEAN",LMH,0))</f>
        <v>12.15176348156276</v>
      </c>
      <c r="AB78" s="579">
        <f ca="1">AA78*($S78-$T78)*(AllProps_CAM/NHHProps_CAM)</f>
        <v>1.4278322090836244</v>
      </c>
      <c r="AC78" s="20">
        <f t="shared" ca="1" si="45"/>
        <v>217.83318131880151</v>
      </c>
      <c r="AD78" s="341" t="str">
        <f>Q78</f>
        <v>Property affected</v>
      </c>
      <c r="AE78" s="931">
        <f ca="1">(AC78*NHHProps_CAM)/((S78-T78)*AllProps_CAM)</f>
        <v>1853.8994154791615</v>
      </c>
    </row>
    <row r="79" spans="1:31" x14ac:dyDescent="0.25">
      <c r="A79" s="9" t="s">
        <v>330</v>
      </c>
      <c r="B79" s="9" t="s">
        <v>319</v>
      </c>
      <c r="C79" s="9" t="str">
        <f>B79</f>
        <v>TempBan</v>
      </c>
      <c r="D79" s="514" t="s">
        <v>369</v>
      </c>
      <c r="E79" s="431">
        <f ca="1">INDEX(INDIRECT("ExtWTP_"&amp;$C79&amp;"_UnitValues"),MATCH(A$75, INDIRECT("ExtWTP_Comps_"&amp;C79),0),MATCH("NHH",ExtWTP_Group,0))</f>
        <v>218</v>
      </c>
      <c r="F79" s="521">
        <f t="shared" ca="1" si="40"/>
        <v>2.5000000000000001E-2</v>
      </c>
      <c r="G79" s="521">
        <f t="shared" ca="1" si="40"/>
        <v>1.6666666666666666E-2</v>
      </c>
      <c r="H79" s="581">
        <f ca="1">INDEX(INDIRECT("SSW_WTPCore2_"&amp;$B79&amp;"_LevelValues"),2,MATCH("S1 MEAN",WTPCore2_LevelValues,0))</f>
        <v>1.0363458862342743E-3</v>
      </c>
      <c r="I79" s="581">
        <f ca="1">INDEX(INDIRECT("SSW_WTPCore2_"&amp;$B79&amp;"_LevelValues"),2,MATCH("S2 MEAN",WTPCore2_LevelValues,0))</f>
        <v>6.2724159084084235E-4</v>
      </c>
      <c r="J79" s="581">
        <f ca="1">SUM(H79:I79)</f>
        <v>1.6635874770751166E-3</v>
      </c>
      <c r="K79" s="278">
        <f ca="1">E79*(F79-G79)</f>
        <v>1.8166666666666671</v>
      </c>
      <c r="L79" s="820">
        <f ca="1">INDEX(INDIRECT("SSW_WTPCore_DCE_"&amp;$C79&amp;"_UnitValues"),MATCH("COMBINED-NHH",WTPCore_Group,0),MATCH("MEAN",LMH,0))</f>
        <v>196425.59999999998</v>
      </c>
      <c r="M79" s="579">
        <f ca="1">L79*(F79-G79)/NHHProps_SSW*100</f>
        <v>4.4240000000000004</v>
      </c>
      <c r="N79" s="343">
        <f ca="1">INDEX(INDIRECT("SSW_WTPCore2_"&amp;$C79&amp;"_UnitValues"),2,MATCH("MEAN",LMH,0))</f>
        <v>326771.16833696596</v>
      </c>
      <c r="O79" s="579">
        <f ca="1">N79*(F79-G79)/NHHProps_SSW*100</f>
        <v>7.3597109985803151</v>
      </c>
      <c r="P79" s="20">
        <f t="shared" ca="1" si="42"/>
        <v>4.9290806829908158</v>
      </c>
      <c r="Q79" s="643" t="s">
        <v>422</v>
      </c>
      <c r="R79" s="534">
        <f ca="1">P79*NHHProps_SSW/((F79-G79)*100)</f>
        <v>218851.1823247922</v>
      </c>
      <c r="S79" s="521">
        <f t="shared" ca="1" si="41"/>
        <v>0.02</v>
      </c>
      <c r="T79" s="521">
        <f t="shared" ca="1" si="41"/>
        <v>1.3333333333333334E-2</v>
      </c>
      <c r="U79" s="581">
        <f ca="1">INDEX(INDIRECT("CAM_WTPCore2_"&amp;$B79&amp;"_LevelValues"),2,MATCH("S1 MEAN",WTPCore2_LevelValues,0))</f>
        <v>1.3694025744847137E-3</v>
      </c>
      <c r="V79" s="581">
        <f ca="1">INDEX(INDIRECT("CAM_WTPCore2_"&amp;$B79&amp;"_LevelValues"),2,MATCH("S2 MEAN",WTPCore2_LevelValues,0))</f>
        <v>1.1073984405910726E-3</v>
      </c>
      <c r="W79" s="581">
        <f t="shared" ca="1" si="43"/>
        <v>2.4768010150757864E-3</v>
      </c>
      <c r="X79" s="278">
        <f t="shared" ca="1" si="44"/>
        <v>1.4533333333333331</v>
      </c>
      <c r="Y79" s="579">
        <f ca="1">INDEX(INDIRECT("CAM_WTPCore_"&amp;$C79&amp;"_UnitValues"),MATCH("COMBINED-NHH",WTPCore_Group,0),MATCH("MEAN",LMH,0))</f>
        <v>1105919.9999999998</v>
      </c>
      <c r="Z79" s="579">
        <f ca="1">Y79*(S79-T79)/NHHProps_CAM*100</f>
        <v>73.72799999999998</v>
      </c>
      <c r="AA79" s="117">
        <f ca="1">INDEX(INDIRECT("CAM_WTPCore2_"&amp;$B79&amp;"_UnitValues"),2,MATCH("MEAN",LMH,0))</f>
        <v>190218.3179578204</v>
      </c>
      <c r="AB79" s="579">
        <f ca="1">AA79*(S79-T79)/NHHProps_CAM*100</f>
        <v>12.681221197188028</v>
      </c>
      <c r="AC79" s="20">
        <f t="shared" ca="1" si="45"/>
        <v>23.235539340672155</v>
      </c>
      <c r="AD79" s="341" t="str">
        <f>Q79</f>
        <v>1% change in risk</v>
      </c>
      <c r="AE79" s="931">
        <f ca="1">(AC79*NHHProps_CAM)/((S79-T79)*100)</f>
        <v>348533.09011008235</v>
      </c>
    </row>
    <row r="80" spans="1:31" x14ac:dyDescent="0.25">
      <c r="D80" s="514"/>
      <c r="E80" s="431"/>
      <c r="F80" s="20"/>
      <c r="G80" s="20"/>
      <c r="H80" s="20"/>
      <c r="I80" s="20"/>
      <c r="J80" s="445">
        <f ca="1">SUM(J76:J79)*AvgNHHBill_SSW</f>
        <v>114.48158273633092</v>
      </c>
      <c r="K80" s="446">
        <f ca="1">SUM(K76:K79)</f>
        <v>30.329166666666666</v>
      </c>
      <c r="L80" s="446"/>
      <c r="M80" s="446">
        <f ca="1">SUM(M75:M79)</f>
        <v>50.099969059495415</v>
      </c>
      <c r="N80" s="446"/>
      <c r="O80" s="446">
        <f ca="1">SUM(O75:O79)</f>
        <v>114.48158273633092</v>
      </c>
      <c r="P80" s="446">
        <f ca="1">SUM(P75:P79)</f>
        <v>82.290775897913164</v>
      </c>
      <c r="R80" s="834"/>
      <c r="S80" s="20"/>
      <c r="T80" s="20"/>
      <c r="U80" s="20"/>
      <c r="V80" s="20"/>
      <c r="W80" s="826">
        <f ca="1">SUM(W76:W79)*AvgNHHBill_CAM</f>
        <v>577.84947841416613</v>
      </c>
      <c r="X80" s="446">
        <f ca="1">SUM(X76:X79)</f>
        <v>21.929981684981687</v>
      </c>
      <c r="Y80" s="446"/>
      <c r="Z80" s="446">
        <f ca="1">SUM(Z75:Z79)</f>
        <v>123.37293284493282</v>
      </c>
      <c r="AA80" s="446"/>
      <c r="AB80" s="446">
        <f ca="1">SUM(AB75:AB79)</f>
        <v>577.84947841416601</v>
      </c>
      <c r="AC80" s="289">
        <f ca="1">SUM(AC75:AC79)</f>
        <v>350.61120562954943</v>
      </c>
      <c r="AE80" s="931"/>
    </row>
    <row r="81" spans="1:31" x14ac:dyDescent="0.25">
      <c r="A81" s="60"/>
      <c r="B81" s="60"/>
      <c r="C81" s="60"/>
      <c r="D81" s="516"/>
      <c r="E81" s="523"/>
      <c r="F81" s="524"/>
      <c r="G81" s="524"/>
      <c r="H81" s="524"/>
      <c r="I81" s="524"/>
      <c r="J81" s="524"/>
      <c r="K81" s="31"/>
      <c r="L81" s="31"/>
      <c r="M81" s="45" t="s">
        <v>997</v>
      </c>
      <c r="N81" s="737">
        <f ca="1">AVERAGE(M80,O80)</f>
        <v>82.290775897913164</v>
      </c>
      <c r="O81" s="45"/>
      <c r="P81" s="524"/>
      <c r="Q81" s="60"/>
      <c r="R81" s="629"/>
      <c r="S81" s="524"/>
      <c r="T81" s="524"/>
      <c r="U81" s="524"/>
      <c r="V81" s="524"/>
      <c r="W81" s="524"/>
      <c r="X81" s="31"/>
      <c r="Y81" s="31"/>
      <c r="Z81" s="45" t="s">
        <v>997</v>
      </c>
      <c r="AA81" s="737">
        <f ca="1">AVERAGE(Z80,AB80)</f>
        <v>350.61120562954943</v>
      </c>
      <c r="AB81" s="45"/>
      <c r="AC81" s="524"/>
      <c r="AD81" s="60"/>
      <c r="AE81" s="932"/>
    </row>
    <row r="82" spans="1:31" x14ac:dyDescent="0.25">
      <c r="A82" s="61" t="s">
        <v>40</v>
      </c>
      <c r="B82" s="237"/>
      <c r="D82" s="515"/>
      <c r="E82" s="522"/>
      <c r="F82" s="448"/>
      <c r="G82" s="448"/>
      <c r="H82" s="497"/>
      <c r="I82" s="497"/>
      <c r="J82" s="497"/>
      <c r="K82" s="531"/>
      <c r="L82" s="531"/>
      <c r="M82" s="531"/>
      <c r="N82" s="531"/>
      <c r="O82" s="531"/>
      <c r="P82" s="445"/>
      <c r="Q82" s="912"/>
      <c r="R82" s="630"/>
      <c r="S82" s="448"/>
      <c r="T82" s="448"/>
      <c r="U82" s="497"/>
      <c r="V82" s="497"/>
      <c r="W82" s="497"/>
      <c r="X82" s="531"/>
      <c r="Y82" s="531"/>
      <c r="Z82" s="531"/>
      <c r="AA82" s="531"/>
      <c r="AB82" s="531"/>
      <c r="AC82" s="445"/>
      <c r="AE82" s="933"/>
    </row>
    <row r="83" spans="1:31" x14ac:dyDescent="0.25">
      <c r="A83" s="9" t="s">
        <v>182</v>
      </c>
      <c r="B83" s="9" t="s">
        <v>269</v>
      </c>
      <c r="C83" s="9" t="s">
        <v>326</v>
      </c>
      <c r="D83" s="514" t="s">
        <v>369</v>
      </c>
      <c r="E83" s="431">
        <f ca="1">INDEX(INDIRECT("ExtWTP_"&amp;$C83&amp;"_UnitValues"),4,2)</f>
        <v>4409</v>
      </c>
      <c r="F83" s="521">
        <f t="shared" ref="F83:G86" ca="1" si="46">INDEX(INDIRECT("SSW_WTPCore2_"&amp;$B83&amp;"_Levels"),2,MATCH(F$4,WTPCore2_AttLevels,0))</f>
        <v>1.2500000000000001E-2</v>
      </c>
      <c r="G83" s="521">
        <f t="shared" ca="1" si="46"/>
        <v>8.3333333333333332E-3</v>
      </c>
      <c r="H83" s="581">
        <f ca="1">INDEX(INDIRECT("SSW_WTPCore2_"&amp;$B83&amp;"_LevelValues"),2,MATCH("S1 MEAN",WTPCore2_LevelValues,0))</f>
        <v>2.3562800507588295E-4</v>
      </c>
      <c r="I83" s="581">
        <f ca="1">INDEX(INDIRECT("SSW_WTPCore2_"&amp;$B83&amp;"_LevelValues"),2,MATCH("S2 MEAN",WTPCore2_LevelValues,0))</f>
        <v>4.1117889914467278E-4</v>
      </c>
      <c r="J83" s="581">
        <f ca="1">SUM(H83:I83)</f>
        <v>6.4680690422055573E-4</v>
      </c>
      <c r="K83" s="278">
        <f ca="1">E83*(F83-G83)</f>
        <v>18.370833333333337</v>
      </c>
      <c r="L83" s="579">
        <f ca="1">INDEX(INDIRECT("SSW_WTPCore_DCE_"&amp;$B83&amp;"_UnitValues"),MATCH("COMBINED-NHH",WTPCore_Group,0),MATCH("MEAN",LMH,0))</f>
        <v>310.41834897651921</v>
      </c>
      <c r="M83" s="579">
        <f ca="1">L83*($F83-$G83)*(AllProps_SSW/NHHProps_SSW)</f>
        <v>20.589685534591201</v>
      </c>
      <c r="N83" s="117">
        <f ca="1">INDEX(INDIRECT("SSW_WTPCore2_"&amp;$B83&amp;"_UnitValues"),2,MATCH("MEAN",LMH,0))</f>
        <v>43.140724701414321</v>
      </c>
      <c r="O83" s="579">
        <f ca="1">N83*($F83-$G83)*(AllProps_SSW/NHHProps_SSW)</f>
        <v>2.8614737442717391</v>
      </c>
      <c r="P83" s="20">
        <f ca="1">K83*N$88/K$87</f>
        <v>45.260321534307067</v>
      </c>
      <c r="Q83" s="514" t="s">
        <v>369</v>
      </c>
      <c r="R83" s="534">
        <f ca="1">P83*NHHProps_SSW/((F83-G83)*AllProps_SSW)</f>
        <v>682.36274231688753</v>
      </c>
      <c r="S83" s="521">
        <f t="shared" ref="S83:T86" ca="1" si="47">INDEX(INDIRECT("CAM_WTPCore2_"&amp;$B83&amp;"_Levels"),2,MATCH(S$4,WTPCore2_AttLevels,0))</f>
        <v>2.5000000000000001E-2</v>
      </c>
      <c r="T83" s="521">
        <f t="shared" ca="1" si="47"/>
        <v>1.6666666666666666E-2</v>
      </c>
      <c r="U83" s="581">
        <f ca="1">INDEX(INDIRECT("CAM_WTPCore2_"&amp;$B83&amp;"_LevelValues"),2,MATCH("S1 MEAN",WTPCore2_LevelValues,0))</f>
        <v>2.654718763279678E-4</v>
      </c>
      <c r="V83" s="581">
        <f ca="1">INDEX(INDIRECT("CAM_WTPCore2_"&amp;$B83&amp;"_LevelValues"),2,MATCH("S2 MEAN",WTPCore2_LevelValues,0))</f>
        <v>1.3401602008677625E-5</v>
      </c>
      <c r="W83" s="581">
        <f ca="1">SUM(U83:V83)</f>
        <v>2.7887347833664542E-4</v>
      </c>
      <c r="X83" s="278">
        <f ca="1">E83*(S83-T83)</f>
        <v>36.741666666666674</v>
      </c>
      <c r="Y83" s="579">
        <f ca="1">INDEX(INDIRECT("CAM_WTPCore_"&amp;$B83&amp;"_UnitValues"),MATCH("COMBINED-NHH",WTPCore_Group,0),MATCH("MEAN",LMH,0))</f>
        <v>90.78014184397162</v>
      </c>
      <c r="Z83" s="579">
        <f ca="1">Y83*(S83-T83)*(AllProps_CAM/NHHProps_CAM)</f>
        <v>10.666666666666668</v>
      </c>
      <c r="AA83" s="117">
        <f ca="1">INDEX(INDIRECT("CAM_WTPCore2_"&amp;$B83&amp;"_UnitValues"),2,MATCH("MEAN",LMH,0))</f>
        <v>12.15176348156276</v>
      </c>
      <c r="AB83" s="579">
        <f ca="1">AA83*($S83-$T83)*(AllProps_CAM/NHHProps_CAM)</f>
        <v>1.4278322090836244</v>
      </c>
      <c r="AC83" s="20">
        <f ca="1">X83*AA$88/X$87</f>
        <v>4.2433329228424563E-2</v>
      </c>
      <c r="AD83" s="341" t="str">
        <f>Q83</f>
        <v>Property affected</v>
      </c>
      <c r="AE83" s="936">
        <f ca="1">(AC83*NHHProps_CAM)/((S83-T83)*AllProps_CAM)</f>
        <v>0.36113471683765574</v>
      </c>
    </row>
    <row r="84" spans="1:31" x14ac:dyDescent="0.25">
      <c r="A84" s="9" t="s">
        <v>330</v>
      </c>
      <c r="B84" s="9" t="s">
        <v>319</v>
      </c>
      <c r="C84" s="9" t="str">
        <f>B84</f>
        <v>TempBan</v>
      </c>
      <c r="D84" s="514" t="s">
        <v>369</v>
      </c>
      <c r="E84" s="431">
        <f ca="1">INDEX(INDIRECT("ExtWTP_"&amp;$B84&amp;"_UnitValues"),12,2)</f>
        <v>1690</v>
      </c>
      <c r="F84" s="521">
        <f t="shared" ca="1" si="46"/>
        <v>2.5000000000000001E-2</v>
      </c>
      <c r="G84" s="521">
        <f t="shared" ca="1" si="46"/>
        <v>1.6666666666666666E-2</v>
      </c>
      <c r="H84" s="581">
        <f ca="1">INDEX(INDIRECT("SSW_WTPCore2_"&amp;$B84&amp;"_LevelValues"),2,MATCH("S1 MEAN",WTPCore2_LevelValues,0))</f>
        <v>1.0363458862342743E-3</v>
      </c>
      <c r="I84" s="581">
        <f ca="1">INDEX(INDIRECT("SSW_WTPCore2_"&amp;$B84&amp;"_LevelValues"),2,MATCH("S2 MEAN",WTPCore2_LevelValues,0))</f>
        <v>6.2724159084084235E-4</v>
      </c>
      <c r="J84" s="581">
        <f ca="1">SUM(H84:I84)</f>
        <v>1.6635874770751166E-3</v>
      </c>
      <c r="K84" s="278">
        <f ca="1">E84*(F84-G84)</f>
        <v>14.083333333333336</v>
      </c>
      <c r="L84" s="820">
        <f ca="1">INDEX(INDIRECT("SSW_WTPCore_DCE_"&amp;$C84&amp;"_UnitValues"),MATCH("COMBINED-NHH",WTPCore_Group,0),MATCH("MEAN",LMH,0))</f>
        <v>196425.59999999998</v>
      </c>
      <c r="M84" s="579">
        <f ca="1">L84*(F84-G84)/NHHProps_SSW*100</f>
        <v>4.4240000000000004</v>
      </c>
      <c r="N84" s="343">
        <f ca="1">INDEX(INDIRECT("SSW_WTPCore2_"&amp;$C84&amp;"_UnitValues"),2,MATCH("MEAN",LMH,0))</f>
        <v>326771.16833696596</v>
      </c>
      <c r="O84" s="579">
        <f ca="1">N84*(F84-G84)/NHHProps_SSW*100</f>
        <v>7.3597109985803151</v>
      </c>
      <c r="P84" s="20">
        <f t="shared" ref="P84:P86" ca="1" si="48">K84*N$88/K$87</f>
        <v>34.697184573816706</v>
      </c>
      <c r="Q84" s="643" t="s">
        <v>422</v>
      </c>
      <c r="R84" s="534">
        <f ca="1">P84*NHHProps_SSW/((F84-G84)*100)</f>
        <v>1540554.9950774615</v>
      </c>
      <c r="S84" s="521">
        <f t="shared" ca="1" si="47"/>
        <v>0.02</v>
      </c>
      <c r="T84" s="521">
        <f t="shared" ca="1" si="47"/>
        <v>1.3333333333333334E-2</v>
      </c>
      <c r="U84" s="581">
        <f ca="1">INDEX(INDIRECT("CAM_WTPCore2_"&amp;$B84&amp;"_LevelValues"),2,MATCH("S1 MEAN",WTPCore2_LevelValues,0))</f>
        <v>1.3694025744847137E-3</v>
      </c>
      <c r="V84" s="581">
        <f ca="1">INDEX(INDIRECT("CAM_WTPCore2_"&amp;$B84&amp;"_LevelValues"),2,MATCH("S2 MEAN",WTPCore2_LevelValues,0))</f>
        <v>1.1073984405910726E-3</v>
      </c>
      <c r="W84" s="581">
        <f t="shared" ref="W84:W86" ca="1" si="49">SUM(U84:V84)</f>
        <v>2.4768010150757864E-3</v>
      </c>
      <c r="X84" s="278">
        <f t="shared" ref="X84:X86" ca="1" si="50">E84*(S84-T84)</f>
        <v>11.266666666666666</v>
      </c>
      <c r="Y84" s="579">
        <f ca="1">INDEX(INDIRECT("CAM_WTPCore_"&amp;$C84&amp;"_UnitValues"),MATCH("COMBINED-NHH",WTPCore_Group,0),MATCH("MEAN",LMH,0))</f>
        <v>1105919.9999999998</v>
      </c>
      <c r="Z84" s="579">
        <f ca="1">Y84*(S84-T84)/NHHProps_CAM*100</f>
        <v>73.72799999999998</v>
      </c>
      <c r="AA84" s="117">
        <f ca="1">INDEX(INDIRECT("CAM_WTPCore2_"&amp;$B84&amp;"_UnitValues"),2,MATCH("MEAN",LMH,0))</f>
        <v>190218.3179578204</v>
      </c>
      <c r="AB84" s="579">
        <f ca="1">AA84*(S84-T84)/NHHProps_CAM*100</f>
        <v>12.681221197188028</v>
      </c>
      <c r="AC84" s="20">
        <f t="shared" ref="AC84:AC86" ca="1" si="51">X84*AA$88/X$87</f>
        <v>1.3011989366484461E-2</v>
      </c>
      <c r="AD84" s="341" t="str">
        <f>Q84</f>
        <v>1% change in risk</v>
      </c>
      <c r="AE84" s="931">
        <f ca="1">(AC84*NHHProps_CAM)/((S84-T84)*100)</f>
        <v>195.17984049726689</v>
      </c>
    </row>
    <row r="85" spans="1:31" x14ac:dyDescent="0.25">
      <c r="A85" s="9" t="s">
        <v>186</v>
      </c>
      <c r="B85" s="9" t="s">
        <v>268</v>
      </c>
      <c r="C85" s="9" t="str">
        <f>B85</f>
        <v>Hardness</v>
      </c>
      <c r="D85" s="514" t="s">
        <v>369</v>
      </c>
      <c r="E85" s="431">
        <f ca="1">INDEX(INDIRECT("ExtWTP_"&amp;$B85&amp;"_UnitValues"),4,2)</f>
        <v>25</v>
      </c>
      <c r="F85" s="600">
        <f t="shared" ca="1" si="46"/>
        <v>0</v>
      </c>
      <c r="G85" s="600">
        <f t="shared" ca="1" si="46"/>
        <v>4000</v>
      </c>
      <c r="H85" s="581">
        <f ca="1">INDEX(INDIRECT("SSW_WTPCore2_"&amp;$B85&amp;"_LevelValues"),2,MATCH("S1 MEAN",WTPCore2_LevelValues,0))</f>
        <v>4.1590321254674992E-3</v>
      </c>
      <c r="I85" s="581">
        <f ca="1">INDEX(INDIRECT("SSW_WTPCore2_"&amp;$B85&amp;"_LevelValues"),2,MATCH("S2 MEAN",WTPCore2_LevelValues,0))</f>
        <v>5.1578958405461544E-4</v>
      </c>
      <c r="J85" s="581">
        <f ca="1">SUM(H85:I85)</f>
        <v>4.6748217095221147E-3</v>
      </c>
      <c r="K85" s="278">
        <f ca="1">-E85*(F85-G85)/NHHProps_SSW</f>
        <v>2.7027027027027026</v>
      </c>
      <c r="L85" s="579">
        <f ca="1">INDEX(INDIRECT("SSW_WTPCore_DCE_"&amp;$C85&amp;"_UnitValues"),MATCH("COMBINED-NHH",WTPCore_Group,0),MATCH("MEAN",LMH,0))</f>
        <v>9.7267911714770818</v>
      </c>
      <c r="M85" s="579">
        <f ca="1">-L85*(F85-G85)/NHHProps_SSW</f>
        <v>1.0515449915110358</v>
      </c>
      <c r="N85" s="117">
        <f ca="1">INDEX(INDIRECT("SSW_WTPCore2_"&amp;$C85&amp;"_UnitValues"),2,MATCH("MEAN",LMH,0))</f>
        <v>191.30305399706398</v>
      </c>
      <c r="O85" s="579">
        <f ca="1">-N85*(F85-G85)/NHHProps_SSW</f>
        <v>20.681411242925837</v>
      </c>
      <c r="P85" s="20">
        <f t="shared" ca="1" si="48"/>
        <v>6.6586632797985041</v>
      </c>
      <c r="Q85" s="514" t="s">
        <v>369</v>
      </c>
      <c r="R85" s="534">
        <f ca="1">-P85*NHHProps_SSW/((F85-G85))</f>
        <v>61.592635338136162</v>
      </c>
      <c r="S85" s="600">
        <f t="shared" ca="1" si="47"/>
        <v>0</v>
      </c>
      <c r="T85" s="600">
        <f t="shared" ca="1" si="47"/>
        <v>1350</v>
      </c>
      <c r="U85" s="581">
        <f ca="1">INDEX(INDIRECT("CAM_WTPCore2_"&amp;$B85&amp;"_LevelValues"),2,MATCH("S1 MEAN",WTPCore2_LevelValues,0))</f>
        <v>5.8970314160098417E-2</v>
      </c>
      <c r="V85" s="581">
        <f ca="1">INDEX(INDIRECT("CAM_WTPCore2_"&amp;$B85&amp;"_LevelValues"),2,MATCH("S2 MEAN",WTPCore2_LevelValues,0))</f>
        <v>4.2450333610873081E-4</v>
      </c>
      <c r="W85" s="581">
        <f t="shared" ca="1" si="49"/>
        <v>5.9394817496207147E-2</v>
      </c>
      <c r="X85" s="278">
        <f ca="1">-E85*(S85-T85)</f>
        <v>33750</v>
      </c>
      <c r="Y85" s="579">
        <f ca="1">INDEX(INDIRECT("CAM_WTPCore_"&amp;$C85&amp;"_UnitValues"),MATCH("COMBINED-NHH",WTPCore_Group,0),MATCH("MEAN",LMH,0))</f>
        <v>5.8099290780141848</v>
      </c>
      <c r="Z85" s="579">
        <f ca="1">-Y85*(S85-T85)/NHHProps_CAM</f>
        <v>0.78434042553191496</v>
      </c>
      <c r="AA85" s="117">
        <f ca="1">INDEX(INDIRECT("CAM_WTPCore2_"&amp;$B85&amp;"_UnitValues"),2,MATCH("MEAN",LMH,0))</f>
        <v>2252.6034487450415</v>
      </c>
      <c r="AB85" s="579">
        <f ca="1">-AA85*(S85-T85)/NHHProps_CAM</f>
        <v>304.10146558058062</v>
      </c>
      <c r="AC85" s="20">
        <f t="shared" ca="1" si="51"/>
        <v>38.978222584513368</v>
      </c>
      <c r="AD85" s="341" t="str">
        <f>Q85</f>
        <v>Property affected</v>
      </c>
      <c r="AE85" s="937">
        <f ca="1">-(AC85*NHHProps_CAM)/((S85-T85)*AllProps_CAM)</f>
        <v>2.0477132957453831E-3</v>
      </c>
    </row>
    <row r="86" spans="1:31" x14ac:dyDescent="0.25">
      <c r="A86" s="9" t="s">
        <v>3</v>
      </c>
      <c r="B86" s="9" t="s">
        <v>3</v>
      </c>
      <c r="C86" s="9" t="s">
        <v>3</v>
      </c>
      <c r="D86" s="514" t="s">
        <v>875</v>
      </c>
      <c r="E86" s="431">
        <f ca="1">INDEX(INDIRECT("ExtWTP_"&amp;$B86&amp;"_UnitValues"),3,2)</f>
        <v>56612</v>
      </c>
      <c r="F86" s="600">
        <f t="shared" ca="1" si="46"/>
        <v>70.5</v>
      </c>
      <c r="G86" s="600">
        <f t="shared" ca="1" si="46"/>
        <v>35.25</v>
      </c>
      <c r="H86" s="581">
        <f ca="1">INDEX(INDIRECT("SSW_WTPCore2_"&amp;$B86&amp;"_LevelValues"),2,MATCH("S1 MEAN",WTPCore2_LevelValues,0))</f>
        <v>1.8366495603833657E-2</v>
      </c>
      <c r="I86" s="581">
        <f ca="1">INDEX(INDIRECT("SSW_WTPCore2_"&amp;$B86&amp;"_LevelValues"),2,MATCH("S2 MEAN",WTPCore2_LevelValues,0))</f>
        <v>6.6875105310339848E-3</v>
      </c>
      <c r="J86" s="581">
        <f ca="1">SUM(H86:I86)</f>
        <v>2.5054006134867642E-2</v>
      </c>
      <c r="K86" s="278">
        <f ca="1">E86*(F86-G86)/AllProps_SSW</f>
        <v>3.3880696095076401</v>
      </c>
      <c r="L86" s="579">
        <f ca="1">INDEX(INDIRECT("SSW_WTPCore_DCE_"&amp;$C86&amp;"_UnitValues"),MATCH("COMBINED-NHH",WTPCore_Group,0),MATCH("MEAN",LMH,0))</f>
        <v>23218.156028368794</v>
      </c>
      <c r="M86" s="579">
        <f ca="1">L86*(F86-G86)/NHHProps_SSW</f>
        <v>22.12</v>
      </c>
      <c r="N86" s="117">
        <f ca="1">INDEX(INDIRECT("SSW_WTPCore2_"&amp;$C86&amp;"_UnitValues"),2,MATCH("MEAN",LMH,0))</f>
        <v>116341.56471501317</v>
      </c>
      <c r="O86" s="579">
        <f ca="1">N86*(F86-G86)/NHHProps_SSW</f>
        <v>110.83892314065444</v>
      </c>
      <c r="P86" s="20">
        <f t="shared" ca="1" si="48"/>
        <v>8.3472054383450178</v>
      </c>
      <c r="Q86" s="514" t="s">
        <v>875</v>
      </c>
      <c r="R86" s="534">
        <f ca="1">P86*NHHProps_SSW/((F86-G86))</f>
        <v>8761.6057083337782</v>
      </c>
      <c r="S86" s="600">
        <f t="shared" ca="1" si="47"/>
        <v>13.5</v>
      </c>
      <c r="T86" s="600">
        <f t="shared" ca="1" si="47"/>
        <v>6.75</v>
      </c>
      <c r="U86" s="581">
        <f ca="1">INDEX(INDIRECT("CAM_WTPCore2_"&amp;$B86&amp;"_LevelValues"),2,MATCH("S1 MEAN",WTPCore2_LevelValues,0))</f>
        <v>7.1569068986342493E-2</v>
      </c>
      <c r="V86" s="581">
        <f ca="1">INDEX(INDIRECT("CAM_WTPCore2_"&amp;$B86&amp;"_LevelValues"),2,MATCH("S2 MEAN",WTPCore2_LevelValues,0))</f>
        <v>3.5284810800562588E-2</v>
      </c>
      <c r="W86" s="581">
        <f t="shared" ca="1" si="49"/>
        <v>0.10685387978690508</v>
      </c>
      <c r="X86" s="278">
        <f t="shared" ca="1" si="50"/>
        <v>382131</v>
      </c>
      <c r="Y86" s="579">
        <f ca="1">INDEX(INDIRECT("CAM_WTPCore_"&amp;$C86&amp;"_UnitValues"),MATCH("COMBINED-NHH",WTPCore_Group,0),MATCH("MEAN",LMH,0))</f>
        <v>15170.37037037037</v>
      </c>
      <c r="Z86" s="579">
        <f ca="1">Y86*(S86-T86)/NHHProps_CAM</f>
        <v>10.24</v>
      </c>
      <c r="AA86" s="117">
        <f ca="1">INDEX(INDIRECT("CAM_WTPCore2_"&amp;$B86&amp;"_UnitValues"),2,MATCH("MEAN",LMH,0))</f>
        <v>810506.46593919117</v>
      </c>
      <c r="AB86" s="579">
        <f ca="1">AA86*(S86-T86)/NHHProps_CAM</f>
        <v>547.09186450895402</v>
      </c>
      <c r="AC86" s="20">
        <f t="shared" ca="1" si="51"/>
        <v>441.32702739089416</v>
      </c>
      <c r="AD86" s="341" t="s">
        <v>875</v>
      </c>
      <c r="AE86" s="931">
        <f ca="1">AC86*NHHProps_CAM/((S86-T86))</f>
        <v>653817.81835688034</v>
      </c>
    </row>
    <row r="87" spans="1:31" x14ac:dyDescent="0.25">
      <c r="D87" s="514"/>
      <c r="E87" s="431"/>
      <c r="F87" s="20"/>
      <c r="G87" s="20"/>
      <c r="H87" s="20"/>
      <c r="I87" s="20"/>
      <c r="J87" s="445">
        <f ca="1">SUM(J83:J86)*AvgNHHBill_SSW</f>
        <v>141.74151912643234</v>
      </c>
      <c r="K87" s="446">
        <f ca="1">SUM(K83:K86)</f>
        <v>38.544938978877013</v>
      </c>
      <c r="L87" s="446"/>
      <c r="M87" s="446">
        <f ca="1">SUM(M82:M86)</f>
        <v>48.185230526102238</v>
      </c>
      <c r="N87" s="446"/>
      <c r="O87" s="446">
        <f ca="1">SUM(O82:O86)</f>
        <v>141.74151912643234</v>
      </c>
      <c r="P87" s="446">
        <f ca="1">SUM(P82:P86)</f>
        <v>94.963374826267284</v>
      </c>
      <c r="R87" s="834"/>
      <c r="S87" s="20"/>
      <c r="T87" s="20"/>
      <c r="U87" s="20"/>
      <c r="V87" s="20"/>
      <c r="W87" s="826">
        <f ca="1">SUM(W83:W86)*AvgNHHBill_CAM</f>
        <v>865.30238349580623</v>
      </c>
      <c r="X87" s="446">
        <f ca="1">SUM(X83:X86)</f>
        <v>415929.0083333333</v>
      </c>
      <c r="Y87" s="446"/>
      <c r="Z87" s="446">
        <f ca="1">SUM(Z82:Z86)</f>
        <v>95.419007092198555</v>
      </c>
      <c r="AA87" s="446"/>
      <c r="AB87" s="446">
        <f ca="1">SUM(AB82:AB86)</f>
        <v>865.30238349580623</v>
      </c>
      <c r="AC87" s="446">
        <f ca="1">SUM(AC82:AC86)</f>
        <v>480.36069529400243</v>
      </c>
      <c r="AE87" s="931"/>
    </row>
    <row r="88" spans="1:31" x14ac:dyDescent="0.25">
      <c r="A88" s="60"/>
      <c r="B88" s="60"/>
      <c r="C88" s="60"/>
      <c r="D88" s="516"/>
      <c r="E88" s="523"/>
      <c r="F88" s="524"/>
      <c r="G88" s="524"/>
      <c r="H88" s="524"/>
      <c r="I88" s="524"/>
      <c r="J88" s="524"/>
      <c r="K88" s="31"/>
      <c r="L88" s="31"/>
      <c r="M88" s="45" t="s">
        <v>997</v>
      </c>
      <c r="N88" s="737">
        <f ca="1">AVERAGE(M87,O87)</f>
        <v>94.963374826267284</v>
      </c>
      <c r="O88" s="45"/>
      <c r="P88" s="524"/>
      <c r="Q88" s="60"/>
      <c r="R88" s="629"/>
      <c r="S88" s="524"/>
      <c r="T88" s="524"/>
      <c r="U88" s="524"/>
      <c r="V88" s="524"/>
      <c r="W88" s="524"/>
      <c r="X88" s="31"/>
      <c r="Y88" s="31"/>
      <c r="Z88" s="45" t="s">
        <v>997</v>
      </c>
      <c r="AA88" s="824">
        <f ca="1">AVERAGE(Z87,AB87)</f>
        <v>480.36069529400237</v>
      </c>
      <c r="AB88" s="45"/>
      <c r="AC88" s="524"/>
      <c r="AD88" s="60"/>
      <c r="AE88" s="932"/>
    </row>
    <row r="89" spans="1:31" x14ac:dyDescent="0.25">
      <c r="A89" s="61" t="s">
        <v>169</v>
      </c>
      <c r="D89" s="514"/>
      <c r="E89" s="431"/>
      <c r="F89" s="20"/>
      <c r="G89" s="20"/>
      <c r="H89" s="20"/>
      <c r="I89" s="20"/>
      <c r="J89" s="20"/>
      <c r="K89" s="221"/>
      <c r="L89" s="221"/>
      <c r="M89" s="221"/>
      <c r="N89" s="221"/>
      <c r="O89" s="221"/>
      <c r="P89" s="497"/>
      <c r="R89" s="834"/>
      <c r="S89" s="20"/>
      <c r="T89" s="20"/>
      <c r="U89" s="20"/>
      <c r="V89" s="20"/>
      <c r="W89" s="20"/>
      <c r="X89" s="221"/>
      <c r="Y89" s="221"/>
      <c r="Z89" s="221"/>
      <c r="AA89" s="221"/>
      <c r="AB89" s="221"/>
      <c r="AC89" s="497"/>
      <c r="AE89" s="931"/>
    </row>
    <row r="90" spans="1:31" x14ac:dyDescent="0.25">
      <c r="A90" s="9" t="s">
        <v>25</v>
      </c>
      <c r="B90" s="9" t="s">
        <v>266</v>
      </c>
      <c r="C90" s="9" t="str">
        <f>B90</f>
        <v>Discolour</v>
      </c>
      <c r="D90" s="514" t="s">
        <v>369</v>
      </c>
      <c r="E90" s="431">
        <f ca="1">INDEX(INDIRECT("ExtWTP_"&amp;$B90&amp;"_UnitValues"),12,2)</f>
        <v>320</v>
      </c>
      <c r="F90" s="521">
        <f t="shared" ref="F90:G95" ca="1" si="52">INDEX(INDIRECT("SSW_WTPCore2_"&amp;$B90&amp;"_Levels"),2,MATCH(F$4,WTPCore2_AttLevels,0))</f>
        <v>6.6666666666666666E-2</v>
      </c>
      <c r="G90" s="521">
        <f t="shared" ca="1" si="52"/>
        <v>0.04</v>
      </c>
      <c r="H90" s="581">
        <f t="shared" ref="H90:H95" ca="1" si="53">INDEX(INDIRECT("SSW_WTPCore2_"&amp;$B90&amp;"_LevelValues"),2,MATCH("S1 MEAN",WTPCore2_LevelValues,0))</f>
        <v>1.9376915692789636E-2</v>
      </c>
      <c r="I90" s="581">
        <f t="shared" ref="I90:I95" ca="1" si="54">INDEX(INDIRECT("SSW_WTPCore2_"&amp;$B90&amp;"_LevelValues"),2,MATCH("S2 MEAN",WTPCore2_LevelValues,0))</f>
        <v>4.9841954334050795E-4</v>
      </c>
      <c r="J90" s="581">
        <f t="shared" ref="J90:J95" ca="1" si="55">SUM(H90:I90)</f>
        <v>1.9875335236130144E-2</v>
      </c>
      <c r="K90" s="278">
        <f ca="1">E90*(F90-G90)</f>
        <v>8.5333333333333332</v>
      </c>
      <c r="L90" s="579">
        <f ca="1">INDEX(INDIRECT("SSW_WTPCore_DCE_"&amp;$C90&amp;"_UnitValues"),MATCH("COMBINED-NHH",WTPCore_Group,0),MATCH("MEAN",LMH,0))</f>
        <v>44.321585387272407</v>
      </c>
      <c r="M90" s="579">
        <f ca="1">L90*(F90-G90)*(AllProps_SSW/NHHProps_SSW)</f>
        <v>18.81471264367816</v>
      </c>
      <c r="N90" s="117">
        <f ca="1">INDEX(INDIRECT("SSW_WTPCore2_"&amp;$C90&amp;"_UnitValues"),2,MATCH("MEAN",LMH,0))</f>
        <v>207.13203782671931</v>
      </c>
      <c r="O90" s="579">
        <f ca="1">N90*($F90-$G90)*(AllProps_SSW/NHHProps_SSW)</f>
        <v>87.928483084639765</v>
      </c>
      <c r="P90" s="20">
        <f ca="1">K90*N$97/K$96</f>
        <v>89.847947562811896</v>
      </c>
      <c r="Q90" s="514" t="s">
        <v>369</v>
      </c>
      <c r="R90" s="534">
        <f ca="1">P90*NHHProps_SSW/((F90-G90)*AllProps_SSW)</f>
        <v>211.65369650832176</v>
      </c>
      <c r="S90" s="521">
        <f t="shared" ref="S90:T95" ca="1" si="56">INDEX(INDIRECT("CAM_WTPCore2_"&amp;$B90&amp;"_Levels"),2,MATCH(S$4,WTPCore2_AttLevels,0))</f>
        <v>2.2222222222222223E-2</v>
      </c>
      <c r="T90" s="521">
        <f t="shared" ca="1" si="56"/>
        <v>1.5384615384615385E-2</v>
      </c>
      <c r="U90" s="581">
        <f t="shared" ref="U90:U95" ca="1" si="57">INDEX(INDIRECT("CAM_WTPCore2_"&amp;$B90&amp;"_LevelValues"),2,MATCH("S1 MEAN",WTPCore2_LevelValues,0))</f>
        <v>5.6414013673365619E-2</v>
      </c>
      <c r="V90" s="581">
        <f t="shared" ref="V90:V95" ca="1" si="58">INDEX(INDIRECT("CAM_WTPCore2_"&amp;$B90&amp;"_LevelValues"),2,MATCH("S2 MEAN",WTPCore2_LevelValues,0))</f>
        <v>1.4754621463399648E-4</v>
      </c>
      <c r="W90" s="581">
        <f ca="1">SUM(U90:V90)</f>
        <v>5.6561559887999616E-2</v>
      </c>
      <c r="X90" s="278">
        <f ca="1">E90*(S90-T90)</f>
        <v>2.1880341880341883</v>
      </c>
      <c r="Y90" s="579">
        <f ca="1">INDEX(INDIRECT("CAM_WTPCore_"&amp;$C90&amp;"_UnitValues"),MATCH("COMBINED-NHH",WTPCore_Group,0),MATCH("MEAN",LMH,0))</f>
        <v>290.49645390070918</v>
      </c>
      <c r="Z90" s="579">
        <f ca="1">Y90*(S90-T90)*(AllProps_CAM/NHHProps_CAM)</f>
        <v>28.006837606837603</v>
      </c>
      <c r="AA90" s="117">
        <f t="shared" ref="AA90:AA95" ca="1" si="59">INDEX(INDIRECT("CAM_WTPCore2_"&amp;$B90&amp;"_UnitValues"),2,MATCH("MEAN",LMH,0))</f>
        <v>3003.7798612861075</v>
      </c>
      <c r="AB90" s="579">
        <f ca="1">AA90*($S90-$T90)*(AllProps_CAM/NHHProps_CAM)</f>
        <v>289.59518662655802</v>
      </c>
      <c r="AC90" s="20">
        <f ca="1">X90*AA$97/X$96</f>
        <v>6.0756658632766837E-3</v>
      </c>
      <c r="AD90" s="341" t="str">
        <f>Q90</f>
        <v>Property affected</v>
      </c>
      <c r="AE90" s="936">
        <f ca="1">(AC90*NHHProps_CAM)/((S90-T90)*AllProps_CAM)</f>
        <v>6.3018874645689005E-2</v>
      </c>
    </row>
    <row r="91" spans="1:31" x14ac:dyDescent="0.25">
      <c r="A91" s="9" t="s">
        <v>117</v>
      </c>
      <c r="B91" s="9" t="s">
        <v>265</v>
      </c>
      <c r="C91" s="9" t="str">
        <f>B91</f>
        <v>TasteSmell</v>
      </c>
      <c r="D91" s="514" t="s">
        <v>369</v>
      </c>
      <c r="E91" s="431">
        <f ca="1">INDEX(INDIRECT("ExtWTP_"&amp;$B91&amp;"_UnitValues"),8,2)</f>
        <v>216</v>
      </c>
      <c r="F91" s="521">
        <f t="shared" ca="1" si="52"/>
        <v>1.6666666666666666E-2</v>
      </c>
      <c r="G91" s="521">
        <f t="shared" ca="1" si="52"/>
        <v>1.1111111111111112E-2</v>
      </c>
      <c r="H91" s="581">
        <f t="shared" ca="1" si="53"/>
        <v>3.6865032727528453E-3</v>
      </c>
      <c r="I91" s="581">
        <f t="shared" ca="1" si="54"/>
        <v>5.1592292451456759E-6</v>
      </c>
      <c r="J91" s="581">
        <f t="shared" ca="1" si="55"/>
        <v>3.691662501997991E-3</v>
      </c>
      <c r="K91" s="278">
        <f ca="1">E91*(F91-G91)</f>
        <v>1.2</v>
      </c>
      <c r="L91" s="579">
        <f ca="1">INDEX(INDIRECT("SSW_WTPCore_DCE_"&amp;$B91&amp;"_UnitValues"),MATCH("COMBINED-NHH",WTPCore_Group,0),MATCH("MEAN",LMH,0))</f>
        <v>70.914536619635854</v>
      </c>
      <c r="M91" s="579">
        <f ca="1">L91*(F91-G91)*(AllProps_SSW/NHHProps_SSW)</f>
        <v>6.2715708812260527</v>
      </c>
      <c r="N91" s="117">
        <f ca="1">INDEX(INDIRECT("SSW_WTPCore2_"&amp;$B91&amp;"_UnitValues"),2,MATCH("MEAN",LMH,0))</f>
        <v>184.66986976717914</v>
      </c>
      <c r="O91" s="579">
        <f ca="1">N91*($F91-$G91)*(AllProps_SSW/NHHProps_SSW)</f>
        <v>16.331914908839117</v>
      </c>
      <c r="P91" s="20">
        <f t="shared" ref="P91:P95" ca="1" si="60">K91*N$97/K$96</f>
        <v>12.634867626020423</v>
      </c>
      <c r="Q91" s="514" t="s">
        <v>369</v>
      </c>
      <c r="R91" s="534">
        <f ca="1">P91*NHHProps_SSW/((F91-G91)*AllProps_SSW)</f>
        <v>142.8662451431172</v>
      </c>
      <c r="S91" s="521">
        <f t="shared" ca="1" si="56"/>
        <v>1.4285714285714285E-2</v>
      </c>
      <c r="T91" s="521">
        <f t="shared" ca="1" si="56"/>
        <v>0.01</v>
      </c>
      <c r="U91" s="581">
        <f t="shared" ca="1" si="57"/>
        <v>4.257264223936371E-2</v>
      </c>
      <c r="V91" s="581">
        <f t="shared" ca="1" si="58"/>
        <v>1.0971349631991048E-2</v>
      </c>
      <c r="W91" s="581">
        <f t="shared" ref="W91:W95" ca="1" si="61">SUM(U91:V91)</f>
        <v>5.3543991871354758E-2</v>
      </c>
      <c r="X91" s="278">
        <f t="shared" ref="X91:X95" ca="1" si="62">E91*(S91-T91)</f>
        <v>0.9257142857142856</v>
      </c>
      <c r="Y91" s="579">
        <f ca="1">INDEX(INDIRECT("CAM_WTPCore_"&amp;$C91&amp;"_UnitValues"),MATCH("COMBINED-NHH",WTPCore_Group,0),MATCH("MEAN",LMH,0))</f>
        <v>181.56028368794324</v>
      </c>
      <c r="Z91" s="579">
        <f ca="1">Y91*(S91-T91)*(AllProps_CAM/NHHProps_CAM)</f>
        <v>10.971428571428568</v>
      </c>
      <c r="AA91" s="117">
        <f t="shared" ca="1" si="59"/>
        <v>4536.682431842446</v>
      </c>
      <c r="AB91" s="579">
        <f ca="1">AA91*($S91-$T91)*(AllProps_CAM/NHHProps_CAM)</f>
        <v>274.1452383813363</v>
      </c>
      <c r="AC91" s="20">
        <f t="shared" ref="AC91:AC94" ca="1" si="63">X91*AA$97/X$96</f>
        <v>2.5704948833157643E-3</v>
      </c>
      <c r="AD91" s="341" t="str">
        <f>Q91</f>
        <v>Property affected</v>
      </c>
      <c r="AE91" s="936">
        <f ca="1">(AC91*NHHProps_CAM)/((S91-T91)*AllProps_CAM)</f>
        <v>4.253774038584008E-2</v>
      </c>
    </row>
    <row r="92" spans="1:31" x14ac:dyDescent="0.25">
      <c r="A92" s="9" t="s">
        <v>182</v>
      </c>
      <c r="B92" s="9" t="s">
        <v>269</v>
      </c>
      <c r="C92" s="9" t="s">
        <v>326</v>
      </c>
      <c r="D92" s="514" t="s">
        <v>369</v>
      </c>
      <c r="E92" s="431">
        <f ca="1">INDEX(INDIRECT("ExtWTP_"&amp;$C92&amp;"_UnitValues"),5,2)</f>
        <v>249</v>
      </c>
      <c r="F92" s="521">
        <f t="shared" ca="1" si="52"/>
        <v>1.2500000000000001E-2</v>
      </c>
      <c r="G92" s="521">
        <f t="shared" ca="1" si="52"/>
        <v>8.3333333333333332E-3</v>
      </c>
      <c r="H92" s="581">
        <f t="shared" ca="1" si="53"/>
        <v>2.3562800507588295E-4</v>
      </c>
      <c r="I92" s="581">
        <f t="shared" ca="1" si="54"/>
        <v>4.1117889914467278E-4</v>
      </c>
      <c r="J92" s="581">
        <f t="shared" ca="1" si="55"/>
        <v>6.4680690422055573E-4</v>
      </c>
      <c r="K92" s="278">
        <f ca="1">E92*(F92-G92)</f>
        <v>1.0375000000000003</v>
      </c>
      <c r="L92" s="579">
        <f ca="1">INDEX(INDIRECT("SSW_WTPCore_DCE_"&amp;$B92&amp;"_UnitValues"),MATCH("COMBINED-NHH",WTPCore_Group,0),MATCH("MEAN",LMH,0))</f>
        <v>310.41834897651921</v>
      </c>
      <c r="M92" s="579">
        <f ca="1">L92*(F92-G92)*(AllProps_SSW/NHHProps_SSW)</f>
        <v>20.589685534591201</v>
      </c>
      <c r="N92" s="117">
        <f ca="1">INDEX(INDIRECT("SSW_WTPCore2_"&amp;$B92&amp;"_UnitValues"),2,MATCH("MEAN",LMH,0))</f>
        <v>43.140724701414321</v>
      </c>
      <c r="O92" s="579">
        <f ca="1">N92*($F92-$G92)*(AllProps_SSW/NHHProps_SSW)</f>
        <v>2.8614737442717391</v>
      </c>
      <c r="P92" s="20">
        <f t="shared" ca="1" si="60"/>
        <v>10.923895968330159</v>
      </c>
      <c r="Q92" s="514" t="s">
        <v>369</v>
      </c>
      <c r="R92" s="534">
        <f ca="1">P92*NHHProps_SSW/((F92-G92)*AllProps_SSW)</f>
        <v>164.69303259553786</v>
      </c>
      <c r="S92" s="521">
        <f t="shared" ca="1" si="56"/>
        <v>2.5000000000000001E-2</v>
      </c>
      <c r="T92" s="521">
        <f t="shared" ca="1" si="56"/>
        <v>1.6666666666666666E-2</v>
      </c>
      <c r="U92" s="581">
        <f t="shared" ca="1" si="57"/>
        <v>2.654718763279678E-4</v>
      </c>
      <c r="V92" s="581">
        <f t="shared" ca="1" si="58"/>
        <v>1.3401602008677625E-5</v>
      </c>
      <c r="W92" s="581">
        <f t="shared" ca="1" si="61"/>
        <v>2.7887347833664542E-4</v>
      </c>
      <c r="X92" s="278">
        <f t="shared" ca="1" si="62"/>
        <v>2.0750000000000006</v>
      </c>
      <c r="Y92" s="579">
        <f ca="1">INDEX(INDIRECT("CAM_WTPCore_"&amp;$B92&amp;"_UnitValues"),MATCH("COMBINED-NHH",WTPCore_Group,0),MATCH("MEAN",LMH,0))</f>
        <v>90.78014184397162</v>
      </c>
      <c r="Z92" s="579">
        <f ca="1">Y92*(S92-T92)*(AllProps_CAM/NHHProps_CAM)</f>
        <v>10.666666666666668</v>
      </c>
      <c r="AA92" s="117">
        <f t="shared" ca="1" si="59"/>
        <v>12.15176348156276</v>
      </c>
      <c r="AB92" s="579">
        <f ca="1">AA92*($S92-$T92)*(AllProps_CAM/NHHProps_CAM)</f>
        <v>1.4278322090836244</v>
      </c>
      <c r="AC92" s="20">
        <f t="shared" ca="1" si="63"/>
        <v>5.7617960154570198E-3</v>
      </c>
      <c r="AD92" s="341" t="str">
        <f>Q92</f>
        <v>Property affected</v>
      </c>
      <c r="AE92" s="936">
        <f ca="1">(AC92*NHHProps_CAM)/((S92-T92)*AllProps_CAM)</f>
        <v>4.9036561833676752E-2</v>
      </c>
    </row>
    <row r="93" spans="1:31" x14ac:dyDescent="0.25">
      <c r="A93" s="9" t="s">
        <v>330</v>
      </c>
      <c r="B93" s="9" t="s">
        <v>319</v>
      </c>
      <c r="C93" s="9" t="str">
        <f>B93</f>
        <v>TempBan</v>
      </c>
      <c r="D93" s="514" t="s">
        <v>369</v>
      </c>
      <c r="E93" s="583">
        <f ca="1">INDEX(INDIRECT("ExtWTP_NEUseBan_UnitValues"),4,2)</f>
        <v>112</v>
      </c>
      <c r="F93" s="521">
        <f t="shared" ca="1" si="52"/>
        <v>2.5000000000000001E-2</v>
      </c>
      <c r="G93" s="521">
        <f t="shared" ca="1" si="52"/>
        <v>1.6666666666666666E-2</v>
      </c>
      <c r="H93" s="581">
        <f t="shared" ca="1" si="53"/>
        <v>1.0363458862342743E-3</v>
      </c>
      <c r="I93" s="581">
        <f t="shared" ca="1" si="54"/>
        <v>6.2724159084084235E-4</v>
      </c>
      <c r="J93" s="581">
        <f t="shared" ca="1" si="55"/>
        <v>1.6635874770751166E-3</v>
      </c>
      <c r="K93" s="278">
        <f ca="1">E93*(F93-G93)</f>
        <v>0.93333333333333357</v>
      </c>
      <c r="L93" s="820">
        <f ca="1">INDEX(INDIRECT("SSW_WTPCore_DCE_"&amp;$C93&amp;"_UnitValues"),MATCH("COMBINED-NHH",WTPCore_Group,0),MATCH("MEAN",LMH,0))</f>
        <v>196425.59999999998</v>
      </c>
      <c r="M93" s="579">
        <f ca="1">L93*(F93-G93)/NHHProps_SSW*100</f>
        <v>4.4240000000000004</v>
      </c>
      <c r="N93" s="343">
        <f ca="1">INDEX(INDIRECT("SSW_WTPCore2_"&amp;$C93&amp;"_UnitValues"),2,MATCH("MEAN",LMH,0))</f>
        <v>326771.16833696596</v>
      </c>
      <c r="O93" s="579">
        <f ca="1">N93*(F93-G93)/NHHProps_SSW*100</f>
        <v>7.3597109985803151</v>
      </c>
      <c r="P93" s="20">
        <f t="shared" ca="1" si="60"/>
        <v>9.8271192646825547</v>
      </c>
      <c r="Q93" s="643" t="s">
        <v>422</v>
      </c>
      <c r="R93" s="534">
        <f ca="1">P93*NHHProps_SSW/((F93-G93)*100)</f>
        <v>436324.09535190539</v>
      </c>
      <c r="S93" s="521">
        <f t="shared" ca="1" si="56"/>
        <v>0.02</v>
      </c>
      <c r="T93" s="521">
        <f t="shared" ca="1" si="56"/>
        <v>1.3333333333333334E-2</v>
      </c>
      <c r="U93" s="581">
        <f t="shared" ca="1" si="57"/>
        <v>1.3694025744847137E-3</v>
      </c>
      <c r="V93" s="581">
        <f t="shared" ca="1" si="58"/>
        <v>1.1073984405910726E-3</v>
      </c>
      <c r="W93" s="581">
        <f t="shared" ca="1" si="61"/>
        <v>2.4768010150757864E-3</v>
      </c>
      <c r="X93" s="278">
        <f t="shared" ca="1" si="62"/>
        <v>0.74666666666666659</v>
      </c>
      <c r="Y93" s="579">
        <f ca="1">INDEX(INDIRECT("CAM_WTPCore_"&amp;$C93&amp;"_UnitValues"),MATCH("COMBINED-NHH",WTPCore_Group,0),MATCH("MEAN",LMH,0))</f>
        <v>1105919.9999999998</v>
      </c>
      <c r="Z93" s="579">
        <f ca="1">Y93*(S93-T93)/NHHProps_CAM*100</f>
        <v>73.72799999999998</v>
      </c>
      <c r="AA93" s="117">
        <f t="shared" ca="1" si="59"/>
        <v>190218.3179578204</v>
      </c>
      <c r="AB93" s="579">
        <f ca="1">AA93*(S93-T93)/NHHProps_CAM*100</f>
        <v>12.681221197188028</v>
      </c>
      <c r="AC93" s="20">
        <f t="shared" ca="1" si="63"/>
        <v>2.073320975843168E-3</v>
      </c>
      <c r="AD93" s="341" t="str">
        <f>Q93</f>
        <v>1% change in risk</v>
      </c>
      <c r="AE93" s="931">
        <f ca="1">(AC93*NHHProps_CAM)/((S93-T93)*100)</f>
        <v>31.099814637647523</v>
      </c>
    </row>
    <row r="94" spans="1:31" x14ac:dyDescent="0.25">
      <c r="A94" s="9" t="s">
        <v>186</v>
      </c>
      <c r="B94" s="9" t="s">
        <v>268</v>
      </c>
      <c r="C94" s="9" t="str">
        <f>B94</f>
        <v>Hardness</v>
      </c>
      <c r="D94" s="514" t="s">
        <v>369</v>
      </c>
      <c r="E94" s="431">
        <f ca="1">INDEX(INDIRECT("ExtWTP_"&amp;$B94&amp;"_UnitValues"),5,2)</f>
        <v>10</v>
      </c>
      <c r="F94" s="600">
        <f t="shared" ca="1" si="52"/>
        <v>0</v>
      </c>
      <c r="G94" s="600">
        <f t="shared" ca="1" si="52"/>
        <v>4000</v>
      </c>
      <c r="H94" s="581">
        <f t="shared" ca="1" si="53"/>
        <v>4.1590321254674992E-3</v>
      </c>
      <c r="I94" s="581">
        <f t="shared" ca="1" si="54"/>
        <v>5.1578958405461544E-4</v>
      </c>
      <c r="J94" s="581">
        <f t="shared" ca="1" si="55"/>
        <v>4.6748217095221147E-3</v>
      </c>
      <c r="K94" s="278">
        <f ca="1">-E94*(F94-G94)/NHHProps_SSW</f>
        <v>1.0810810810810811</v>
      </c>
      <c r="L94" s="579">
        <f ca="1">INDEX(INDIRECT("SSW_WTPCore_DCE_"&amp;$C94&amp;"_UnitValues"),MATCH("COMBINED-NHH",WTPCore_Group,0),MATCH("MEAN",LMH,0))</f>
        <v>9.7267911714770818</v>
      </c>
      <c r="M94" s="579">
        <f ca="1">-L94*(F94-G94)/NHHProps_SSW</f>
        <v>1.0515449915110358</v>
      </c>
      <c r="N94" s="117">
        <f ca="1">INDEX(INDIRECT("SSW_WTPCore2_"&amp;$C94&amp;"_UnitValues"),2,MATCH("MEAN",LMH,0))</f>
        <v>191.30305399706398</v>
      </c>
      <c r="O94" s="579">
        <f ca="1">-N94*(F94-G94)/NHHProps_SSW</f>
        <v>20.681411242925837</v>
      </c>
      <c r="P94" s="20">
        <f t="shared" ca="1" si="60"/>
        <v>11.382763627045428</v>
      </c>
      <c r="Q94" s="514" t="s">
        <v>369</v>
      </c>
      <c r="R94" s="534">
        <f ca="1">-P94*NHHProps_SSW/((F94-G94))</f>
        <v>105.29056355017021</v>
      </c>
      <c r="S94" s="600">
        <f t="shared" ca="1" si="56"/>
        <v>0</v>
      </c>
      <c r="T94" s="600">
        <f t="shared" ca="1" si="56"/>
        <v>1350</v>
      </c>
      <c r="U94" s="581">
        <f t="shared" ca="1" si="57"/>
        <v>5.8970314160098417E-2</v>
      </c>
      <c r="V94" s="581">
        <f t="shared" ca="1" si="58"/>
        <v>4.2450333610873081E-4</v>
      </c>
      <c r="W94" s="581">
        <f t="shared" ca="1" si="61"/>
        <v>5.9394817496207147E-2</v>
      </c>
      <c r="X94" s="278">
        <f ca="1">-E94*(S94-T94)</f>
        <v>13500</v>
      </c>
      <c r="Y94" s="579">
        <f ca="1">INDEX(INDIRECT("CAM_WTPCore_"&amp;$C94&amp;"_UnitValues"),MATCH("COMBINED-NHH",WTPCore_Group,0),MATCH("MEAN",LMH,0))</f>
        <v>5.8099290780141848</v>
      </c>
      <c r="Z94" s="579">
        <f ca="1">-Y94*(S94-T94)/NHHProps_CAM</f>
        <v>0.78434042553191496</v>
      </c>
      <c r="AA94" s="117">
        <f t="shared" ca="1" si="59"/>
        <v>2252.6034487450415</v>
      </c>
      <c r="AB94" s="579">
        <f ca="1">-AA94*(S94-T94)/NHHProps_CAM</f>
        <v>304.10146558058062</v>
      </c>
      <c r="AC94" s="20">
        <f t="shared" ca="1" si="63"/>
        <v>37.486383715021567</v>
      </c>
      <c r="AD94" s="341" t="str">
        <f>Q94</f>
        <v>Property affected</v>
      </c>
      <c r="AE94" s="937">
        <f ca="1">-(AC94*NHHProps_CAM)/((S94-T94)*AllProps_CAM)</f>
        <v>1.9693398326777814E-3</v>
      </c>
    </row>
    <row r="95" spans="1:31" x14ac:dyDescent="0.25">
      <c r="A95" s="9" t="s">
        <v>3</v>
      </c>
      <c r="B95" s="9" t="s">
        <v>3</v>
      </c>
      <c r="C95" s="9" t="s">
        <v>3</v>
      </c>
      <c r="D95" s="514" t="s">
        <v>875</v>
      </c>
      <c r="E95" s="431">
        <f ca="1">INDEX(INDIRECT("ExtWTP_"&amp;$B95&amp;"_UnitValues"),4,2)</f>
        <v>39706</v>
      </c>
      <c r="F95" s="600">
        <f t="shared" ca="1" si="52"/>
        <v>70.5</v>
      </c>
      <c r="G95" s="600">
        <f t="shared" ca="1" si="52"/>
        <v>35.25</v>
      </c>
      <c r="H95" s="581">
        <f t="shared" ca="1" si="53"/>
        <v>1.8366495603833657E-2</v>
      </c>
      <c r="I95" s="581">
        <f t="shared" ca="1" si="54"/>
        <v>6.6875105310339848E-3</v>
      </c>
      <c r="J95" s="581">
        <f t="shared" ca="1" si="55"/>
        <v>2.5054006134867642E-2</v>
      </c>
      <c r="K95" s="278">
        <f ca="1">E95*(F95-G95)/AllProps_SSW</f>
        <v>2.3762928692699492</v>
      </c>
      <c r="L95" s="579">
        <f ca="1">INDEX(INDIRECT("SSW_WTPCore_DCE_"&amp;$C95&amp;"_UnitValues"),MATCH("COMBINED-NHH",WTPCore_Group,0),MATCH("MEAN",LMH,0))</f>
        <v>23218.156028368794</v>
      </c>
      <c r="M95" s="579">
        <f ca="1">L95*(F95-G95)/NHHProps_SSW</f>
        <v>22.12</v>
      </c>
      <c r="N95" s="117">
        <f ca="1">INDEX(INDIRECT("SSW_WTPCore2_"&amp;$C95&amp;"_UnitValues"),2,MATCH("MEAN",LMH,0))</f>
        <v>116341.56471501317</v>
      </c>
      <c r="O95" s="579">
        <f ca="1">N95*(F95-G95)/NHHProps_SSW</f>
        <v>110.83892314065444</v>
      </c>
      <c r="P95" s="20">
        <f t="shared" ca="1" si="60"/>
        <v>25.020121536568382</v>
      </c>
      <c r="Q95" s="514" t="s">
        <v>875</v>
      </c>
      <c r="R95" s="534">
        <f ca="1">P95*NHHProps_SSW/((F95-G95))</f>
        <v>26262.255229873197</v>
      </c>
      <c r="S95" s="600">
        <f t="shared" ca="1" si="56"/>
        <v>13.5</v>
      </c>
      <c r="T95" s="600">
        <f t="shared" ca="1" si="56"/>
        <v>6.75</v>
      </c>
      <c r="U95" s="581">
        <f t="shared" ca="1" si="57"/>
        <v>7.1569068986342493E-2</v>
      </c>
      <c r="V95" s="581">
        <f t="shared" ca="1" si="58"/>
        <v>3.5284810800562588E-2</v>
      </c>
      <c r="W95" s="581">
        <f t="shared" ca="1" si="61"/>
        <v>0.10685387978690508</v>
      </c>
      <c r="X95" s="278">
        <f t="shared" ca="1" si="62"/>
        <v>268015.5</v>
      </c>
      <c r="Y95" s="579">
        <f ca="1">INDEX(INDIRECT("CAM_WTPCore_"&amp;$C95&amp;"_UnitValues"),MATCH("COMBINED-NHH",WTPCore_Group,0),MATCH("MEAN",LMH,0))</f>
        <v>15170.37037037037</v>
      </c>
      <c r="Z95" s="579">
        <f ca="1">Y95*(S95-T95)/NHHProps_CAM</f>
        <v>10.24</v>
      </c>
      <c r="AA95" s="117">
        <f t="shared" ca="1" si="59"/>
        <v>810506.46593919117</v>
      </c>
      <c r="AB95" s="579">
        <f ca="1">AA95*(S95-T95)/NHHProps_CAM</f>
        <v>547.09186450895402</v>
      </c>
      <c r="AC95" s="20">
        <f ca="1">X95*AA$97/X$96</f>
        <v>744.21717589432319</v>
      </c>
      <c r="AD95" s="341" t="s">
        <v>875</v>
      </c>
      <c r="AE95" s="931">
        <f ca="1">AC95*NHHProps_CAM/((S95-T95))</f>
        <v>1102543.9642878862</v>
      </c>
    </row>
    <row r="96" spans="1:31" ht="15.75" thickBot="1" x14ac:dyDescent="0.3">
      <c r="D96" s="582"/>
      <c r="E96" s="529" t="s">
        <v>505</v>
      </c>
      <c r="F96" s="20"/>
      <c r="G96" s="20"/>
      <c r="H96" s="20"/>
      <c r="I96" s="20"/>
      <c r="J96" s="445">
        <f ca="1">SUM(J90:J95)*AvgNHHBill_SSW</f>
        <v>246.00191711991121</v>
      </c>
      <c r="K96" s="446">
        <f ca="1">SUM(K90:K95)</f>
        <v>15.161540617017696</v>
      </c>
      <c r="L96" s="446"/>
      <c r="M96" s="446">
        <f ca="1">SUM(M90:M95)</f>
        <v>73.271514051006449</v>
      </c>
      <c r="N96" s="446"/>
      <c r="O96" s="446">
        <f ca="1">SUM(O90:O95)</f>
        <v>246.00191711991118</v>
      </c>
      <c r="P96" s="446">
        <f ca="1">SUM(P90:P95)</f>
        <v>159.63671558545883</v>
      </c>
      <c r="Q96" s="5"/>
      <c r="R96" s="930"/>
      <c r="S96" s="20"/>
      <c r="T96" s="20"/>
      <c r="U96" s="20"/>
      <c r="V96" s="20"/>
      <c r="W96" s="827">
        <f ca="1">SUM(W90:W95)*AvgNHHBill_CAM</f>
        <v>1429.0428085037006</v>
      </c>
      <c r="X96" s="446">
        <f ca="1">SUM(X90:X95)</f>
        <v>281521.43541514041</v>
      </c>
      <c r="Y96" s="446"/>
      <c r="Z96" s="446">
        <f ca="1">SUM(Z90:Z95)</f>
        <v>134.39727327046472</v>
      </c>
      <c r="AA96" s="446"/>
      <c r="AB96" s="446">
        <f ca="1">SUM(AB90:AB95)</f>
        <v>1429.0428085037006</v>
      </c>
      <c r="AC96" s="446">
        <f ca="1">SUM(AC90:AC95)</f>
        <v>781.72004088708263</v>
      </c>
      <c r="AE96" s="935"/>
    </row>
    <row r="97" spans="1:31" x14ac:dyDescent="0.25">
      <c r="A97" s="60"/>
      <c r="B97" s="60"/>
      <c r="C97" s="60"/>
      <c r="D97" s="518"/>
      <c r="E97" s="506"/>
      <c r="F97" s="480"/>
      <c r="G97" s="480"/>
      <c r="H97" s="480"/>
      <c r="I97" s="480"/>
      <c r="J97" s="480"/>
      <c r="K97" s="60"/>
      <c r="L97" s="60"/>
      <c r="M97" s="45" t="s">
        <v>997</v>
      </c>
      <c r="N97" s="737">
        <f ca="1">AVERAGE(M96,O96)</f>
        <v>159.63671558545883</v>
      </c>
      <c r="O97" s="45"/>
      <c r="P97" s="524"/>
      <c r="Q97" s="60"/>
      <c r="R97" s="60"/>
      <c r="S97" s="480"/>
      <c r="T97" s="480"/>
      <c r="U97" s="480"/>
      <c r="V97" s="480"/>
      <c r="W97" s="480"/>
      <c r="X97" s="60"/>
      <c r="Y97" s="60"/>
      <c r="Z97" s="45" t="s">
        <v>997</v>
      </c>
      <c r="AA97" s="737">
        <f ca="1">AVERAGE(Z96,AB96)</f>
        <v>781.72004088708263</v>
      </c>
      <c r="AB97" s="45"/>
      <c r="AC97" s="524"/>
      <c r="AD97" s="60"/>
      <c r="AE97" s="60"/>
    </row>
    <row r="98" spans="1:31" s="64" customFormat="1" x14ac:dyDescent="0.25">
      <c r="D98" s="151"/>
      <c r="E98" s="151"/>
      <c r="F98" s="156"/>
      <c r="G98" s="156"/>
      <c r="H98" s="156"/>
      <c r="I98" s="156"/>
      <c r="J98" s="585" t="s">
        <v>503</v>
      </c>
      <c r="P98" s="445"/>
      <c r="S98" s="156"/>
      <c r="T98" s="156"/>
      <c r="U98" s="156"/>
      <c r="V98" s="156"/>
      <c r="W98" s="585" t="s">
        <v>506</v>
      </c>
      <c r="X98" s="156"/>
      <c r="Y98" s="156"/>
      <c r="Z98" s="156"/>
      <c r="AA98" s="156"/>
      <c r="AB98" s="156"/>
    </row>
    <row r="99" spans="1:31" x14ac:dyDescent="0.25"/>
    <row r="100" spans="1:31" x14ac:dyDescent="0.25"/>
    <row r="101" spans="1:31" x14ac:dyDescent="0.25"/>
    <row r="102" spans="1:31"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BL198"/>
  <sheetViews>
    <sheetView zoomScale="70" zoomScaleNormal="70" workbookViewId="0">
      <pane xSplit="1" ySplit="5" topLeftCell="B6" activePane="bottomRight" state="frozen"/>
      <selection pane="topRight"/>
      <selection pane="bottomLeft"/>
      <selection pane="bottomRight"/>
    </sheetView>
  </sheetViews>
  <sheetFormatPr defaultColWidth="0" defaultRowHeight="15" zeroHeight="1" x14ac:dyDescent="0.25"/>
  <cols>
    <col min="1" max="1" width="58.28515625" style="9" customWidth="1"/>
    <col min="2" max="2" width="63.42578125" style="9" customWidth="1"/>
    <col min="3" max="3" width="93.5703125" style="9" bestFit="1" customWidth="1"/>
    <col min="4" max="6" width="17.140625" style="490" customWidth="1"/>
    <col min="7" max="7" width="175" style="9" customWidth="1"/>
    <col min="8" max="21" width="57.5703125" style="9" customWidth="1"/>
    <col min="22" max="22" width="9.140625" style="9" customWidth="1"/>
    <col min="23" max="60" width="0" style="64" hidden="1" customWidth="1"/>
    <col min="61" max="64" width="0" style="9" hidden="1" customWidth="1"/>
    <col min="65" max="16384" width="9.140625" style="9" hidden="1"/>
  </cols>
  <sheetData>
    <row r="1" spans="1:60" ht="28.5" x14ac:dyDescent="0.45">
      <c r="A1" s="102" t="s">
        <v>677</v>
      </c>
      <c r="B1" s="102"/>
      <c r="C1" s="102"/>
      <c r="D1" s="102"/>
      <c r="E1" s="102"/>
      <c r="F1" s="102"/>
      <c r="G1" s="102"/>
      <c r="H1" s="102"/>
      <c r="I1" s="102"/>
      <c r="J1" s="102"/>
      <c r="K1" s="102"/>
      <c r="L1" s="102"/>
      <c r="M1" s="102"/>
      <c r="N1" s="102"/>
      <c r="O1" s="102"/>
      <c r="P1" s="102"/>
      <c r="Q1" s="102"/>
      <c r="R1" s="102"/>
      <c r="S1" s="102"/>
      <c r="T1" s="102"/>
      <c r="U1" s="102"/>
    </row>
    <row r="2" spans="1:60" x14ac:dyDescent="0.25">
      <c r="A2" s="108"/>
      <c r="B2" s="63"/>
      <c r="C2" s="63"/>
      <c r="D2" s="63"/>
      <c r="E2" s="63"/>
      <c r="F2" s="63"/>
      <c r="G2" s="63"/>
      <c r="H2" s="63"/>
      <c r="I2" s="63"/>
      <c r="J2" s="63"/>
      <c r="K2" s="63"/>
      <c r="L2" s="63"/>
      <c r="M2" s="63"/>
      <c r="N2" s="63"/>
      <c r="O2" s="63"/>
      <c r="P2" s="63"/>
      <c r="Q2" s="63"/>
      <c r="R2" s="63"/>
      <c r="S2" s="63"/>
      <c r="T2" s="63"/>
      <c r="U2" s="63"/>
    </row>
    <row r="3" spans="1:60" s="503" customFormat="1" ht="21" customHeight="1" x14ac:dyDescent="0.25">
      <c r="A3" s="63"/>
      <c r="B3" s="63"/>
      <c r="C3" s="63" t="s">
        <v>665</v>
      </c>
      <c r="D3" s="63"/>
      <c r="E3" s="63"/>
      <c r="F3" s="63"/>
      <c r="G3" s="63"/>
      <c r="H3" s="63"/>
      <c r="I3" s="63"/>
      <c r="J3" s="63"/>
      <c r="K3" s="63"/>
      <c r="L3" s="63"/>
      <c r="M3" s="63"/>
      <c r="N3" s="63"/>
      <c r="O3" s="63"/>
      <c r="P3" s="63"/>
      <c r="Q3" s="63"/>
      <c r="R3" s="63"/>
      <c r="S3" s="63"/>
      <c r="T3" s="63"/>
      <c r="U3" s="63"/>
      <c r="W3" s="512"/>
      <c r="X3" s="512"/>
      <c r="Y3" s="512"/>
      <c r="Z3" s="512"/>
      <c r="AA3" s="512"/>
      <c r="AB3" s="512"/>
      <c r="AC3" s="512"/>
      <c r="AD3" s="512"/>
      <c r="AE3" s="512"/>
      <c r="AF3" s="512"/>
      <c r="AG3" s="512"/>
      <c r="AH3" s="512"/>
      <c r="AI3" s="512"/>
      <c r="AJ3" s="512"/>
      <c r="AK3" s="512"/>
      <c r="AL3" s="512"/>
      <c r="AM3" s="512"/>
      <c r="AN3" s="512"/>
      <c r="AO3" s="512"/>
      <c r="AP3" s="512"/>
      <c r="AQ3" s="512"/>
      <c r="AR3" s="512"/>
      <c r="AS3" s="512"/>
      <c r="AT3" s="512"/>
      <c r="AU3" s="512"/>
      <c r="AV3" s="512"/>
      <c r="AW3" s="512"/>
      <c r="AX3" s="512"/>
      <c r="AY3" s="512"/>
      <c r="AZ3" s="512"/>
      <c r="BA3" s="512"/>
      <c r="BB3" s="512"/>
      <c r="BC3" s="512"/>
      <c r="BD3" s="512"/>
      <c r="BE3" s="512"/>
      <c r="BF3" s="512"/>
      <c r="BG3" s="512"/>
      <c r="BH3" s="512"/>
    </row>
    <row r="4" spans="1:60" x14ac:dyDescent="0.25">
      <c r="A4" s="63" t="s">
        <v>474</v>
      </c>
      <c r="B4" s="113" t="s">
        <v>6</v>
      </c>
      <c r="C4" s="63" t="s">
        <v>4</v>
      </c>
      <c r="D4" s="505" t="s">
        <v>664</v>
      </c>
      <c r="E4" s="505"/>
      <c r="F4" s="505"/>
      <c r="G4" s="63" t="s">
        <v>7</v>
      </c>
      <c r="H4" s="63"/>
      <c r="I4" s="63"/>
      <c r="J4" s="63"/>
      <c r="K4" s="63"/>
      <c r="L4" s="63"/>
      <c r="M4" s="63"/>
      <c r="N4" s="63"/>
      <c r="O4" s="63"/>
      <c r="P4" s="63"/>
      <c r="Q4" s="63"/>
      <c r="R4" s="63"/>
      <c r="S4" s="63"/>
      <c r="T4" s="63"/>
      <c r="U4" s="63"/>
    </row>
    <row r="5" spans="1:60" x14ac:dyDescent="0.25">
      <c r="A5" s="63"/>
      <c r="B5" s="504"/>
      <c r="C5" s="63"/>
      <c r="D5" s="504" t="s">
        <v>9</v>
      </c>
      <c r="E5" s="504" t="s">
        <v>199</v>
      </c>
      <c r="F5" s="504" t="s">
        <v>163</v>
      </c>
      <c r="G5" s="63"/>
      <c r="H5" s="63"/>
      <c r="I5" s="63"/>
      <c r="J5" s="63"/>
      <c r="K5" s="63"/>
      <c r="L5" s="63"/>
      <c r="M5" s="63"/>
      <c r="N5" s="63"/>
      <c r="O5" s="63"/>
      <c r="P5" s="63"/>
      <c r="Q5" s="63"/>
      <c r="R5" s="63"/>
      <c r="S5" s="63"/>
      <c r="T5" s="63"/>
      <c r="U5" s="63"/>
    </row>
    <row r="6" spans="1:60" s="426" customFormat="1" ht="18.75" x14ac:dyDescent="0.3">
      <c r="A6" s="507" t="s">
        <v>25</v>
      </c>
      <c r="B6" s="508"/>
      <c r="C6" s="165"/>
      <c r="D6" s="508"/>
      <c r="E6" s="508"/>
      <c r="F6" s="508"/>
      <c r="G6" s="509"/>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row>
    <row r="7" spans="1:60" x14ac:dyDescent="0.25">
      <c r="A7" s="64" t="s">
        <v>172</v>
      </c>
      <c r="B7" s="64" t="s">
        <v>518</v>
      </c>
      <c r="C7" s="64" t="s">
        <v>513</v>
      </c>
      <c r="D7" s="510">
        <v>314</v>
      </c>
      <c r="E7" s="510">
        <v>873</v>
      </c>
      <c r="F7" s="510">
        <v>340</v>
      </c>
      <c r="G7" s="64" t="s">
        <v>523</v>
      </c>
      <c r="H7" s="64"/>
      <c r="I7" s="64"/>
      <c r="J7" s="64"/>
      <c r="K7" s="64"/>
      <c r="L7" s="64"/>
      <c r="M7" s="64"/>
      <c r="N7" s="64"/>
      <c r="O7" s="64"/>
      <c r="P7" s="64"/>
      <c r="Q7" s="64"/>
      <c r="R7" s="64"/>
      <c r="S7" s="64"/>
      <c r="T7" s="64"/>
      <c r="U7" s="64"/>
      <c r="V7" s="64"/>
    </row>
    <row r="8" spans="1:60" x14ac:dyDescent="0.25">
      <c r="A8" s="64" t="s">
        <v>173</v>
      </c>
      <c r="B8" s="64" t="s">
        <v>519</v>
      </c>
      <c r="C8" s="64" t="s">
        <v>514</v>
      </c>
      <c r="D8" s="510">
        <v>75</v>
      </c>
      <c r="E8" s="510">
        <v>963</v>
      </c>
      <c r="F8" s="510">
        <v>131</v>
      </c>
      <c r="G8" s="64" t="s">
        <v>524</v>
      </c>
      <c r="H8" s="64"/>
      <c r="I8" s="64"/>
      <c r="J8" s="64"/>
      <c r="K8" s="64"/>
      <c r="L8" s="64"/>
      <c r="M8" s="64"/>
      <c r="N8" s="64"/>
      <c r="O8" s="64"/>
      <c r="P8" s="64"/>
      <c r="Q8" s="64"/>
      <c r="R8" s="64"/>
      <c r="S8" s="64"/>
      <c r="T8" s="64"/>
      <c r="U8" s="64"/>
      <c r="V8" s="64"/>
    </row>
    <row r="9" spans="1:60" x14ac:dyDescent="0.25">
      <c r="A9" s="64" t="s">
        <v>175</v>
      </c>
      <c r="B9" s="64" t="s">
        <v>519</v>
      </c>
      <c r="C9" s="64" t="s">
        <v>514</v>
      </c>
      <c r="D9" s="510">
        <v>231</v>
      </c>
      <c r="E9" s="510">
        <v>9635</v>
      </c>
      <c r="F9" s="510">
        <v>898</v>
      </c>
      <c r="G9" s="64" t="s">
        <v>524</v>
      </c>
      <c r="H9" s="64"/>
      <c r="I9" s="64"/>
      <c r="J9" s="64"/>
      <c r="K9" s="64"/>
      <c r="L9" s="64"/>
      <c r="M9" s="64"/>
      <c r="N9" s="64"/>
      <c r="O9" s="64"/>
      <c r="P9" s="64"/>
      <c r="Q9" s="64"/>
      <c r="R9" s="64"/>
      <c r="S9" s="64"/>
      <c r="T9" s="64"/>
      <c r="U9" s="64"/>
      <c r="V9" s="64"/>
    </row>
    <row r="10" spans="1:60" x14ac:dyDescent="0.25">
      <c r="A10" s="64" t="s">
        <v>168</v>
      </c>
      <c r="B10" s="64" t="s">
        <v>520</v>
      </c>
      <c r="C10" s="64" t="s">
        <v>517</v>
      </c>
      <c r="D10" s="510">
        <v>60</v>
      </c>
      <c r="E10" s="510">
        <v>353</v>
      </c>
      <c r="F10" s="510">
        <v>74</v>
      </c>
      <c r="G10" s="64" t="s">
        <v>525</v>
      </c>
      <c r="H10" s="64"/>
      <c r="I10" s="64"/>
      <c r="J10" s="64"/>
      <c r="K10" s="64"/>
      <c r="L10" s="64"/>
      <c r="M10" s="64"/>
      <c r="N10" s="64"/>
      <c r="O10" s="64"/>
      <c r="P10" s="64"/>
      <c r="Q10" s="64"/>
      <c r="R10" s="64"/>
      <c r="S10" s="64"/>
      <c r="T10" s="64"/>
      <c r="U10" s="64"/>
      <c r="V10" s="64"/>
    </row>
    <row r="11" spans="1:60" x14ac:dyDescent="0.25">
      <c r="A11" s="64" t="s">
        <v>165</v>
      </c>
      <c r="B11" s="64" t="s">
        <v>521</v>
      </c>
      <c r="C11" s="64" t="s">
        <v>517</v>
      </c>
      <c r="D11" s="510">
        <v>139</v>
      </c>
      <c r="E11" s="510">
        <v>953</v>
      </c>
      <c r="F11" s="510">
        <v>182</v>
      </c>
      <c r="G11" s="64" t="s">
        <v>526</v>
      </c>
      <c r="H11" s="64"/>
      <c r="I11" s="64"/>
      <c r="J11" s="64"/>
      <c r="K11" s="64"/>
      <c r="L11" s="64"/>
      <c r="M11" s="64"/>
      <c r="N11" s="64"/>
      <c r="O11" s="64"/>
      <c r="P11" s="64"/>
      <c r="Q11" s="64"/>
      <c r="R11" s="64"/>
      <c r="S11" s="64"/>
      <c r="T11" s="64"/>
      <c r="U11" s="64"/>
      <c r="V11" s="64"/>
    </row>
    <row r="12" spans="1:60" x14ac:dyDescent="0.25">
      <c r="A12" s="64" t="s">
        <v>515</v>
      </c>
      <c r="B12" s="64" t="s">
        <v>522</v>
      </c>
      <c r="C12" s="64" t="s">
        <v>517</v>
      </c>
      <c r="D12" s="510">
        <v>90</v>
      </c>
      <c r="E12" s="510"/>
      <c r="F12" s="510"/>
      <c r="G12" s="64" t="s">
        <v>527</v>
      </c>
      <c r="H12" s="64"/>
      <c r="I12" s="64"/>
      <c r="J12" s="64"/>
      <c r="K12" s="64"/>
      <c r="L12" s="64"/>
      <c r="M12" s="64"/>
      <c r="N12" s="64"/>
      <c r="O12" s="64"/>
      <c r="P12" s="64"/>
      <c r="Q12" s="64"/>
      <c r="R12" s="64"/>
      <c r="S12" s="64"/>
      <c r="T12" s="64"/>
      <c r="U12" s="64"/>
      <c r="V12" s="64"/>
    </row>
    <row r="13" spans="1:60" s="426" customFormat="1" ht="18.75" x14ac:dyDescent="0.3">
      <c r="A13" s="507" t="s">
        <v>117</v>
      </c>
      <c r="B13" s="64"/>
      <c r="C13" s="64"/>
      <c r="D13" s="510"/>
      <c r="E13" s="510"/>
      <c r="F13" s="510"/>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row>
    <row r="14" spans="1:60" x14ac:dyDescent="0.25">
      <c r="A14" s="64" t="s">
        <v>173</v>
      </c>
      <c r="B14" s="9" t="s">
        <v>534</v>
      </c>
      <c r="C14" s="64" t="s">
        <v>528</v>
      </c>
      <c r="D14" s="510">
        <v>231</v>
      </c>
      <c r="E14" s="510">
        <v>2812</v>
      </c>
      <c r="F14" s="510">
        <v>393</v>
      </c>
      <c r="G14" s="64" t="s">
        <v>90</v>
      </c>
      <c r="H14" s="64"/>
      <c r="I14" s="64"/>
      <c r="J14" s="64"/>
      <c r="K14" s="64"/>
      <c r="L14" s="64"/>
      <c r="M14" s="64"/>
      <c r="N14" s="64"/>
      <c r="O14" s="64"/>
      <c r="P14" s="64"/>
      <c r="Q14" s="64"/>
      <c r="R14" s="64"/>
      <c r="S14" s="64"/>
      <c r="T14" s="64"/>
      <c r="U14" s="64"/>
      <c r="V14" s="64"/>
    </row>
    <row r="15" spans="1:60" x14ac:dyDescent="0.25">
      <c r="A15" s="64" t="s">
        <v>175</v>
      </c>
      <c r="B15" s="9" t="s">
        <v>534</v>
      </c>
      <c r="C15" s="64" t="s">
        <v>528</v>
      </c>
      <c r="D15" s="510">
        <v>255</v>
      </c>
      <c r="E15" s="510">
        <v>14953</v>
      </c>
      <c r="F15" s="510">
        <v>1298</v>
      </c>
      <c r="G15" s="64" t="s">
        <v>90</v>
      </c>
      <c r="H15" s="64"/>
      <c r="I15" s="64"/>
      <c r="J15" s="64"/>
      <c r="K15" s="64"/>
      <c r="L15" s="64"/>
      <c r="M15" s="64"/>
      <c r="N15" s="64"/>
      <c r="O15" s="64"/>
      <c r="P15" s="64"/>
      <c r="Q15" s="64"/>
      <c r="R15" s="64"/>
      <c r="S15" s="64"/>
      <c r="T15" s="64"/>
      <c r="U15" s="64"/>
      <c r="V15" s="64"/>
    </row>
    <row r="16" spans="1:60" x14ac:dyDescent="0.25">
      <c r="A16" s="64" t="s">
        <v>167</v>
      </c>
      <c r="B16" s="9" t="s">
        <v>535</v>
      </c>
      <c r="C16" s="64" t="s">
        <v>529</v>
      </c>
      <c r="D16" s="510">
        <v>38235</v>
      </c>
      <c r="E16" s="510">
        <v>234737</v>
      </c>
      <c r="F16" s="510">
        <v>48929</v>
      </c>
      <c r="G16" s="64" t="s">
        <v>531</v>
      </c>
      <c r="H16" s="64"/>
      <c r="I16" s="64"/>
      <c r="J16" s="64"/>
      <c r="K16" s="64"/>
      <c r="L16" s="64"/>
      <c r="M16" s="64"/>
      <c r="N16" s="64"/>
      <c r="O16" s="64"/>
      <c r="P16" s="64"/>
      <c r="Q16" s="64"/>
      <c r="R16" s="64"/>
      <c r="S16" s="64"/>
      <c r="T16" s="64"/>
      <c r="U16" s="64"/>
      <c r="V16" s="64"/>
    </row>
    <row r="17" spans="1:60" x14ac:dyDescent="0.25">
      <c r="A17" s="64" t="s">
        <v>174</v>
      </c>
      <c r="B17" s="9" t="s">
        <v>536</v>
      </c>
      <c r="C17" s="64" t="s">
        <v>529</v>
      </c>
      <c r="D17" s="510">
        <v>1455</v>
      </c>
      <c r="E17" s="510">
        <v>3325</v>
      </c>
      <c r="F17" s="510">
        <v>1567</v>
      </c>
      <c r="G17" s="64" t="s">
        <v>532</v>
      </c>
      <c r="H17" s="64"/>
      <c r="I17" s="64"/>
      <c r="J17" s="64"/>
      <c r="K17" s="64"/>
      <c r="L17" s="64"/>
      <c r="M17" s="64"/>
      <c r="N17" s="64"/>
      <c r="O17" s="64"/>
      <c r="P17" s="64"/>
      <c r="Q17" s="64"/>
      <c r="R17" s="64"/>
      <c r="S17" s="64"/>
      <c r="T17" s="64"/>
      <c r="U17" s="64"/>
      <c r="V17" s="64"/>
    </row>
    <row r="18" spans="1:60" x14ac:dyDescent="0.25">
      <c r="A18" s="64" t="s">
        <v>168</v>
      </c>
      <c r="B18" s="9" t="s">
        <v>537</v>
      </c>
      <c r="C18" s="64" t="s">
        <v>529</v>
      </c>
      <c r="D18" s="510">
        <v>147</v>
      </c>
      <c r="E18" s="510">
        <v>804</v>
      </c>
      <c r="F18" s="510">
        <v>178</v>
      </c>
      <c r="G18" s="64" t="s">
        <v>533</v>
      </c>
      <c r="H18" s="64"/>
      <c r="I18" s="64"/>
      <c r="J18" s="64"/>
      <c r="K18" s="64"/>
      <c r="L18" s="64"/>
      <c r="M18" s="64"/>
      <c r="N18" s="64"/>
      <c r="O18" s="64"/>
      <c r="P18" s="64"/>
      <c r="Q18" s="64"/>
      <c r="R18" s="64"/>
      <c r="S18" s="64"/>
      <c r="T18" s="64"/>
      <c r="U18" s="64"/>
      <c r="V18" s="64"/>
    </row>
    <row r="19" spans="1:60" x14ac:dyDescent="0.25">
      <c r="A19" s="64" t="s">
        <v>165</v>
      </c>
      <c r="B19" s="9" t="s">
        <v>538</v>
      </c>
      <c r="C19" s="64" t="s">
        <v>530</v>
      </c>
      <c r="D19" s="510">
        <v>266</v>
      </c>
      <c r="E19" s="510">
        <v>1643</v>
      </c>
      <c r="F19" s="510">
        <v>338</v>
      </c>
      <c r="G19" s="64" t="s">
        <v>533</v>
      </c>
      <c r="H19" s="64"/>
      <c r="I19" s="64"/>
      <c r="J19" s="64"/>
      <c r="K19" s="64"/>
      <c r="L19" s="64"/>
      <c r="M19" s="64"/>
      <c r="N19" s="64"/>
      <c r="O19" s="64"/>
      <c r="P19" s="64"/>
      <c r="Q19" s="64"/>
      <c r="R19" s="64"/>
      <c r="S19" s="64"/>
      <c r="T19" s="64"/>
      <c r="U19" s="64"/>
      <c r="V19" s="64"/>
    </row>
    <row r="20" spans="1:60" x14ac:dyDescent="0.25">
      <c r="A20" s="64" t="s">
        <v>515</v>
      </c>
      <c r="B20" s="9" t="s">
        <v>539</v>
      </c>
      <c r="C20" s="64" t="s">
        <v>530</v>
      </c>
      <c r="D20" s="510">
        <v>2132</v>
      </c>
      <c r="E20" s="510"/>
      <c r="F20" s="510"/>
      <c r="G20" s="64" t="s">
        <v>532</v>
      </c>
      <c r="H20" s="64"/>
      <c r="I20" s="64"/>
      <c r="J20" s="64"/>
      <c r="K20" s="64"/>
      <c r="L20" s="64"/>
      <c r="M20" s="64"/>
      <c r="N20" s="64"/>
      <c r="O20" s="64"/>
      <c r="P20" s="64"/>
      <c r="Q20" s="64"/>
      <c r="R20" s="64"/>
      <c r="S20" s="64"/>
      <c r="T20" s="64"/>
      <c r="U20" s="64"/>
      <c r="V20" s="64"/>
    </row>
    <row r="21" spans="1:60" s="426" customFormat="1" ht="18.75" x14ac:dyDescent="0.3">
      <c r="A21" s="507" t="s">
        <v>177</v>
      </c>
      <c r="B21" s="64"/>
      <c r="C21" s="64"/>
      <c r="D21" s="510"/>
      <c r="E21" s="510"/>
      <c r="F21" s="510"/>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row>
    <row r="22" spans="1:60" x14ac:dyDescent="0.25">
      <c r="A22" s="64" t="s">
        <v>178</v>
      </c>
      <c r="B22" s="64" t="s">
        <v>540</v>
      </c>
      <c r="C22" s="64" t="s">
        <v>176</v>
      </c>
      <c r="D22" s="510">
        <v>3234</v>
      </c>
      <c r="E22" s="510">
        <v>43069</v>
      </c>
      <c r="F22" s="510">
        <v>5262</v>
      </c>
      <c r="G22" s="64" t="s">
        <v>541</v>
      </c>
      <c r="H22" s="64"/>
      <c r="I22" s="64"/>
      <c r="J22" s="64"/>
      <c r="K22" s="64"/>
      <c r="L22" s="64"/>
      <c r="M22" s="64"/>
      <c r="N22" s="64"/>
      <c r="O22" s="64"/>
      <c r="P22" s="64"/>
      <c r="Q22" s="64"/>
      <c r="R22" s="64"/>
      <c r="S22" s="64"/>
      <c r="T22" s="64"/>
      <c r="U22" s="64"/>
      <c r="V22" s="64"/>
    </row>
    <row r="23" spans="1:60" s="426" customFormat="1" ht="18.75" x14ac:dyDescent="0.3">
      <c r="A23" s="507" t="s">
        <v>180</v>
      </c>
      <c r="B23" s="64"/>
      <c r="C23" s="64"/>
      <c r="D23" s="510"/>
      <c r="E23" s="510"/>
      <c r="F23" s="510"/>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row>
    <row r="24" spans="1:60" x14ac:dyDescent="0.25">
      <c r="A24" s="64" t="s">
        <v>167</v>
      </c>
      <c r="B24" s="64" t="s">
        <v>542</v>
      </c>
      <c r="C24" s="64" t="s">
        <v>543</v>
      </c>
      <c r="D24" s="510">
        <v>132</v>
      </c>
      <c r="E24" s="510">
        <v>961</v>
      </c>
      <c r="F24" s="510">
        <v>177</v>
      </c>
      <c r="G24" s="64" t="s">
        <v>577</v>
      </c>
      <c r="H24" s="64"/>
      <c r="I24" s="64"/>
      <c r="J24" s="64"/>
      <c r="K24" s="64"/>
      <c r="L24" s="64"/>
      <c r="M24" s="64"/>
      <c r="N24" s="64"/>
      <c r="O24" s="64"/>
      <c r="P24" s="64"/>
      <c r="Q24" s="64"/>
      <c r="R24" s="64"/>
      <c r="S24" s="64"/>
      <c r="T24" s="64"/>
      <c r="U24" s="64"/>
      <c r="V24" s="64"/>
    </row>
    <row r="25" spans="1:60" x14ac:dyDescent="0.25">
      <c r="A25" s="64" t="s">
        <v>179</v>
      </c>
      <c r="B25" s="64" t="s">
        <v>544</v>
      </c>
      <c r="C25" s="64" t="s">
        <v>545</v>
      </c>
      <c r="D25" s="510">
        <v>1312</v>
      </c>
      <c r="E25" s="510">
        <v>5161</v>
      </c>
      <c r="F25" s="510">
        <v>1528</v>
      </c>
      <c r="G25" s="64" t="s">
        <v>578</v>
      </c>
      <c r="H25" s="64"/>
      <c r="I25" s="64"/>
      <c r="J25" s="64"/>
      <c r="K25" s="64"/>
      <c r="L25" s="64"/>
      <c r="M25" s="64"/>
      <c r="N25" s="64"/>
      <c r="O25" s="64"/>
      <c r="P25" s="64"/>
      <c r="Q25" s="64"/>
      <c r="R25" s="64"/>
      <c r="S25" s="64"/>
      <c r="T25" s="64"/>
      <c r="U25" s="64"/>
      <c r="V25" s="64"/>
    </row>
    <row r="26" spans="1:60" x14ac:dyDescent="0.25">
      <c r="A26" s="64" t="s">
        <v>515</v>
      </c>
      <c r="B26" s="64" t="s">
        <v>546</v>
      </c>
      <c r="C26" s="64" t="s">
        <v>547</v>
      </c>
      <c r="D26" s="510">
        <v>632</v>
      </c>
      <c r="E26" s="510"/>
      <c r="F26" s="510"/>
      <c r="G26" s="64" t="s">
        <v>579</v>
      </c>
      <c r="H26" s="64"/>
      <c r="I26" s="64"/>
      <c r="J26" s="64"/>
      <c r="K26" s="64"/>
      <c r="L26" s="64"/>
      <c r="M26" s="64"/>
      <c r="N26" s="64"/>
      <c r="O26" s="64"/>
      <c r="P26" s="64"/>
      <c r="Q26" s="64"/>
      <c r="R26" s="64"/>
      <c r="S26" s="64"/>
      <c r="T26" s="64"/>
      <c r="U26" s="64"/>
      <c r="V26" s="64"/>
    </row>
    <row r="27" spans="1:60" s="426" customFormat="1" ht="18.75" x14ac:dyDescent="0.3">
      <c r="A27" s="507" t="s">
        <v>181</v>
      </c>
      <c r="B27" s="64"/>
      <c r="C27" s="64"/>
      <c r="D27" s="510"/>
      <c r="E27" s="510"/>
      <c r="F27" s="510"/>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row>
    <row r="28" spans="1:60" x14ac:dyDescent="0.25">
      <c r="A28" s="29" t="s">
        <v>164</v>
      </c>
      <c r="B28" s="29" t="s">
        <v>548</v>
      </c>
      <c r="C28" s="29" t="s">
        <v>549</v>
      </c>
      <c r="D28" s="593">
        <v>310</v>
      </c>
      <c r="E28" s="593">
        <v>701</v>
      </c>
      <c r="F28" s="593">
        <v>329</v>
      </c>
      <c r="G28" s="64" t="s">
        <v>580</v>
      </c>
      <c r="H28" s="64"/>
      <c r="I28" s="64"/>
      <c r="J28" s="64"/>
      <c r="K28" s="64"/>
      <c r="L28" s="64"/>
      <c r="M28" s="64"/>
      <c r="N28" s="64"/>
      <c r="O28" s="64"/>
      <c r="P28" s="64"/>
      <c r="Q28" s="64"/>
      <c r="R28" s="64"/>
      <c r="S28" s="64"/>
      <c r="T28" s="64"/>
      <c r="U28" s="64"/>
      <c r="V28" s="64"/>
    </row>
    <row r="29" spans="1:60" x14ac:dyDescent="0.25">
      <c r="A29" s="29" t="s">
        <v>174</v>
      </c>
      <c r="B29" s="29" t="s">
        <v>550</v>
      </c>
      <c r="C29" s="29" t="s">
        <v>551</v>
      </c>
      <c r="D29" s="593">
        <v>515</v>
      </c>
      <c r="E29" s="593">
        <v>2524</v>
      </c>
      <c r="F29" s="593">
        <v>636</v>
      </c>
      <c r="G29" s="64" t="s">
        <v>541</v>
      </c>
      <c r="H29" s="64"/>
      <c r="I29" s="64"/>
      <c r="J29" s="64"/>
      <c r="K29" s="64"/>
      <c r="L29" s="64"/>
      <c r="M29" s="64"/>
      <c r="N29" s="64"/>
      <c r="O29" s="64"/>
      <c r="P29" s="64"/>
      <c r="Q29" s="64"/>
      <c r="R29" s="64"/>
      <c r="S29" s="64"/>
      <c r="T29" s="64"/>
      <c r="U29" s="64"/>
      <c r="V29" s="64"/>
    </row>
    <row r="30" spans="1:60" x14ac:dyDescent="0.25">
      <c r="A30" s="29" t="s">
        <v>168</v>
      </c>
      <c r="B30" s="29" t="s">
        <v>552</v>
      </c>
      <c r="C30" s="29" t="s">
        <v>553</v>
      </c>
      <c r="D30" s="593">
        <v>136</v>
      </c>
      <c r="E30" s="593">
        <v>1565</v>
      </c>
      <c r="F30" s="593">
        <v>203</v>
      </c>
      <c r="G30" s="64" t="s">
        <v>581</v>
      </c>
      <c r="H30" s="64"/>
      <c r="I30" s="64"/>
      <c r="J30" s="64"/>
      <c r="K30" s="64"/>
      <c r="L30" s="64"/>
      <c r="M30" s="64"/>
      <c r="N30" s="64"/>
      <c r="O30" s="64"/>
      <c r="P30" s="64"/>
      <c r="Q30" s="64"/>
      <c r="R30" s="64"/>
      <c r="S30" s="64"/>
      <c r="T30" s="64"/>
      <c r="U30" s="64"/>
      <c r="V30" s="64"/>
    </row>
    <row r="31" spans="1:60" x14ac:dyDescent="0.25">
      <c r="A31" s="29" t="s">
        <v>165</v>
      </c>
      <c r="B31" s="29" t="s">
        <v>554</v>
      </c>
      <c r="C31" s="29" t="s">
        <v>555</v>
      </c>
      <c r="D31" s="593">
        <v>282</v>
      </c>
      <c r="E31" s="593">
        <v>4224</v>
      </c>
      <c r="F31" s="593">
        <v>488</v>
      </c>
      <c r="G31" s="64" t="s">
        <v>582</v>
      </c>
      <c r="H31" s="64"/>
      <c r="I31" s="64"/>
      <c r="J31" s="64"/>
      <c r="K31" s="64"/>
      <c r="L31" s="64"/>
      <c r="M31" s="64"/>
      <c r="N31" s="64"/>
      <c r="O31" s="64"/>
      <c r="P31" s="64"/>
      <c r="Q31" s="64"/>
      <c r="R31" s="64"/>
      <c r="S31" s="64"/>
      <c r="T31" s="64"/>
      <c r="U31" s="64"/>
      <c r="V31" s="64"/>
    </row>
    <row r="32" spans="1:60" x14ac:dyDescent="0.25">
      <c r="A32" s="29" t="s">
        <v>556</v>
      </c>
      <c r="B32" s="29" t="s">
        <v>557</v>
      </c>
      <c r="C32" s="29" t="s">
        <v>558</v>
      </c>
      <c r="D32" s="593">
        <v>319</v>
      </c>
      <c r="E32" s="593">
        <v>10840</v>
      </c>
      <c r="F32" s="593">
        <v>895</v>
      </c>
      <c r="G32" s="64" t="s">
        <v>583</v>
      </c>
      <c r="H32" s="64"/>
      <c r="I32" s="64"/>
      <c r="J32" s="64"/>
      <c r="K32" s="64"/>
      <c r="L32" s="64"/>
      <c r="M32" s="64"/>
      <c r="N32" s="64"/>
      <c r="O32" s="64"/>
      <c r="P32" s="64"/>
      <c r="Q32" s="64"/>
      <c r="R32" s="64"/>
      <c r="S32" s="64"/>
      <c r="T32" s="64"/>
      <c r="U32" s="64"/>
      <c r="V32" s="64"/>
    </row>
    <row r="33" spans="1:60" ht="18.75" x14ac:dyDescent="0.3">
      <c r="A33" s="594" t="s">
        <v>559</v>
      </c>
      <c r="B33" s="29"/>
      <c r="C33" s="29"/>
      <c r="D33" s="593"/>
      <c r="E33" s="593"/>
      <c r="F33" s="593"/>
      <c r="G33" s="64"/>
      <c r="H33" s="64"/>
      <c r="I33" s="64"/>
      <c r="J33" s="64"/>
      <c r="K33" s="64"/>
      <c r="L33" s="64"/>
      <c r="M33" s="64"/>
      <c r="N33" s="64"/>
      <c r="O33" s="64"/>
      <c r="P33" s="64"/>
      <c r="Q33" s="64"/>
      <c r="R33" s="64"/>
      <c r="S33" s="64"/>
      <c r="T33" s="64"/>
      <c r="U33" s="64"/>
      <c r="V33" s="64"/>
    </row>
    <row r="34" spans="1:60" x14ac:dyDescent="0.25">
      <c r="A34" s="29" t="s">
        <v>178</v>
      </c>
      <c r="B34" s="29" t="s">
        <v>560</v>
      </c>
      <c r="C34" s="29" t="s">
        <v>561</v>
      </c>
      <c r="D34" s="593">
        <v>3822</v>
      </c>
      <c r="E34" s="593">
        <v>65629</v>
      </c>
      <c r="F34" s="593">
        <v>6969</v>
      </c>
      <c r="G34" s="64" t="s">
        <v>541</v>
      </c>
      <c r="H34" s="64"/>
      <c r="I34" s="64"/>
      <c r="J34" s="64"/>
      <c r="K34" s="64"/>
      <c r="L34" s="64"/>
      <c r="M34" s="64"/>
      <c r="N34" s="64"/>
      <c r="O34" s="64"/>
      <c r="P34" s="64"/>
      <c r="Q34" s="64"/>
      <c r="R34" s="64"/>
      <c r="S34" s="64"/>
      <c r="T34" s="64"/>
      <c r="U34" s="64"/>
      <c r="V34" s="64"/>
    </row>
    <row r="35" spans="1:60" s="426" customFormat="1" ht="18.75" x14ac:dyDescent="0.3">
      <c r="A35" s="507" t="s">
        <v>182</v>
      </c>
      <c r="B35" s="64"/>
      <c r="C35" s="64"/>
      <c r="D35" s="510"/>
      <c r="E35" s="510"/>
      <c r="F35" s="510"/>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row>
    <row r="36" spans="1:60" x14ac:dyDescent="0.25">
      <c r="A36" s="64" t="s">
        <v>172</v>
      </c>
      <c r="B36" s="64" t="s">
        <v>562</v>
      </c>
      <c r="C36" s="64" t="s">
        <v>563</v>
      </c>
      <c r="D36" s="510">
        <v>943</v>
      </c>
      <c r="E36" s="510">
        <v>2182</v>
      </c>
      <c r="F36" s="510">
        <v>1000</v>
      </c>
      <c r="G36" s="64" t="s">
        <v>541</v>
      </c>
      <c r="H36" s="64"/>
      <c r="I36" s="64"/>
      <c r="J36" s="64"/>
      <c r="K36" s="64"/>
      <c r="L36" s="64"/>
      <c r="M36" s="64"/>
      <c r="N36" s="64"/>
      <c r="O36" s="64"/>
      <c r="P36" s="64"/>
      <c r="Q36" s="64"/>
      <c r="R36" s="64"/>
      <c r="S36" s="64"/>
      <c r="T36" s="64"/>
      <c r="U36" s="64"/>
      <c r="V36" s="64"/>
    </row>
    <row r="37" spans="1:60" x14ac:dyDescent="0.25">
      <c r="A37" s="64" t="s">
        <v>164</v>
      </c>
      <c r="B37" s="64" t="s">
        <v>564</v>
      </c>
      <c r="C37" s="64" t="s">
        <v>565</v>
      </c>
      <c r="D37" s="510">
        <v>174</v>
      </c>
      <c r="E37" s="510">
        <v>371</v>
      </c>
      <c r="F37" s="510">
        <v>184</v>
      </c>
      <c r="G37" s="64" t="s">
        <v>584</v>
      </c>
      <c r="H37" s="64"/>
      <c r="I37" s="64"/>
      <c r="J37" s="64"/>
      <c r="K37" s="64"/>
      <c r="L37" s="64"/>
      <c r="M37" s="64"/>
      <c r="N37" s="64"/>
      <c r="O37" s="64"/>
      <c r="P37" s="64"/>
      <c r="Q37" s="64"/>
      <c r="R37" s="64"/>
      <c r="S37" s="64"/>
      <c r="T37" s="64"/>
      <c r="U37" s="64"/>
      <c r="V37" s="64"/>
    </row>
    <row r="38" spans="1:60" x14ac:dyDescent="0.25">
      <c r="A38" s="64" t="s">
        <v>174</v>
      </c>
      <c r="B38" s="64" t="s">
        <v>566</v>
      </c>
      <c r="C38" s="64" t="s">
        <v>567</v>
      </c>
      <c r="D38" s="510">
        <v>579</v>
      </c>
      <c r="E38" s="510">
        <v>2620</v>
      </c>
      <c r="F38" s="510">
        <v>702</v>
      </c>
      <c r="G38" s="64" t="s">
        <v>541</v>
      </c>
      <c r="H38" s="64"/>
      <c r="I38" s="64"/>
      <c r="J38" s="64"/>
      <c r="K38" s="64"/>
      <c r="L38" s="64"/>
      <c r="M38" s="64"/>
      <c r="N38" s="64"/>
      <c r="O38" s="64"/>
      <c r="P38" s="64"/>
      <c r="Q38" s="64"/>
      <c r="R38" s="64"/>
      <c r="S38" s="64"/>
      <c r="T38" s="64"/>
      <c r="U38" s="64"/>
      <c r="V38" s="64"/>
    </row>
    <row r="39" spans="1:60" x14ac:dyDescent="0.25">
      <c r="A39" s="64" t="s">
        <v>168</v>
      </c>
      <c r="B39" s="64" t="s">
        <v>568</v>
      </c>
      <c r="C39" s="64" t="s">
        <v>569</v>
      </c>
      <c r="D39" s="510">
        <v>287</v>
      </c>
      <c r="E39" s="510">
        <v>1941</v>
      </c>
      <c r="F39" s="510">
        <v>365</v>
      </c>
      <c r="G39" s="64" t="s">
        <v>581</v>
      </c>
      <c r="H39" s="64"/>
      <c r="I39" s="64"/>
      <c r="J39" s="64"/>
      <c r="K39" s="64"/>
      <c r="L39" s="64"/>
      <c r="M39" s="64"/>
      <c r="N39" s="64"/>
      <c r="O39" s="64"/>
      <c r="P39" s="64"/>
      <c r="Q39" s="64"/>
      <c r="R39" s="64"/>
      <c r="S39" s="64"/>
      <c r="T39" s="64"/>
      <c r="U39" s="64"/>
      <c r="V39" s="64"/>
    </row>
    <row r="40" spans="1:60" x14ac:dyDescent="0.25">
      <c r="A40" s="64" t="s">
        <v>165</v>
      </c>
      <c r="B40" s="64" t="s">
        <v>570</v>
      </c>
      <c r="C40" s="64" t="s">
        <v>571</v>
      </c>
      <c r="D40" s="510">
        <v>515</v>
      </c>
      <c r="E40" s="510">
        <v>4699</v>
      </c>
      <c r="F40" s="510">
        <v>734</v>
      </c>
      <c r="G40" s="64" t="s">
        <v>541</v>
      </c>
      <c r="H40" s="64"/>
      <c r="I40" s="64"/>
      <c r="J40" s="64"/>
      <c r="K40" s="64"/>
      <c r="L40" s="64"/>
      <c r="M40" s="64"/>
      <c r="N40" s="64"/>
      <c r="O40" s="64"/>
      <c r="P40" s="64"/>
      <c r="Q40" s="64"/>
      <c r="R40" s="64"/>
      <c r="S40" s="64"/>
      <c r="T40" s="64"/>
      <c r="U40" s="64"/>
      <c r="V40" s="64"/>
    </row>
    <row r="41" spans="1:60" x14ac:dyDescent="0.25">
      <c r="A41" s="64" t="s">
        <v>516</v>
      </c>
      <c r="B41" s="64" t="s">
        <v>572</v>
      </c>
      <c r="C41" s="64" t="s">
        <v>573</v>
      </c>
      <c r="D41" s="510">
        <v>2495</v>
      </c>
      <c r="E41" s="510">
        <v>1663</v>
      </c>
      <c r="F41" s="510">
        <v>2379</v>
      </c>
      <c r="G41" s="64" t="s">
        <v>585</v>
      </c>
      <c r="H41" s="64"/>
      <c r="I41" s="64"/>
      <c r="J41" s="64"/>
      <c r="K41" s="64"/>
      <c r="L41" s="64"/>
      <c r="M41" s="64"/>
      <c r="N41" s="64"/>
      <c r="O41" s="64"/>
      <c r="P41" s="64"/>
      <c r="Q41" s="64"/>
      <c r="R41" s="64"/>
      <c r="S41" s="64"/>
      <c r="T41" s="64"/>
      <c r="U41" s="64"/>
      <c r="V41" s="64"/>
    </row>
    <row r="42" spans="1:60" s="426" customFormat="1" ht="18.75" x14ac:dyDescent="0.3">
      <c r="A42" s="507" t="s">
        <v>183</v>
      </c>
      <c r="B42" s="64"/>
      <c r="C42" s="64"/>
      <c r="D42" s="510"/>
      <c r="E42" s="510"/>
      <c r="F42" s="510"/>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row>
    <row r="43" spans="1:60" s="426" customFormat="1" ht="18.75" x14ac:dyDescent="0.3">
      <c r="A43" s="597" t="s">
        <v>173</v>
      </c>
      <c r="B43" s="64"/>
      <c r="C43" s="64" t="s">
        <v>574</v>
      </c>
      <c r="D43" s="510">
        <v>295</v>
      </c>
      <c r="E43" s="510">
        <v>12997</v>
      </c>
      <c r="F43" s="510">
        <v>1093</v>
      </c>
      <c r="G43" s="64" t="s">
        <v>541</v>
      </c>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row>
    <row r="44" spans="1:60" s="426" customFormat="1" ht="18.75" x14ac:dyDescent="0.3">
      <c r="A44" s="597" t="s">
        <v>175</v>
      </c>
      <c r="B44" s="64"/>
      <c r="C44" s="64" t="s">
        <v>574</v>
      </c>
      <c r="D44" s="510">
        <v>90</v>
      </c>
      <c r="E44" s="510">
        <v>3686</v>
      </c>
      <c r="F44" s="510">
        <v>345</v>
      </c>
      <c r="G44" s="64" t="s">
        <v>541</v>
      </c>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row>
    <row r="45" spans="1:60" s="426" customFormat="1" ht="18.75" x14ac:dyDescent="0.3">
      <c r="A45" s="597" t="s">
        <v>168</v>
      </c>
      <c r="B45" s="64" t="s">
        <v>575</v>
      </c>
      <c r="C45" s="64" t="s">
        <v>576</v>
      </c>
      <c r="D45" s="510">
        <v>293</v>
      </c>
      <c r="E45" s="510">
        <v>2661</v>
      </c>
      <c r="F45" s="510">
        <v>404</v>
      </c>
      <c r="G45" s="64" t="s">
        <v>581</v>
      </c>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row>
    <row r="46" spans="1:60" s="426" customFormat="1" ht="18.75" x14ac:dyDescent="0.3">
      <c r="A46" s="507" t="s">
        <v>106</v>
      </c>
      <c r="B46" s="64"/>
      <c r="C46" s="64"/>
      <c r="D46" s="510"/>
      <c r="E46" s="510"/>
      <c r="F46" s="510"/>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row>
    <row r="47" spans="1:60" x14ac:dyDescent="0.25">
      <c r="A47" s="64" t="s">
        <v>178</v>
      </c>
      <c r="B47" s="64" t="s">
        <v>28</v>
      </c>
      <c r="C47" s="64" t="s">
        <v>586</v>
      </c>
      <c r="D47" s="510">
        <v>105</v>
      </c>
      <c r="E47" s="510">
        <v>30486</v>
      </c>
      <c r="F47" s="510">
        <v>1652</v>
      </c>
      <c r="G47" s="64" t="s">
        <v>587</v>
      </c>
      <c r="I47" s="64"/>
      <c r="J47" s="64"/>
      <c r="K47" s="64"/>
      <c r="L47" s="64"/>
      <c r="M47" s="64"/>
      <c r="N47" s="64"/>
      <c r="O47" s="64"/>
      <c r="P47" s="64"/>
      <c r="Q47" s="64"/>
      <c r="R47" s="64"/>
      <c r="S47" s="64"/>
      <c r="T47" s="64"/>
      <c r="U47" s="64"/>
      <c r="V47" s="64"/>
    </row>
    <row r="48" spans="1:60" x14ac:dyDescent="0.25">
      <c r="A48" s="64" t="s">
        <v>173</v>
      </c>
      <c r="B48" s="64" t="s">
        <v>588</v>
      </c>
      <c r="C48" s="64" t="s">
        <v>589</v>
      </c>
      <c r="D48" s="510">
        <v>108</v>
      </c>
      <c r="E48" s="510">
        <v>3097</v>
      </c>
      <c r="F48" s="510">
        <v>296</v>
      </c>
      <c r="G48" s="64" t="s">
        <v>98</v>
      </c>
      <c r="I48" s="64"/>
      <c r="J48" s="64"/>
      <c r="K48" s="64"/>
      <c r="L48" s="64"/>
      <c r="M48" s="64"/>
      <c r="N48" s="64"/>
      <c r="O48" s="64"/>
      <c r="P48" s="64"/>
      <c r="Q48" s="64"/>
      <c r="R48" s="64"/>
      <c r="S48" s="64"/>
      <c r="T48" s="64"/>
      <c r="U48" s="64"/>
      <c r="V48" s="64"/>
    </row>
    <row r="49" spans="1:60" x14ac:dyDescent="0.25">
      <c r="A49" s="64" t="s">
        <v>175</v>
      </c>
      <c r="B49" s="64" t="s">
        <v>588</v>
      </c>
      <c r="C49" s="64" t="s">
        <v>589</v>
      </c>
      <c r="D49" s="510">
        <v>155</v>
      </c>
      <c r="E49" s="510">
        <v>4506</v>
      </c>
      <c r="F49" s="510">
        <v>464</v>
      </c>
      <c r="G49" s="64" t="s">
        <v>98</v>
      </c>
      <c r="I49" s="64"/>
      <c r="J49" s="64"/>
      <c r="K49" s="64"/>
      <c r="L49" s="64"/>
      <c r="M49" s="64"/>
      <c r="N49" s="64"/>
      <c r="O49" s="64"/>
      <c r="P49" s="64"/>
      <c r="Q49" s="64"/>
      <c r="R49" s="64"/>
      <c r="S49" s="64"/>
      <c r="T49" s="64"/>
      <c r="U49" s="64"/>
      <c r="V49" s="64"/>
    </row>
    <row r="50" spans="1:60" x14ac:dyDescent="0.25">
      <c r="A50" s="64" t="s">
        <v>167</v>
      </c>
      <c r="B50" s="64" t="s">
        <v>590</v>
      </c>
      <c r="C50" s="64" t="s">
        <v>591</v>
      </c>
      <c r="D50" s="510">
        <v>32</v>
      </c>
      <c r="E50" s="510"/>
      <c r="F50" s="510"/>
      <c r="G50" s="64" t="s">
        <v>592</v>
      </c>
      <c r="I50" s="64"/>
      <c r="J50" s="64"/>
      <c r="K50" s="64"/>
      <c r="L50" s="64"/>
      <c r="M50" s="64"/>
      <c r="N50" s="64"/>
      <c r="O50" s="64"/>
      <c r="P50" s="64"/>
      <c r="Q50" s="64"/>
      <c r="R50" s="64"/>
      <c r="S50" s="64"/>
      <c r="T50" s="64"/>
      <c r="U50" s="64"/>
      <c r="V50" s="64"/>
    </row>
    <row r="51" spans="1:60" x14ac:dyDescent="0.25">
      <c r="A51" s="64" t="s">
        <v>179</v>
      </c>
      <c r="B51" s="64" t="s">
        <v>593</v>
      </c>
      <c r="C51" s="64" t="s">
        <v>594</v>
      </c>
      <c r="D51" s="510">
        <v>0</v>
      </c>
      <c r="E51" s="510"/>
      <c r="F51" s="510"/>
      <c r="G51" s="64" t="s">
        <v>595</v>
      </c>
      <c r="I51" s="64"/>
      <c r="J51" s="64"/>
      <c r="K51" s="64"/>
      <c r="L51" s="64"/>
      <c r="M51" s="64"/>
      <c r="N51" s="64"/>
      <c r="O51" s="64"/>
      <c r="P51" s="64"/>
      <c r="Q51" s="64"/>
      <c r="R51" s="64"/>
      <c r="S51" s="64"/>
      <c r="T51" s="64"/>
      <c r="U51" s="64"/>
      <c r="V51" s="64"/>
    </row>
    <row r="52" spans="1:60" x14ac:dyDescent="0.25">
      <c r="A52" s="64" t="s">
        <v>174</v>
      </c>
      <c r="B52" s="64" t="s">
        <v>596</v>
      </c>
      <c r="C52" s="64" t="s">
        <v>597</v>
      </c>
      <c r="D52" s="510">
        <v>325</v>
      </c>
      <c r="E52" s="510"/>
      <c r="F52" s="510"/>
      <c r="G52" s="64" t="s">
        <v>598</v>
      </c>
      <c r="I52" s="64"/>
      <c r="J52" s="64"/>
      <c r="K52" s="64"/>
      <c r="L52" s="64"/>
      <c r="M52" s="64"/>
      <c r="N52" s="64"/>
      <c r="O52" s="64"/>
      <c r="P52" s="64"/>
      <c r="Q52" s="64"/>
      <c r="R52" s="64"/>
      <c r="S52" s="64"/>
      <c r="T52" s="64"/>
      <c r="U52" s="64"/>
      <c r="V52" s="64"/>
    </row>
    <row r="53" spans="1:60" x14ac:dyDescent="0.25">
      <c r="A53" s="64" t="s">
        <v>168</v>
      </c>
      <c r="B53" s="64" t="s">
        <v>599</v>
      </c>
      <c r="C53" s="64" t="s">
        <v>600</v>
      </c>
      <c r="D53" s="510">
        <v>38</v>
      </c>
      <c r="E53" s="510">
        <v>211</v>
      </c>
      <c r="F53" s="510">
        <v>46</v>
      </c>
      <c r="G53" s="64" t="s">
        <v>598</v>
      </c>
      <c r="I53" s="64"/>
      <c r="J53" s="64"/>
      <c r="K53" s="64"/>
      <c r="L53" s="64"/>
      <c r="M53" s="64"/>
      <c r="N53" s="64"/>
      <c r="O53" s="64"/>
      <c r="P53" s="64"/>
      <c r="Q53" s="64"/>
      <c r="R53" s="64"/>
      <c r="S53" s="64"/>
      <c r="T53" s="64"/>
      <c r="U53" s="64"/>
      <c r="V53" s="64"/>
    </row>
    <row r="54" spans="1:60" x14ac:dyDescent="0.25">
      <c r="A54" s="64" t="s">
        <v>165</v>
      </c>
      <c r="B54" s="64" t="s">
        <v>601</v>
      </c>
      <c r="C54" s="64" t="s">
        <v>600</v>
      </c>
      <c r="D54" s="510">
        <v>97</v>
      </c>
      <c r="E54" s="510">
        <v>342</v>
      </c>
      <c r="F54" s="510">
        <v>110</v>
      </c>
      <c r="G54" s="64" t="s">
        <v>598</v>
      </c>
      <c r="I54" s="64"/>
      <c r="J54" s="64"/>
      <c r="K54" s="64"/>
      <c r="L54" s="64"/>
      <c r="M54" s="64"/>
      <c r="N54" s="64"/>
      <c r="O54" s="64"/>
      <c r="P54" s="64"/>
      <c r="Q54" s="64"/>
      <c r="R54" s="64"/>
      <c r="S54" s="64"/>
      <c r="T54" s="64"/>
      <c r="U54" s="64"/>
      <c r="V54" s="64"/>
    </row>
    <row r="55" spans="1:60" x14ac:dyDescent="0.25">
      <c r="A55" s="64" t="s">
        <v>602</v>
      </c>
      <c r="B55" s="64" t="s">
        <v>603</v>
      </c>
      <c r="C55" s="64" t="s">
        <v>604</v>
      </c>
      <c r="D55" s="510">
        <v>36</v>
      </c>
      <c r="E55" s="510">
        <v>128</v>
      </c>
      <c r="F55" s="510">
        <v>41</v>
      </c>
      <c r="G55" s="64" t="s">
        <v>605</v>
      </c>
      <c r="I55" s="64"/>
      <c r="J55" s="64"/>
      <c r="K55" s="64"/>
      <c r="L55" s="64"/>
      <c r="M55" s="64"/>
      <c r="N55" s="64"/>
      <c r="O55" s="64"/>
      <c r="P55" s="64"/>
      <c r="Q55" s="64"/>
      <c r="R55" s="64"/>
      <c r="S55" s="64"/>
      <c r="T55" s="64"/>
      <c r="U55" s="64"/>
      <c r="V55" s="64"/>
    </row>
    <row r="56" spans="1:60" x14ac:dyDescent="0.25">
      <c r="A56" s="64" t="s">
        <v>515</v>
      </c>
      <c r="B56" s="64" t="s">
        <v>606</v>
      </c>
      <c r="C56" s="64" t="s">
        <v>597</v>
      </c>
      <c r="D56" s="510">
        <v>54</v>
      </c>
      <c r="E56" s="510"/>
      <c r="F56" s="510"/>
      <c r="G56" s="64" t="s">
        <v>607</v>
      </c>
      <c r="I56" s="64"/>
      <c r="J56" s="64"/>
      <c r="K56" s="64"/>
      <c r="L56" s="64"/>
      <c r="M56" s="64"/>
      <c r="N56" s="64"/>
      <c r="O56" s="64"/>
      <c r="P56" s="64"/>
      <c r="Q56" s="64"/>
      <c r="R56" s="64"/>
      <c r="S56" s="64"/>
      <c r="T56" s="64"/>
      <c r="U56" s="64"/>
      <c r="V56" s="64"/>
    </row>
    <row r="57" spans="1:60" s="426" customFormat="1" ht="18.75" x14ac:dyDescent="0.3">
      <c r="A57" s="507" t="s">
        <v>102</v>
      </c>
      <c r="B57" s="64"/>
      <c r="C57" s="64"/>
      <c r="D57" s="510"/>
      <c r="E57" s="510"/>
      <c r="F57" s="510"/>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row>
    <row r="58" spans="1:60" x14ac:dyDescent="0.25">
      <c r="A58" s="64" t="s">
        <v>167</v>
      </c>
      <c r="B58" s="64" t="s">
        <v>608</v>
      </c>
      <c r="C58" s="64" t="s">
        <v>609</v>
      </c>
      <c r="D58" s="510"/>
      <c r="E58" s="510">
        <v>346</v>
      </c>
      <c r="F58" s="510"/>
      <c r="G58" s="64" t="s">
        <v>610</v>
      </c>
      <c r="I58" s="64"/>
      <c r="J58" s="64"/>
      <c r="K58" s="64"/>
      <c r="L58" s="64"/>
      <c r="M58" s="64"/>
      <c r="N58" s="64"/>
      <c r="O58" s="64"/>
      <c r="P58" s="64"/>
      <c r="Q58" s="64"/>
      <c r="R58" s="64"/>
      <c r="S58" s="64"/>
      <c r="T58" s="64"/>
      <c r="U58" s="64"/>
      <c r="V58" s="64"/>
    </row>
    <row r="59" spans="1:60" x14ac:dyDescent="0.25">
      <c r="A59" s="64" t="s">
        <v>179</v>
      </c>
      <c r="B59" s="64" t="s">
        <v>611</v>
      </c>
      <c r="C59" s="64" t="s">
        <v>184</v>
      </c>
      <c r="D59" s="510"/>
      <c r="E59" s="510">
        <v>0</v>
      </c>
      <c r="F59" s="510"/>
      <c r="G59" s="64" t="s">
        <v>612</v>
      </c>
      <c r="I59" s="64"/>
      <c r="J59" s="64"/>
      <c r="K59" s="64"/>
      <c r="L59" s="64"/>
      <c r="M59" s="64"/>
      <c r="N59" s="64"/>
      <c r="O59" s="64"/>
      <c r="P59" s="64"/>
      <c r="Q59" s="64"/>
      <c r="R59" s="64"/>
      <c r="S59" s="64"/>
      <c r="T59" s="64"/>
      <c r="U59" s="64"/>
      <c r="V59" s="64"/>
    </row>
    <row r="60" spans="1:60" x14ac:dyDescent="0.25">
      <c r="A60" s="64" t="s">
        <v>174</v>
      </c>
      <c r="B60" s="64" t="s">
        <v>613</v>
      </c>
      <c r="C60" s="64" t="s">
        <v>614</v>
      </c>
      <c r="D60" s="510"/>
      <c r="E60" s="510">
        <v>531</v>
      </c>
      <c r="F60" s="510"/>
      <c r="G60" s="64" t="s">
        <v>541</v>
      </c>
      <c r="I60" s="64"/>
      <c r="J60" s="64"/>
      <c r="K60" s="64"/>
      <c r="L60" s="64"/>
      <c r="M60" s="64"/>
      <c r="N60" s="64"/>
      <c r="O60" s="64"/>
      <c r="P60" s="64"/>
      <c r="Q60" s="64"/>
      <c r="R60" s="64"/>
      <c r="S60" s="64"/>
      <c r="T60" s="64"/>
      <c r="U60" s="64"/>
      <c r="V60" s="64"/>
    </row>
    <row r="61" spans="1:60" ht="18.75" x14ac:dyDescent="0.3">
      <c r="A61" s="507" t="s">
        <v>615</v>
      </c>
      <c r="B61" s="64"/>
      <c r="C61" s="64"/>
      <c r="D61" s="510"/>
      <c r="E61" s="510"/>
      <c r="F61" s="510"/>
      <c r="G61" s="64"/>
      <c r="I61" s="64"/>
      <c r="J61" s="64"/>
      <c r="K61" s="64"/>
      <c r="L61" s="64"/>
      <c r="M61" s="64"/>
      <c r="N61" s="64"/>
      <c r="O61" s="64"/>
      <c r="P61" s="64"/>
      <c r="Q61" s="64"/>
      <c r="R61" s="64"/>
      <c r="S61" s="64"/>
      <c r="T61" s="64"/>
      <c r="U61" s="64"/>
      <c r="V61" s="64"/>
    </row>
    <row r="62" spans="1:60" x14ac:dyDescent="0.25">
      <c r="A62" s="64" t="s">
        <v>172</v>
      </c>
      <c r="B62" s="64" t="s">
        <v>616</v>
      </c>
      <c r="C62" s="64" t="s">
        <v>617</v>
      </c>
      <c r="D62" s="510">
        <v>112</v>
      </c>
      <c r="E62" s="510">
        <v>467</v>
      </c>
      <c r="F62" s="510">
        <v>128</v>
      </c>
      <c r="G62" s="64" t="s">
        <v>541</v>
      </c>
      <c r="I62" s="64"/>
      <c r="J62" s="64"/>
      <c r="K62" s="64"/>
      <c r="L62" s="64"/>
      <c r="M62" s="64"/>
      <c r="N62" s="64"/>
      <c r="O62" s="64"/>
      <c r="P62" s="64"/>
      <c r="Q62" s="64"/>
      <c r="R62" s="64"/>
      <c r="S62" s="64"/>
      <c r="T62" s="64"/>
      <c r="U62" s="64"/>
      <c r="V62" s="64"/>
    </row>
    <row r="63" spans="1:60" x14ac:dyDescent="0.25">
      <c r="A63" s="64" t="s">
        <v>173</v>
      </c>
      <c r="B63" s="64" t="s">
        <v>86</v>
      </c>
      <c r="C63" s="64" t="s">
        <v>618</v>
      </c>
      <c r="D63" s="510">
        <v>43</v>
      </c>
      <c r="E63" s="510">
        <v>1770</v>
      </c>
      <c r="F63" s="510">
        <v>152</v>
      </c>
      <c r="G63" s="64" t="s">
        <v>619</v>
      </c>
      <c r="I63" s="64"/>
      <c r="J63" s="64"/>
      <c r="K63" s="64"/>
      <c r="L63" s="64"/>
      <c r="M63" s="64"/>
      <c r="N63" s="64"/>
      <c r="O63" s="64"/>
      <c r="P63" s="64"/>
      <c r="Q63" s="64"/>
      <c r="R63" s="64"/>
      <c r="S63" s="64"/>
      <c r="T63" s="64"/>
      <c r="U63" s="64"/>
      <c r="V63" s="64"/>
    </row>
    <row r="64" spans="1:60" x14ac:dyDescent="0.25">
      <c r="A64" s="64" t="s">
        <v>175</v>
      </c>
      <c r="B64" s="64" t="s">
        <v>86</v>
      </c>
      <c r="C64" s="64" t="s">
        <v>618</v>
      </c>
      <c r="D64" s="510">
        <v>155</v>
      </c>
      <c r="E64" s="510">
        <v>4005</v>
      </c>
      <c r="F64" s="510">
        <v>428</v>
      </c>
      <c r="G64" s="64" t="s">
        <v>619</v>
      </c>
      <c r="I64" s="64"/>
      <c r="J64" s="64"/>
      <c r="K64" s="64"/>
      <c r="L64" s="64"/>
      <c r="M64" s="64"/>
      <c r="N64" s="64"/>
      <c r="O64" s="64"/>
      <c r="P64" s="64"/>
      <c r="Q64" s="64"/>
      <c r="R64" s="64"/>
      <c r="S64" s="64"/>
      <c r="T64" s="64"/>
      <c r="U64" s="64"/>
      <c r="V64" s="64"/>
    </row>
    <row r="65" spans="1:60" x14ac:dyDescent="0.25">
      <c r="A65" s="64" t="s">
        <v>164</v>
      </c>
      <c r="B65" s="64" t="s">
        <v>620</v>
      </c>
      <c r="C65" s="64" t="s">
        <v>621</v>
      </c>
      <c r="D65" s="510">
        <v>172</v>
      </c>
      <c r="E65" s="510">
        <v>782</v>
      </c>
      <c r="F65" s="510">
        <v>202</v>
      </c>
      <c r="G65" s="64" t="s">
        <v>622</v>
      </c>
      <c r="I65" s="64"/>
      <c r="J65" s="64"/>
      <c r="K65" s="64"/>
      <c r="L65" s="64"/>
      <c r="M65" s="64"/>
      <c r="N65" s="64"/>
      <c r="O65" s="64"/>
      <c r="P65" s="64"/>
      <c r="Q65" s="64"/>
      <c r="R65" s="64"/>
      <c r="S65" s="64"/>
      <c r="T65" s="64"/>
      <c r="U65" s="64"/>
      <c r="V65" s="64"/>
    </row>
    <row r="66" spans="1:60" s="426" customFormat="1" ht="18.75" x14ac:dyDescent="0.3">
      <c r="A66" s="507" t="s">
        <v>185</v>
      </c>
      <c r="B66" s="64"/>
      <c r="C66" s="64"/>
      <c r="D66" s="510"/>
      <c r="E66" s="510"/>
      <c r="F66" s="510"/>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row>
    <row r="67" spans="1:60" x14ac:dyDescent="0.25">
      <c r="A67" s="64" t="s">
        <v>173</v>
      </c>
      <c r="B67" s="64" t="s">
        <v>637</v>
      </c>
      <c r="C67" s="64" t="s">
        <v>638</v>
      </c>
      <c r="D67" s="510">
        <v>70</v>
      </c>
      <c r="E67" s="510">
        <v>1792</v>
      </c>
      <c r="F67" s="510">
        <v>178</v>
      </c>
      <c r="G67" s="64" t="s">
        <v>639</v>
      </c>
      <c r="H67" s="64"/>
      <c r="I67" s="64"/>
      <c r="J67" s="64"/>
      <c r="K67" s="64"/>
      <c r="L67" s="64"/>
      <c r="M67" s="64"/>
      <c r="N67" s="64"/>
      <c r="O67" s="64"/>
      <c r="P67" s="64"/>
      <c r="Q67" s="64"/>
      <c r="R67" s="64"/>
      <c r="S67" s="64"/>
      <c r="T67" s="64"/>
      <c r="U67" s="64"/>
      <c r="V67" s="64"/>
    </row>
    <row r="68" spans="1:60" x14ac:dyDescent="0.25">
      <c r="A68" s="64" t="s">
        <v>175</v>
      </c>
      <c r="B68" s="64" t="s">
        <v>85</v>
      </c>
      <c r="C68" s="64" t="s">
        <v>638</v>
      </c>
      <c r="D68" s="510">
        <v>21</v>
      </c>
      <c r="E68" s="510">
        <v>683</v>
      </c>
      <c r="F68" s="510">
        <v>68</v>
      </c>
      <c r="G68" s="64" t="s">
        <v>639</v>
      </c>
      <c r="H68" s="64"/>
      <c r="I68" s="64"/>
      <c r="J68" s="64"/>
      <c r="K68" s="64"/>
      <c r="L68" s="64"/>
      <c r="M68" s="64"/>
      <c r="N68" s="64"/>
      <c r="O68" s="64"/>
      <c r="P68" s="64"/>
      <c r="Q68" s="64"/>
      <c r="R68" s="64"/>
      <c r="S68" s="64"/>
      <c r="T68" s="64"/>
      <c r="U68" s="64"/>
      <c r="V68" s="64"/>
    </row>
    <row r="69" spans="1:60" x14ac:dyDescent="0.25">
      <c r="A69" s="64" t="s">
        <v>168</v>
      </c>
      <c r="B69" s="64" t="s">
        <v>640</v>
      </c>
      <c r="C69" s="64" t="s">
        <v>641</v>
      </c>
      <c r="D69" s="510">
        <v>80</v>
      </c>
      <c r="E69" s="510">
        <v>338</v>
      </c>
      <c r="F69" s="510">
        <v>92</v>
      </c>
      <c r="G69" s="64" t="s">
        <v>642</v>
      </c>
      <c r="H69" s="64"/>
      <c r="I69" s="64"/>
      <c r="J69" s="64"/>
      <c r="K69" s="64"/>
      <c r="L69" s="64"/>
      <c r="M69" s="64"/>
      <c r="N69" s="64"/>
      <c r="O69" s="64"/>
      <c r="P69" s="64"/>
      <c r="Q69" s="64"/>
      <c r="R69" s="64"/>
      <c r="S69" s="64"/>
      <c r="T69" s="64"/>
      <c r="U69" s="64"/>
      <c r="V69" s="64"/>
    </row>
    <row r="70" spans="1:60" s="426" customFormat="1" ht="18.75" x14ac:dyDescent="0.3">
      <c r="A70" s="507" t="s">
        <v>3</v>
      </c>
      <c r="B70" s="507"/>
      <c r="C70" s="507"/>
      <c r="D70" s="511"/>
      <c r="E70" s="511"/>
      <c r="F70" s="511"/>
      <c r="G70" s="507"/>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row>
    <row r="71" spans="1:60" x14ac:dyDescent="0.25">
      <c r="A71" s="64" t="s">
        <v>172</v>
      </c>
      <c r="B71" s="64" t="s">
        <v>623</v>
      </c>
      <c r="C71" s="64" t="s">
        <v>624</v>
      </c>
      <c r="D71" s="510">
        <v>133624</v>
      </c>
      <c r="E71" s="510">
        <v>416722</v>
      </c>
      <c r="F71" s="510">
        <v>146597</v>
      </c>
      <c r="G71" s="64" t="s">
        <v>541</v>
      </c>
      <c r="H71" s="64"/>
      <c r="I71" s="64"/>
      <c r="J71" s="64"/>
      <c r="K71" s="64"/>
      <c r="L71" s="64"/>
      <c r="M71" s="64"/>
      <c r="N71" s="64"/>
      <c r="O71" s="64"/>
      <c r="P71" s="64"/>
      <c r="Q71" s="64"/>
      <c r="R71" s="64"/>
      <c r="S71" s="64"/>
      <c r="T71" s="64"/>
      <c r="U71" s="64"/>
      <c r="V71" s="64"/>
    </row>
    <row r="72" spans="1:60" x14ac:dyDescent="0.25">
      <c r="A72" s="64" t="s">
        <v>178</v>
      </c>
      <c r="B72" s="64" t="s">
        <v>625</v>
      </c>
      <c r="C72" s="64" t="s">
        <v>626</v>
      </c>
      <c r="D72" s="510">
        <v>559984</v>
      </c>
      <c r="E72" s="510">
        <v>11838937</v>
      </c>
      <c r="F72" s="510">
        <v>1134246</v>
      </c>
      <c r="G72" s="64" t="s">
        <v>541</v>
      </c>
      <c r="H72" s="64"/>
      <c r="I72" s="64"/>
      <c r="J72" s="64"/>
      <c r="K72" s="64"/>
      <c r="L72" s="64"/>
      <c r="M72" s="64"/>
      <c r="N72" s="64"/>
      <c r="O72" s="64"/>
      <c r="P72" s="64"/>
      <c r="Q72" s="64"/>
      <c r="R72" s="64"/>
      <c r="S72" s="64"/>
      <c r="T72" s="64"/>
      <c r="U72" s="64"/>
      <c r="V72" s="64"/>
    </row>
    <row r="73" spans="1:60" x14ac:dyDescent="0.25">
      <c r="A73" s="64" t="s">
        <v>173</v>
      </c>
      <c r="B73" s="64" t="s">
        <v>3</v>
      </c>
      <c r="C73" s="64" t="s">
        <v>626</v>
      </c>
      <c r="D73" s="510">
        <v>44447</v>
      </c>
      <c r="E73" s="510">
        <v>1379870</v>
      </c>
      <c r="F73" s="510">
        <v>128336</v>
      </c>
      <c r="G73" s="64" t="s">
        <v>627</v>
      </c>
      <c r="H73" s="64"/>
      <c r="I73" s="64"/>
      <c r="J73" s="64"/>
      <c r="K73" s="64"/>
      <c r="L73" s="64"/>
      <c r="M73" s="64"/>
      <c r="N73" s="64"/>
      <c r="O73" s="64"/>
      <c r="P73" s="64"/>
      <c r="Q73" s="64"/>
      <c r="R73" s="64"/>
      <c r="S73" s="64"/>
      <c r="T73" s="64"/>
      <c r="U73" s="64"/>
      <c r="V73" s="64"/>
    </row>
    <row r="74" spans="1:60" x14ac:dyDescent="0.25">
      <c r="A74" s="64" t="s">
        <v>175</v>
      </c>
      <c r="B74" s="64" t="s">
        <v>3</v>
      </c>
      <c r="C74" s="64" t="s">
        <v>626</v>
      </c>
      <c r="D74" s="510">
        <v>104096</v>
      </c>
      <c r="E74" s="510">
        <v>1996421</v>
      </c>
      <c r="F74" s="510">
        <v>238304</v>
      </c>
      <c r="G74" s="64" t="s">
        <v>627</v>
      </c>
      <c r="H74" s="64"/>
      <c r="I74" s="64"/>
      <c r="J74" s="64"/>
      <c r="K74" s="64"/>
      <c r="L74" s="64"/>
      <c r="M74" s="64"/>
      <c r="N74" s="64"/>
      <c r="O74" s="64"/>
      <c r="P74" s="64"/>
      <c r="Q74" s="64"/>
      <c r="R74" s="64"/>
      <c r="S74" s="64"/>
      <c r="T74" s="64"/>
      <c r="U74" s="64"/>
      <c r="V74" s="64"/>
    </row>
    <row r="75" spans="1:60" x14ac:dyDescent="0.25">
      <c r="A75" s="64" t="s">
        <v>164</v>
      </c>
      <c r="B75" s="64" t="s">
        <v>628</v>
      </c>
      <c r="C75" s="64" t="s">
        <v>626</v>
      </c>
      <c r="D75" s="510">
        <v>291633</v>
      </c>
      <c r="E75" s="510">
        <v>339374</v>
      </c>
      <c r="F75" s="510">
        <v>293981</v>
      </c>
      <c r="G75" s="64" t="s">
        <v>629</v>
      </c>
      <c r="H75" s="64"/>
      <c r="I75" s="64"/>
      <c r="J75" s="64"/>
      <c r="K75" s="64"/>
      <c r="L75" s="64"/>
      <c r="M75" s="64"/>
      <c r="N75" s="64"/>
      <c r="O75" s="64"/>
      <c r="P75" s="64"/>
      <c r="Q75" s="64"/>
      <c r="R75" s="64"/>
      <c r="S75" s="64"/>
      <c r="T75" s="64"/>
      <c r="U75" s="64"/>
      <c r="V75" s="64"/>
    </row>
    <row r="76" spans="1:60" x14ac:dyDescent="0.25">
      <c r="A76" s="64" t="s">
        <v>167</v>
      </c>
      <c r="B76" s="64" t="s">
        <v>630</v>
      </c>
      <c r="C76" s="64" t="s">
        <v>626</v>
      </c>
      <c r="D76" s="510">
        <v>390688</v>
      </c>
      <c r="E76" s="510">
        <v>1969650</v>
      </c>
      <c r="F76" s="510">
        <v>476616</v>
      </c>
      <c r="G76" s="64" t="s">
        <v>631</v>
      </c>
      <c r="H76" s="64"/>
      <c r="I76" s="64"/>
      <c r="J76" s="64"/>
      <c r="K76" s="64"/>
      <c r="L76" s="64"/>
      <c r="M76" s="64"/>
      <c r="N76" s="64"/>
      <c r="O76" s="64"/>
      <c r="P76" s="64"/>
      <c r="Q76" s="64"/>
      <c r="R76" s="64"/>
      <c r="S76" s="64"/>
      <c r="T76" s="64"/>
      <c r="U76" s="64"/>
      <c r="V76" s="64"/>
    </row>
    <row r="77" spans="1:60" x14ac:dyDescent="0.25">
      <c r="A77" s="64" t="s">
        <v>179</v>
      </c>
      <c r="B77" s="64" t="s">
        <v>3</v>
      </c>
      <c r="C77" s="64" t="s">
        <v>626</v>
      </c>
      <c r="D77" s="510">
        <v>753888</v>
      </c>
      <c r="E77" s="510">
        <v>5694943</v>
      </c>
      <c r="F77" s="510">
        <v>1031525</v>
      </c>
      <c r="G77" s="64" t="s">
        <v>632</v>
      </c>
      <c r="H77" s="64"/>
      <c r="I77" s="64"/>
      <c r="J77" s="64"/>
      <c r="K77" s="64"/>
      <c r="L77" s="64"/>
      <c r="M77" s="64"/>
      <c r="N77" s="64"/>
      <c r="O77" s="64"/>
      <c r="P77" s="64"/>
      <c r="Q77" s="64"/>
      <c r="R77" s="64"/>
      <c r="S77" s="64"/>
      <c r="T77" s="64"/>
      <c r="U77" s="64"/>
      <c r="V77" s="64"/>
    </row>
    <row r="78" spans="1:60" x14ac:dyDescent="0.25">
      <c r="A78" s="64" t="s">
        <v>602</v>
      </c>
      <c r="B78" s="64" t="s">
        <v>3</v>
      </c>
      <c r="C78" s="64" t="s">
        <v>626</v>
      </c>
      <c r="D78" s="510">
        <v>655153</v>
      </c>
      <c r="E78" s="510">
        <v>686587</v>
      </c>
      <c r="F78" s="510">
        <v>656797</v>
      </c>
      <c r="G78" s="64" t="s">
        <v>633</v>
      </c>
      <c r="H78" s="64"/>
      <c r="I78" s="64"/>
      <c r="J78" s="64"/>
      <c r="K78" s="64"/>
      <c r="L78" s="64"/>
      <c r="M78" s="64"/>
      <c r="N78" s="64"/>
      <c r="O78" s="64"/>
      <c r="P78" s="64"/>
      <c r="Q78" s="64"/>
      <c r="R78" s="64"/>
      <c r="S78" s="64"/>
      <c r="T78" s="64"/>
      <c r="U78" s="64"/>
      <c r="V78" s="64"/>
    </row>
    <row r="79" spans="1:60" x14ac:dyDescent="0.25">
      <c r="A79" s="64" t="s">
        <v>515</v>
      </c>
      <c r="B79" s="64" t="s">
        <v>634</v>
      </c>
      <c r="C79" s="64" t="s">
        <v>626</v>
      </c>
      <c r="D79" s="510">
        <v>24293</v>
      </c>
      <c r="E79" s="510"/>
      <c r="F79" s="510"/>
      <c r="G79" s="64" t="s">
        <v>635</v>
      </c>
      <c r="H79" s="64"/>
      <c r="I79" s="64"/>
      <c r="J79" s="64"/>
      <c r="K79" s="64"/>
      <c r="L79" s="64"/>
      <c r="M79" s="64"/>
      <c r="N79" s="64"/>
      <c r="O79" s="64"/>
      <c r="P79" s="64"/>
      <c r="Q79" s="64"/>
      <c r="R79" s="64"/>
      <c r="S79" s="64"/>
      <c r="T79" s="64"/>
      <c r="U79" s="64"/>
      <c r="V79" s="64"/>
    </row>
    <row r="80" spans="1:60" x14ac:dyDescent="0.25">
      <c r="A80" s="64" t="s">
        <v>516</v>
      </c>
      <c r="B80" s="64" t="s">
        <v>623</v>
      </c>
      <c r="C80" s="64" t="s">
        <v>626</v>
      </c>
      <c r="D80" s="510">
        <v>611894</v>
      </c>
      <c r="E80" s="510">
        <v>1553101</v>
      </c>
      <c r="F80" s="510">
        <v>743167</v>
      </c>
      <c r="G80" s="64" t="s">
        <v>636</v>
      </c>
      <c r="H80" s="64"/>
      <c r="I80" s="64"/>
      <c r="J80" s="64"/>
      <c r="K80" s="64"/>
      <c r="L80" s="64"/>
      <c r="M80" s="64"/>
      <c r="N80" s="64"/>
      <c r="O80" s="64"/>
      <c r="P80" s="64"/>
      <c r="Q80" s="64"/>
      <c r="R80" s="64"/>
      <c r="S80" s="64"/>
      <c r="T80" s="64"/>
      <c r="U80" s="64"/>
      <c r="V80" s="64"/>
    </row>
    <row r="81" spans="1:22" ht="18.75" x14ac:dyDescent="0.3">
      <c r="A81" s="507" t="s">
        <v>643</v>
      </c>
      <c r="B81" s="64"/>
      <c r="C81" s="64"/>
      <c r="D81" s="510"/>
      <c r="E81" s="510"/>
      <c r="F81" s="510"/>
      <c r="G81" s="64"/>
      <c r="H81" s="64"/>
      <c r="I81" s="64"/>
      <c r="J81" s="64"/>
      <c r="K81" s="64"/>
      <c r="L81" s="64"/>
      <c r="M81" s="64"/>
      <c r="N81" s="64"/>
      <c r="O81" s="64"/>
      <c r="P81" s="64"/>
      <c r="Q81" s="64"/>
      <c r="R81" s="64"/>
      <c r="S81" s="64"/>
      <c r="T81" s="64"/>
      <c r="U81" s="64"/>
      <c r="V81" s="64"/>
    </row>
    <row r="82" spans="1:22" x14ac:dyDescent="0.25">
      <c r="A82" s="64" t="s">
        <v>173</v>
      </c>
      <c r="B82" s="64" t="s">
        <v>88</v>
      </c>
      <c r="C82" s="64" t="s">
        <v>644</v>
      </c>
      <c r="D82" s="510">
        <v>11584</v>
      </c>
      <c r="E82" s="510">
        <v>117258</v>
      </c>
      <c r="F82" s="510">
        <v>18222</v>
      </c>
      <c r="G82" s="64" t="s">
        <v>645</v>
      </c>
      <c r="H82" s="64"/>
      <c r="I82" s="64"/>
      <c r="J82" s="64"/>
      <c r="K82" s="64"/>
      <c r="L82" s="64"/>
      <c r="M82" s="64"/>
      <c r="N82" s="64"/>
      <c r="O82" s="64"/>
      <c r="P82" s="64"/>
      <c r="Q82" s="64"/>
      <c r="R82" s="64"/>
      <c r="S82" s="64"/>
      <c r="T82" s="64"/>
      <c r="U82" s="64"/>
      <c r="V82" s="64"/>
    </row>
    <row r="83" spans="1:22" x14ac:dyDescent="0.25">
      <c r="A83" s="64" t="s">
        <v>175</v>
      </c>
      <c r="B83" s="64" t="s">
        <v>88</v>
      </c>
      <c r="C83" s="64" t="s">
        <v>644</v>
      </c>
      <c r="D83" s="510">
        <v>11703</v>
      </c>
      <c r="E83" s="510">
        <v>162432</v>
      </c>
      <c r="F83" s="510">
        <v>22393</v>
      </c>
      <c r="G83" s="64" t="s">
        <v>645</v>
      </c>
      <c r="H83" s="64"/>
      <c r="I83" s="64"/>
      <c r="J83" s="64"/>
      <c r="K83" s="64"/>
      <c r="L83" s="64"/>
      <c r="M83" s="64"/>
      <c r="N83" s="64"/>
      <c r="O83" s="64"/>
      <c r="P83" s="64"/>
      <c r="Q83" s="64"/>
      <c r="R83" s="64"/>
      <c r="S83" s="64"/>
      <c r="T83" s="64"/>
      <c r="U83" s="64"/>
      <c r="V83" s="64"/>
    </row>
    <row r="84" spans="1:22" x14ac:dyDescent="0.25">
      <c r="A84" s="64" t="s">
        <v>164</v>
      </c>
      <c r="B84" s="64" t="s">
        <v>646</v>
      </c>
      <c r="C84" s="64" t="s">
        <v>647</v>
      </c>
      <c r="D84" s="510">
        <v>9092</v>
      </c>
      <c r="E84" s="510">
        <v>45874</v>
      </c>
      <c r="F84" s="510">
        <v>10922</v>
      </c>
      <c r="G84" s="64" t="s">
        <v>648</v>
      </c>
      <c r="H84" s="64"/>
      <c r="I84" s="64"/>
      <c r="J84" s="64"/>
      <c r="K84" s="64"/>
      <c r="L84" s="64"/>
      <c r="M84" s="64"/>
      <c r="N84" s="64"/>
      <c r="O84" s="64"/>
      <c r="P84" s="64"/>
      <c r="Q84" s="64"/>
      <c r="R84" s="64"/>
      <c r="S84" s="64"/>
      <c r="T84" s="64"/>
      <c r="U84" s="64"/>
      <c r="V84" s="64"/>
    </row>
    <row r="85" spans="1:22" x14ac:dyDescent="0.25">
      <c r="A85" s="64" t="s">
        <v>166</v>
      </c>
      <c r="B85" s="64" t="s">
        <v>646</v>
      </c>
      <c r="C85" s="64" t="s">
        <v>647</v>
      </c>
      <c r="D85" s="510">
        <v>5838</v>
      </c>
      <c r="E85" s="510"/>
      <c r="F85" s="510"/>
      <c r="G85" s="64" t="s">
        <v>648</v>
      </c>
      <c r="H85" s="64"/>
      <c r="I85" s="64"/>
      <c r="J85" s="64"/>
      <c r="K85" s="64"/>
      <c r="L85" s="64"/>
      <c r="M85" s="64"/>
      <c r="N85" s="64"/>
      <c r="O85" s="64"/>
      <c r="P85" s="64"/>
      <c r="Q85" s="64"/>
      <c r="R85" s="64"/>
      <c r="S85" s="64"/>
      <c r="T85" s="64"/>
      <c r="U85" s="64"/>
      <c r="V85" s="64"/>
    </row>
    <row r="86" spans="1:22" x14ac:dyDescent="0.25">
      <c r="A86" s="9" t="s">
        <v>179</v>
      </c>
      <c r="B86" s="9" t="s">
        <v>649</v>
      </c>
      <c r="C86" s="9" t="s">
        <v>650</v>
      </c>
      <c r="D86" s="490">
        <v>61013</v>
      </c>
      <c r="E86" s="490">
        <v>239385</v>
      </c>
      <c r="F86" s="490">
        <v>71036</v>
      </c>
      <c r="G86" s="9" t="s">
        <v>651</v>
      </c>
    </row>
    <row r="87" spans="1:22" ht="18.75" x14ac:dyDescent="0.3">
      <c r="A87" s="595" t="s">
        <v>111</v>
      </c>
    </row>
    <row r="88" spans="1:22" x14ac:dyDescent="0.25">
      <c r="A88" s="9" t="s">
        <v>173</v>
      </c>
      <c r="B88" s="9" t="s">
        <v>111</v>
      </c>
      <c r="C88" s="9" t="s">
        <v>652</v>
      </c>
      <c r="D88" s="490">
        <v>839</v>
      </c>
      <c r="E88" s="490">
        <v>14278</v>
      </c>
      <c r="F88" s="490">
        <v>1683</v>
      </c>
      <c r="G88" s="9" t="s">
        <v>97</v>
      </c>
    </row>
    <row r="89" spans="1:22" x14ac:dyDescent="0.25">
      <c r="A89" s="9" t="s">
        <v>175</v>
      </c>
      <c r="B89" s="9" t="s">
        <v>111</v>
      </c>
      <c r="C89" s="9" t="s">
        <v>652</v>
      </c>
      <c r="D89" s="490">
        <v>417</v>
      </c>
      <c r="E89" s="490">
        <v>23734</v>
      </c>
      <c r="F89" s="490">
        <v>2071</v>
      </c>
      <c r="G89" s="9" t="s">
        <v>97</v>
      </c>
    </row>
    <row r="90" spans="1:22" x14ac:dyDescent="0.25">
      <c r="A90" s="9" t="s">
        <v>168</v>
      </c>
      <c r="B90" s="9" t="s">
        <v>653</v>
      </c>
      <c r="C90" s="9" t="s">
        <v>654</v>
      </c>
      <c r="D90" s="490">
        <v>67</v>
      </c>
      <c r="E90" s="490">
        <v>735</v>
      </c>
      <c r="F90" s="490">
        <v>98</v>
      </c>
      <c r="G90" s="9" t="s">
        <v>655</v>
      </c>
    </row>
    <row r="91" spans="1:22" ht="18.75" x14ac:dyDescent="0.3">
      <c r="A91" s="595" t="s">
        <v>370</v>
      </c>
    </row>
    <row r="92" spans="1:22" x14ac:dyDescent="0.25">
      <c r="A92" s="9" t="s">
        <v>173</v>
      </c>
      <c r="B92" s="9" t="s">
        <v>370</v>
      </c>
      <c r="C92" s="9" t="s">
        <v>656</v>
      </c>
      <c r="D92" s="490">
        <v>548</v>
      </c>
      <c r="E92" s="490">
        <v>6724</v>
      </c>
      <c r="F92" s="490">
        <v>936</v>
      </c>
      <c r="G92" s="9" t="s">
        <v>371</v>
      </c>
    </row>
    <row r="93" spans="1:22" x14ac:dyDescent="0.25">
      <c r="A93" s="9" t="s">
        <v>175</v>
      </c>
      <c r="B93" s="9" t="s">
        <v>370</v>
      </c>
      <c r="C93" s="9" t="s">
        <v>656</v>
      </c>
      <c r="D93" s="490">
        <v>431</v>
      </c>
      <c r="E93" s="490">
        <v>26419</v>
      </c>
      <c r="F93" s="490">
        <v>2274</v>
      </c>
      <c r="G93" s="9" t="s">
        <v>371</v>
      </c>
    </row>
    <row r="94" spans="1:22" x14ac:dyDescent="0.25">
      <c r="A94" s="9" t="s">
        <v>556</v>
      </c>
      <c r="B94" s="9" t="s">
        <v>657</v>
      </c>
      <c r="C94" s="9" t="s">
        <v>658</v>
      </c>
      <c r="D94" s="490">
        <v>63964</v>
      </c>
      <c r="E94" s="490">
        <v>7981466</v>
      </c>
      <c r="F94" s="490">
        <v>497094</v>
      </c>
      <c r="G94" s="9" t="s">
        <v>659</v>
      </c>
    </row>
    <row r="95" spans="1:22" ht="18.75" x14ac:dyDescent="0.3">
      <c r="A95" s="595" t="s">
        <v>324</v>
      </c>
    </row>
    <row r="96" spans="1:22" x14ac:dyDescent="0.25">
      <c r="A96" s="9" t="s">
        <v>173</v>
      </c>
      <c r="B96" s="9" t="s">
        <v>324</v>
      </c>
      <c r="C96" s="9" t="s">
        <v>660</v>
      </c>
      <c r="D96" s="490">
        <v>2</v>
      </c>
      <c r="E96" s="490">
        <v>0</v>
      </c>
      <c r="F96" s="490">
        <v>2</v>
      </c>
      <c r="G96" s="9" t="s">
        <v>661</v>
      </c>
    </row>
    <row r="97" spans="1:7" x14ac:dyDescent="0.25">
      <c r="A97" s="9" t="s">
        <v>175</v>
      </c>
      <c r="B97" s="9" t="s">
        <v>324</v>
      </c>
      <c r="C97" s="9" t="s">
        <v>660</v>
      </c>
      <c r="D97" s="490">
        <v>7</v>
      </c>
      <c r="E97" s="490">
        <v>0</v>
      </c>
      <c r="F97" s="490">
        <v>6</v>
      </c>
      <c r="G97" s="9" t="s">
        <v>661</v>
      </c>
    </row>
    <row r="98" spans="1:7" x14ac:dyDescent="0.25">
      <c r="A98" s="9" t="s">
        <v>602</v>
      </c>
      <c r="B98" s="9" t="s">
        <v>662</v>
      </c>
      <c r="C98" s="9" t="s">
        <v>660</v>
      </c>
      <c r="D98" s="490">
        <v>53</v>
      </c>
      <c r="E98" s="490">
        <v>21</v>
      </c>
      <c r="F98" s="490">
        <v>51</v>
      </c>
    </row>
    <row r="99" spans="1:7" x14ac:dyDescent="0.25">
      <c r="A99" s="9" t="s">
        <v>602</v>
      </c>
      <c r="B99" s="9" t="s">
        <v>662</v>
      </c>
      <c r="C99" s="9" t="s">
        <v>663</v>
      </c>
      <c r="D99" s="490">
        <v>20</v>
      </c>
      <c r="E99" s="490">
        <v>5</v>
      </c>
      <c r="F99" s="490">
        <v>19</v>
      </c>
    </row>
    <row r="100" spans="1:7" x14ac:dyDescent="0.25"/>
    <row r="101" spans="1:7" x14ac:dyDescent="0.25"/>
    <row r="102" spans="1:7" x14ac:dyDescent="0.25"/>
    <row r="103" spans="1:7" x14ac:dyDescent="0.25"/>
    <row r="104" spans="1:7" x14ac:dyDescent="0.25"/>
    <row r="105" spans="1:7" x14ac:dyDescent="0.25"/>
    <row r="106" spans="1:7" hidden="1" x14ac:dyDescent="0.25"/>
    <row r="107" spans="1:7" hidden="1" x14ac:dyDescent="0.25"/>
    <row r="108" spans="1:7" hidden="1" x14ac:dyDescent="0.25"/>
    <row r="109" spans="1:7" hidden="1" x14ac:dyDescent="0.25"/>
    <row r="110" spans="1:7" hidden="1" x14ac:dyDescent="0.25"/>
    <row r="111" spans="1:7" hidden="1" x14ac:dyDescent="0.25"/>
    <row r="112" spans="1:7"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sheetData>
  <sortState ref="A24:F26">
    <sortCondition ref="A24:A26"/>
  </sortState>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H138"/>
  <sheetViews>
    <sheetView zoomScale="70" zoomScaleNormal="70" workbookViewId="0">
      <pane xSplit="5" ySplit="4" topLeftCell="R5" activePane="bottomRight" state="frozen"/>
      <selection pane="topRight"/>
      <selection pane="bottomLeft"/>
      <selection pane="bottomRight"/>
    </sheetView>
  </sheetViews>
  <sheetFormatPr defaultColWidth="0" defaultRowHeight="15" zeroHeight="1" x14ac:dyDescent="0.25"/>
  <cols>
    <col min="1" max="1" width="48.140625" style="9" bestFit="1" customWidth="1"/>
    <col min="2" max="3" width="18.28515625" style="9" customWidth="1"/>
    <col min="4" max="4" width="18.28515625" style="37" customWidth="1"/>
    <col min="5" max="5" width="13.28515625" style="37" customWidth="1"/>
    <col min="6" max="10" width="13.28515625" style="51" customWidth="1"/>
    <col min="11" max="15" width="15.28515625" style="64" customWidth="1"/>
    <col min="16" max="16" width="18.5703125" style="64" bestFit="1" customWidth="1"/>
    <col min="17" max="17" width="19" style="619" customWidth="1"/>
    <col min="18" max="18" width="21.140625" style="259" customWidth="1"/>
    <col min="19" max="23" width="13" style="51" customWidth="1"/>
    <col min="24" max="28" width="20.42578125" style="51" customWidth="1"/>
    <col min="29" max="29" width="13" style="9" customWidth="1"/>
    <col min="30" max="30" width="19" style="9" customWidth="1"/>
    <col min="31" max="31" width="20" style="265" customWidth="1"/>
    <col min="32" max="32" width="9.140625" style="9" customWidth="1"/>
    <col min="33" max="34" width="0" style="9" hidden="1" customWidth="1"/>
    <col min="35" max="16384" width="9.140625" style="9" hidden="1"/>
  </cols>
  <sheetData>
    <row r="1" spans="1:31" ht="28.5" x14ac:dyDescent="0.45">
      <c r="A1" s="102" t="s">
        <v>678</v>
      </c>
      <c r="B1" s="102"/>
      <c r="C1" s="102"/>
      <c r="D1" s="102"/>
      <c r="E1" s="102"/>
      <c r="F1" s="102"/>
      <c r="G1" s="102"/>
      <c r="H1" s="102"/>
      <c r="I1" s="102"/>
      <c r="J1" s="102"/>
      <c r="K1" s="604"/>
      <c r="L1" s="604"/>
      <c r="M1" s="604"/>
      <c r="N1" s="604"/>
      <c r="O1" s="604"/>
      <c r="P1" s="604"/>
      <c r="Q1" s="607"/>
      <c r="R1" s="624"/>
      <c r="S1" s="604"/>
      <c r="T1" s="102"/>
      <c r="U1" s="102"/>
      <c r="V1" s="102"/>
      <c r="W1" s="102"/>
      <c r="X1" s="102"/>
      <c r="Y1" s="102"/>
      <c r="Z1" s="102"/>
      <c r="AA1" s="102"/>
      <c r="AB1" s="102"/>
      <c r="AC1" s="102"/>
      <c r="AD1" s="102"/>
      <c r="AE1" s="635"/>
    </row>
    <row r="2" spans="1:31" ht="19.5" x14ac:dyDescent="0.3">
      <c r="A2" s="420"/>
      <c r="B2" s="420"/>
      <c r="C2" s="420"/>
      <c r="D2" s="56"/>
      <c r="E2" s="56"/>
      <c r="F2" s="166" t="s">
        <v>223</v>
      </c>
      <c r="G2" s="166"/>
      <c r="H2" s="166"/>
      <c r="I2" s="166"/>
      <c r="J2" s="605"/>
      <c r="K2" s="605"/>
      <c r="L2" s="605"/>
      <c r="M2" s="605"/>
      <c r="N2" s="605"/>
      <c r="O2" s="605"/>
      <c r="P2" s="605"/>
      <c r="Q2" s="608"/>
      <c r="R2" s="625"/>
      <c r="S2" s="580" t="s">
        <v>224</v>
      </c>
      <c r="T2" s="57"/>
      <c r="U2" s="57"/>
      <c r="V2" s="57"/>
      <c r="W2" s="57"/>
      <c r="X2" s="57"/>
      <c r="Y2" s="57"/>
      <c r="Z2" s="57"/>
      <c r="AA2" s="57"/>
      <c r="AB2" s="57"/>
      <c r="AC2" s="58"/>
      <c r="AD2" s="58"/>
      <c r="AE2" s="636"/>
    </row>
    <row r="3" spans="1:31" ht="15.75" thickBot="1" x14ac:dyDescent="0.3">
      <c r="A3" s="60"/>
      <c r="B3" s="60"/>
      <c r="C3" s="60"/>
      <c r="D3" s="513" t="s">
        <v>472</v>
      </c>
      <c r="E3" s="513"/>
      <c r="F3" s="513" t="s">
        <v>998</v>
      </c>
      <c r="G3" s="513"/>
      <c r="H3" s="513" t="s">
        <v>995</v>
      </c>
      <c r="I3" s="513"/>
      <c r="J3" s="513"/>
      <c r="K3" s="513" t="s">
        <v>329</v>
      </c>
      <c r="L3" s="513"/>
      <c r="M3" s="513"/>
      <c r="N3" s="513"/>
      <c r="O3" s="513"/>
      <c r="P3" s="513"/>
      <c r="Q3" s="609"/>
      <c r="R3" s="626"/>
      <c r="S3" s="513" t="s">
        <v>998</v>
      </c>
      <c r="T3" s="513"/>
      <c r="U3" s="513" t="s">
        <v>995</v>
      </c>
      <c r="V3" s="513"/>
      <c r="W3" s="513"/>
      <c r="X3" s="513" t="s">
        <v>329</v>
      </c>
      <c r="Y3" s="513"/>
      <c r="Z3" s="513"/>
      <c r="AA3" s="513"/>
      <c r="AB3" s="513"/>
      <c r="AC3" s="513"/>
      <c r="AD3" s="513"/>
      <c r="AE3" s="626"/>
    </row>
    <row r="4" spans="1:31" ht="45" x14ac:dyDescent="0.25">
      <c r="A4" s="63" t="s">
        <v>172</v>
      </c>
      <c r="B4" s="66" t="s">
        <v>475</v>
      </c>
      <c r="C4" s="66" t="s">
        <v>476</v>
      </c>
      <c r="D4" s="429" t="s">
        <v>368</v>
      </c>
      <c r="E4" s="519" t="s">
        <v>473</v>
      </c>
      <c r="F4" s="263" t="s">
        <v>259</v>
      </c>
      <c r="G4" s="263" t="s">
        <v>261</v>
      </c>
      <c r="H4" s="520" t="s">
        <v>313</v>
      </c>
      <c r="I4" s="520" t="s">
        <v>312</v>
      </c>
      <c r="J4" s="520" t="s">
        <v>311</v>
      </c>
      <c r="K4" s="596" t="s">
        <v>454</v>
      </c>
      <c r="L4" s="808" t="s">
        <v>989</v>
      </c>
      <c r="M4" s="808" t="s">
        <v>990</v>
      </c>
      <c r="N4" s="808" t="s">
        <v>991</v>
      </c>
      <c r="O4" s="808" t="s">
        <v>992</v>
      </c>
      <c r="P4" s="596" t="s">
        <v>333</v>
      </c>
      <c r="Q4" s="610" t="s">
        <v>368</v>
      </c>
      <c r="R4" s="540" t="s">
        <v>462</v>
      </c>
      <c r="S4" s="263" t="s">
        <v>259</v>
      </c>
      <c r="T4" s="263" t="s">
        <v>261</v>
      </c>
      <c r="U4" s="520" t="s">
        <v>313</v>
      </c>
      <c r="V4" s="520" t="s">
        <v>312</v>
      </c>
      <c r="W4" s="520" t="s">
        <v>311</v>
      </c>
      <c r="X4" s="352" t="s">
        <v>454</v>
      </c>
      <c r="Y4" s="808" t="s">
        <v>989</v>
      </c>
      <c r="Z4" s="808" t="s">
        <v>990</v>
      </c>
      <c r="AA4" s="808" t="s">
        <v>991</v>
      </c>
      <c r="AB4" s="808" t="s">
        <v>992</v>
      </c>
      <c r="AC4" s="352" t="s">
        <v>333</v>
      </c>
      <c r="AD4" s="246" t="s">
        <v>368</v>
      </c>
      <c r="AE4" s="540" t="s">
        <v>462</v>
      </c>
    </row>
    <row r="5" spans="1:31" x14ac:dyDescent="0.25">
      <c r="A5" s="9" t="s">
        <v>25</v>
      </c>
      <c r="B5" s="9" t="s">
        <v>266</v>
      </c>
      <c r="C5" s="9" t="str">
        <f>B5</f>
        <v>Discolour</v>
      </c>
      <c r="D5" s="514" t="s">
        <v>369</v>
      </c>
      <c r="E5" s="431">
        <f ca="1">INDEX(INDIRECT("ExtWTP19_"&amp;$C5&amp;"_UnitValues"),MATCH(A$4, INDIRECT("ExtWTP19_Comps_"&amp;C5),0),MATCH("HH",ExtWTP_Group,0))</f>
        <v>314</v>
      </c>
      <c r="F5" s="828">
        <f t="shared" ref="F5:G7" ca="1" si="0">INDEX(INDIRECT("SSW_WTPCore2_"&amp;$B5&amp;"_Levels"),1,MATCH(F$4,WTPCore2_AttLevels,0))</f>
        <v>6.6666666666666666E-2</v>
      </c>
      <c r="G5" s="828">
        <f t="shared" ca="1" si="0"/>
        <v>0.04</v>
      </c>
      <c r="H5" s="436">
        <f ca="1">INDEX(INDIRECT("SSW_WTPCore2_"&amp;$B5&amp;"_LevelValues"),1,MATCH("S1 MEAN",WTPCore2_LevelValues,0))</f>
        <v>3.3679929677046498</v>
      </c>
      <c r="I5" s="436">
        <f ca="1">INDEX(INDIRECT("SSW_WTPCore2_"&amp;$B5&amp;"_LevelValues"),1,MATCH("S2 MEAN",WTPCore2_LevelValues,0))</f>
        <v>0.60669022375558512</v>
      </c>
      <c r="J5" s="436">
        <f ca="1">SUM(H5:I5)</f>
        <v>3.974683191460235</v>
      </c>
      <c r="K5" s="440">
        <f ca="1">E5*(F5-G5)</f>
        <v>8.3733333333333331</v>
      </c>
      <c r="L5" s="117">
        <f ca="1">INDEX(INDIRECT("SSW_WTPCore_DCE_"&amp;$B5&amp;"_UnitValues"),MATCH("COMBINED-HH",WTPCore_Group,0),MATCH("MEAN",LMH,0))</f>
        <v>27.809917858229387</v>
      </c>
      <c r="M5" s="117">
        <f ca="1">L5*($F5-$G5)*(AllProps_SSW/HHProps_SSW)</f>
        <v>0.79130635838150276</v>
      </c>
      <c r="N5" s="117">
        <f ca="1">INDEX(INDIRECT("SSW_WTPCore2_"&amp;$B5&amp;"_UnitValues"),1,MATCH("MEAN",LMH,0))</f>
        <v>139.68750774741403</v>
      </c>
      <c r="O5" s="117">
        <f ca="1">N5*($F5-$G5)*(AllProps_SSW/HHProps_SSW)</f>
        <v>3.974683191460235</v>
      </c>
      <c r="P5" s="437">
        <f ca="1">K5*N$10/K$9</f>
        <v>2.027307939357152</v>
      </c>
      <c r="Q5" s="611" t="s">
        <v>369</v>
      </c>
      <c r="R5" s="627">
        <f ca="1">P5*HHProps_SSW/((F5-G5)*AllProps_SSW)</f>
        <v>71.248343539376989</v>
      </c>
      <c r="S5" s="828">
        <f t="shared" ref="S5:T7" ca="1" si="1">INDEX(INDIRECT("CAM_WTPCore2_"&amp;$B5&amp;"_Levels"),1,MATCH(S$4,WTPCore2_AttLevels,0))</f>
        <v>2.2222222222222223E-2</v>
      </c>
      <c r="T5" s="828">
        <f t="shared" ca="1" si="1"/>
        <v>1.5384615384615385E-2</v>
      </c>
      <c r="U5" s="436">
        <f ca="1">INDEX(INDIRECT("CAM_WTPCore2_"&amp;$B5&amp;"_LevelValues"),1,MATCH("S1 MEAN",WTPCore2_LevelValues,0))</f>
        <v>3.1155463151224057</v>
      </c>
      <c r="V5" s="436">
        <f ca="1">INDEX(INDIRECT("CAM_WTPCore2_"&amp;$B5&amp;"_LevelValues"),1,MATCH("S2 MEAN",WTPCore2_LevelValues,0))</f>
        <v>1.3419840000849801</v>
      </c>
      <c r="W5" s="767">
        <f ca="1">SUM(U5:V5)</f>
        <v>4.4575303152073857</v>
      </c>
      <c r="X5" s="286">
        <f ca="1">E5*(S5-T5)</f>
        <v>2.1470085470085469</v>
      </c>
      <c r="Y5" s="117">
        <f ca="1">INDEX(INDIRECT("CAM_WTPCore_"&amp;$B5&amp;"_UnitValues"),MATCH("COMBINED-HH",WTPCore_Group,0),MATCH("MEAN",LMH,0))</f>
        <v>305.14240121580548</v>
      </c>
      <c r="Z5" s="117">
        <f ca="1">Y5*($S5-$T5)*(AllProps_CAM/HHProps_CAM)</f>
        <v>2.2457142857142856</v>
      </c>
      <c r="AA5" s="117">
        <f ca="1">INDEX(INDIRECT("CAM_WTPCore2_"&amp;$B5&amp;"_UnitValues"),1,MATCH("MEAN",LMH,0))</f>
        <v>605.67878671262065</v>
      </c>
      <c r="AB5" s="117">
        <f ca="1">AA5*($S5-$T5)*(AllProps_CAM/HHProps_CAM)</f>
        <v>4.4575303152073857</v>
      </c>
      <c r="AC5" s="767">
        <f ca="1">X5*AA$10/X$9</f>
        <v>1.3190457184934299</v>
      </c>
      <c r="AD5" s="341" t="str">
        <f>Q5</f>
        <v>Property affected</v>
      </c>
      <c r="AE5" s="534">
        <f ca="1">(AC5*HHProps_CAM)/((S5-T5)*AllProps_CAM)</f>
        <v>179.22884510060993</v>
      </c>
    </row>
    <row r="6" spans="1:31" x14ac:dyDescent="0.25">
      <c r="A6" s="9" t="s">
        <v>182</v>
      </c>
      <c r="B6" s="9" t="s">
        <v>269</v>
      </c>
      <c r="C6" s="9" t="s">
        <v>326</v>
      </c>
      <c r="D6" s="514" t="s">
        <v>369</v>
      </c>
      <c r="E6" s="431">
        <f ca="1">INDEX(INDIRECT("ExtWTP19_"&amp;$C6&amp;"_UnitValues"),MATCH(A$4, INDIRECT("ExtWTP19_Comps_"&amp;C6),0),MATCH("HH",ExtWTP_Group,0))</f>
        <v>943</v>
      </c>
      <c r="F6" s="828">
        <f t="shared" ca="1" si="0"/>
        <v>1.4285714285714285E-2</v>
      </c>
      <c r="G6" s="828">
        <f t="shared" ca="1" si="0"/>
        <v>9.5238095238095247E-3</v>
      </c>
      <c r="H6" s="436">
        <f ca="1">INDEX(INDIRECT("SSW_WTPCore2_"&amp;$B6&amp;"_LevelValues"),1,MATCH("S1 MEAN",WTPCore2_LevelValues,0))</f>
        <v>0.39718669024665654</v>
      </c>
      <c r="I6" s="436">
        <f ca="1">INDEX(INDIRECT("SSW_WTPCore2_"&amp;$B6&amp;"_LevelValues"),1,MATCH("S2 MEAN",WTPCore2_LevelValues,0))</f>
        <v>0.53859352958370721</v>
      </c>
      <c r="J6" s="436">
        <f ca="1">SUM(H6:I6)</f>
        <v>0.93578021983036375</v>
      </c>
      <c r="K6" s="440">
        <f ca="1">E6*(F6-G6)</f>
        <v>4.4904761904761896</v>
      </c>
      <c r="L6" s="117">
        <f ca="1">INDEX(INDIRECT("SSW_WTPCore_DCE_"&amp;$B6&amp;"_UnitValues"),MATCH("COMBINED-HH",WTPCore_Group,0),MATCH("MEAN",LMH,0))</f>
        <v>160.37052631578945</v>
      </c>
      <c r="M6" s="117">
        <f ca="1">L6*($F6-$G6)*(AllProps_SSW/HHProps_SSW)</f>
        <v>0.8148571428571425</v>
      </c>
      <c r="N6" s="117">
        <f ca="1">INDEX(INDIRECT("SSW_WTPCore2_"&amp;$B6&amp;"_UnitValues"),1,MATCH("MEAN",LMH,0))</f>
        <v>184.16917331534088</v>
      </c>
      <c r="O6" s="117">
        <f ca="1">N6*($F6-$G6)*(AllProps_SSW/HHProps_SSW)</f>
        <v>0.93578021983036364</v>
      </c>
      <c r="P6" s="437">
        <f t="shared" ref="P6:P8" ca="1" si="2">K6*N$10/K$9</f>
        <v>1.08721075228264</v>
      </c>
      <c r="Q6" s="611" t="s">
        <v>369</v>
      </c>
      <c r="R6" s="627">
        <f ca="1">P6*HHProps_SSW/((F6-G6)*AllProps_SSW)</f>
        <v>213.97193617080418</v>
      </c>
      <c r="S6" s="828">
        <f t="shared" ca="1" si="1"/>
        <v>2.5000000000000001E-2</v>
      </c>
      <c r="T6" s="828">
        <f t="shared" ca="1" si="1"/>
        <v>1.6666666666666666E-2</v>
      </c>
      <c r="U6" s="436">
        <f ca="1">INDEX(INDIRECT("CAM_WTPCore2_"&amp;$B6&amp;"_LevelValues"),1,MATCH("S1 MEAN",WTPCore2_LevelValues,0))</f>
        <v>5.3490671066612649E-2</v>
      </c>
      <c r="V6" s="436">
        <f ca="1">INDEX(INDIRECT("CAM_WTPCore2_"&amp;$B6&amp;"_LevelValues"),1,MATCH("S2 MEAN",WTPCore2_LevelValues,0))</f>
        <v>0.33457681646237136</v>
      </c>
      <c r="W6" s="216">
        <f ca="1">SUM(U6:V6)</f>
        <v>0.38806748752898401</v>
      </c>
      <c r="X6" s="286">
        <f ca="1">E6*(S6-T6)</f>
        <v>7.8583333333333352</v>
      </c>
      <c r="Y6" s="117">
        <f ca="1">INDEX(INDIRECT("CAM_WTPCore_"&amp;$B6&amp;"_UnitValues"),MATCH("COMBINED-HH",WTPCore_Group,0),MATCH("MEAN",LMH,0))</f>
        <v>27.921526908635794</v>
      </c>
      <c r="Z6" s="117">
        <f ca="1">Y6*($S6-$T6)*(AllProps_CAM/HHProps_CAM)</f>
        <v>0.25044117647058822</v>
      </c>
      <c r="AA6" s="117">
        <f ca="1">INDEX(INDIRECT("CAM_WTPCore2_"&amp;$B6&amp;"_UnitValues"),1,MATCH("MEAN",LMH,0))</f>
        <v>43.265396481954809</v>
      </c>
      <c r="AB6" s="117">
        <f ca="1">AA6*($S6-$T6)*(AllProps_CAM/HHProps_CAM)</f>
        <v>0.38806748752898401</v>
      </c>
      <c r="AC6" s="767">
        <f t="shared" ref="AC6:AC8" ca="1" si="3">X6*AA$10/X$9</f>
        <v>4.8278806119658517</v>
      </c>
      <c r="AD6" s="341" t="str">
        <f>Q6</f>
        <v>Property affected</v>
      </c>
      <c r="AE6" s="627">
        <f ca="1">AC6*HHProps_CAM/((S6-T6)*AllProps_CAM)</f>
        <v>538.25732780215014</v>
      </c>
    </row>
    <row r="7" spans="1:31" x14ac:dyDescent="0.25">
      <c r="A7" s="9" t="s">
        <v>3</v>
      </c>
      <c r="B7" s="9" t="s">
        <v>3</v>
      </c>
      <c r="C7" s="9" t="str">
        <f>B7</f>
        <v>Leakage</v>
      </c>
      <c r="D7" s="514" t="s">
        <v>666</v>
      </c>
      <c r="E7" s="431">
        <f ca="1">INDEX(INDIRECT("ExtWTP19_"&amp;$C7&amp;"_UnitValues"),MATCH(A$4, INDIRECT("ExtWTP19_Comps_"&amp;C7),0),MATCH("HH",ExtWTP_Group,0))</f>
        <v>133624</v>
      </c>
      <c r="F7" s="438">
        <f t="shared" ca="1" si="0"/>
        <v>70.5</v>
      </c>
      <c r="G7" s="438">
        <f t="shared" ca="1" si="0"/>
        <v>35.25</v>
      </c>
      <c r="H7" s="436">
        <f ca="1">INDEX(INDIRECT("SSW_WTPCore2_"&amp;$B7&amp;"_LevelValues"),1,MATCH("S1 MEAN",WTPCore2_LevelValues,0))</f>
        <v>1.2301339708448666</v>
      </c>
      <c r="I7" s="436">
        <f ca="1">INDEX(INDIRECT("SSW_WTPCore2_"&amp;$B7&amp;"_LevelValues"),1,MATCH("S2 MEAN",WTPCore2_LevelValues,0))</f>
        <v>0.44133293088857806</v>
      </c>
      <c r="J7" s="436">
        <f ca="1">SUM(H7:I7)</f>
        <v>1.6714669017334447</v>
      </c>
      <c r="K7" s="440">
        <f ca="1">E7*(F7-G7)/AllProps_SSW</f>
        <v>7.9970220713073008</v>
      </c>
      <c r="L7" s="117">
        <f ca="1">INDEX(INDIRECT("SSW_WTPCore_DCE_"&amp;$B7&amp;"_UnitValues"),MATCH("COMBINED-HH",WTPCore_Group,0),MATCH("MEAN",LMH,0))</f>
        <v>31319.148936170212</v>
      </c>
      <c r="M7" s="117">
        <f ca="1">L7*(F7-G7)/HHProps_SSW</f>
        <v>2</v>
      </c>
      <c r="N7" s="117">
        <f ca="1">INDEX(INDIRECT("SSW_WTPCore2_"&amp;$B7&amp;"_UnitValues"),1,MATCH("MEAN",LMH,0))</f>
        <v>26174.460418634368</v>
      </c>
      <c r="O7" s="117">
        <f ca="1">N7*(F7-G7)/HHProps_SSW</f>
        <v>1.6714669017334447</v>
      </c>
      <c r="P7" s="437">
        <f t="shared" ca="1" si="2"/>
        <v>1.9361974127837185</v>
      </c>
      <c r="Q7" s="611" t="s">
        <v>666</v>
      </c>
      <c r="R7" s="627">
        <f ca="1">P7*HHProps_SSW/((F7-G7))</f>
        <v>30320.027570400362</v>
      </c>
      <c r="S7" s="438">
        <f t="shared" ca="1" si="1"/>
        <v>13.5</v>
      </c>
      <c r="T7" s="438">
        <f t="shared" ca="1" si="1"/>
        <v>6.75</v>
      </c>
      <c r="U7" s="436">
        <f ca="1">INDEX(INDIRECT("CAM_WTPCore2_"&amp;$B7&amp;"_LevelValues"),1,MATCH("S1 MEAN",WTPCore2_LevelValues,0))</f>
        <v>3.1349723048319831</v>
      </c>
      <c r="V7" s="436">
        <f ca="1">INDEX(INDIRECT("CAM_WTPCore2_"&amp;$B7&amp;"_LevelValues"),1,MATCH("S2 MEAN",WTPCore2_LevelValues,0))</f>
        <v>5.1405797633106154E-3</v>
      </c>
      <c r="W7" s="216">
        <f ca="1">SUM(U7:V7)</f>
        <v>3.1401128845952937</v>
      </c>
      <c r="X7" s="286">
        <f ca="1">E7*(S7-T7)/AllProps_CAM</f>
        <v>6.3968936170212762</v>
      </c>
      <c r="Y7" s="117">
        <f ca="1">INDEX(INDIRECT("CAM_WTPCore_"&amp;$B7&amp;"_UnitValues"),MATCH("COMBINED-HH",WTPCore_Group,0),MATCH("MEAN",LMH,0))</f>
        <v>140121.48148148149</v>
      </c>
      <c r="Z7" s="117">
        <f ca="1">Y7*(S7-T7)/HHProps_CAM</f>
        <v>7.22</v>
      </c>
      <c r="AA7" s="117">
        <f ca="1">INDEX(INDIRECT("CAM_WTPCore2_"&amp;$B7&amp;"_UnitValues"),1,MATCH("MEAN",LMH,0))</f>
        <v>60941.450056590147</v>
      </c>
      <c r="AB7" s="117">
        <f ca="1">AA7*(S7-T7)/HHProps_CAM</f>
        <v>3.1401128845952937</v>
      </c>
      <c r="AC7" s="767">
        <f t="shared" ca="1" si="3"/>
        <v>3.9300240089618397</v>
      </c>
      <c r="AD7" s="517" t="s">
        <v>666</v>
      </c>
      <c r="AE7" s="627">
        <f ca="1">AC7*HHProps_CAM/((S7-T7))</f>
        <v>76271.577062814962</v>
      </c>
    </row>
    <row r="8" spans="1:31" x14ac:dyDescent="0.25">
      <c r="A8" s="9" t="s">
        <v>615</v>
      </c>
      <c r="B8" s="9" t="s">
        <v>323</v>
      </c>
      <c r="C8" s="9" t="str">
        <f>B8</f>
        <v>Drought</v>
      </c>
      <c r="D8" s="514" t="s">
        <v>369</v>
      </c>
      <c r="E8" s="431">
        <f ca="1">INDEX(INDIRECT("ExtWTP19_"&amp;$C8&amp;"_UnitValues"),MATCH(A$4, INDIRECT("ExtWTP19_Comps_"&amp;C8),0),MATCH("HH",ExtWTP_Group,0))</f>
        <v>112</v>
      </c>
      <c r="F8" s="828">
        <f t="shared" ref="F8" ca="1" si="4">INDEX(INDIRECT("SSW_WTPCore_DCE_"&amp;$B8&amp;"_Levels"),MATCH("COMBINED-HH",WTPCore_Group,0),MATCH(F$4,WTPCore_AttLevels,0))</f>
        <v>1.2500000000000001E-2</v>
      </c>
      <c r="G8" s="828">
        <v>8.3000000000000001E-3</v>
      </c>
      <c r="H8" s="436">
        <f ca="1">INDEX(INDIRECT("SSW_WTPCore_DCE_"&amp;$B8&amp;"_LevelValues"),MATCH("COMBINED-HH",WTPCore_Group,0),MATCH("S1 MEAN",WTPCore_LevelValues,0))</f>
        <v>7.0000000000000007E-2</v>
      </c>
      <c r="I8" s="436">
        <f ca="1">INDEX(INDIRECT("SSW_WTPCore_DCE_"&amp;$B8&amp;"_LevelValues"),MATCH("COMBINED-HH",WTPCore_Group,0),MATCH("S2 MEAN",WTPCore_LevelValues,0))</f>
        <v>0.56999999999999995</v>
      </c>
      <c r="J8" s="20">
        <f ca="1">H8</f>
        <v>7.0000000000000007E-2</v>
      </c>
      <c r="K8" s="602">
        <f ca="1">E8*(F8-G8)</f>
        <v>0.47040000000000004</v>
      </c>
      <c r="L8" s="579">
        <f ca="1">INDEX(INDIRECT("SSW_WTPCore_DCE_"&amp;$B8&amp;"_UnitValues"),MATCH("COMBINED-HH",WTPCore_Group,0),MATCH("MEAN",LMH,0))</f>
        <v>92736</v>
      </c>
      <c r="M8" s="579">
        <f ca="1">(L8*(F8-G8)*100)/HHProps_SSW</f>
        <v>7.0560000000000012E-2</v>
      </c>
      <c r="N8" s="579">
        <f ca="1">L8</f>
        <v>92736</v>
      </c>
      <c r="O8" s="579">
        <f ca="1">(N8*(F8-G8))/HHProps_SSW*100</f>
        <v>7.0560000000000012E-2</v>
      </c>
      <c r="P8" s="437">
        <f t="shared" ca="1" si="2"/>
        <v>0.11389080270783494</v>
      </c>
      <c r="Q8" s="517" t="s">
        <v>422</v>
      </c>
      <c r="R8" s="627">
        <f ca="1">P8*HHProps_SSW/((F8-G8)*100)</f>
        <v>149685.05498744021</v>
      </c>
      <c r="S8" s="828">
        <f t="shared" ref="S8" ca="1" si="5">INDEX(INDIRECT("SSW_WTPCore_DCE_"&amp;$B8&amp;"_Levels"),MATCH("COMBINED-HH",WTPCore_Group,0),MATCH(S$4,WTPCore_AttLevels,0))</f>
        <v>1.2500000000000001E-2</v>
      </c>
      <c r="T8" s="828">
        <v>8.3000000000000001E-3</v>
      </c>
      <c r="U8" s="436">
        <f ca="1">INDEX(INDIRECT("CAM_WTPCore_"&amp;$B8&amp;"_LevelValues"),MATCH("COMBINED-HH",WTPCore_Group,0),MATCH("S1 MEAN",WTPCore_LevelValues,0))</f>
        <v>1.5029903774694477</v>
      </c>
      <c r="V8" s="436">
        <f ca="1">INDEX(INDIRECT("CAM_WTPCore_"&amp;$B8&amp;"_LevelValues"),MATCH("COMBINED-HH",WTPCore_Group,0),MATCH("S2 MEAN",WTPCore_LevelValues,0))</f>
        <v>0.31632762130063785</v>
      </c>
      <c r="W8" s="216">
        <f ca="1">U8</f>
        <v>1.5029903774694477</v>
      </c>
      <c r="X8" s="286">
        <f ca="1">E8*(S8-T8)</f>
        <v>0.47040000000000004</v>
      </c>
      <c r="Y8" s="117">
        <f ca="1">INDEX(INDIRECT("CAM_WTPCore_"&amp;$B8&amp;"_UnitValues"),MATCH("COMBINED-HH",WTPCore_Group,0),MATCH("MEAN",LMH,0))</f>
        <v>472540.17467639426</v>
      </c>
      <c r="Z8" s="117">
        <f ca="1">Y8*(S8-T8)/HHProps_CAM*100</f>
        <v>1.5150143004892032</v>
      </c>
      <c r="AA8" s="117">
        <f ca="1">Y8</f>
        <v>472540.17467639426</v>
      </c>
      <c r="AB8" s="117">
        <f ca="1">(AA8*(S8-T8)*100)/HHProps_CAM</f>
        <v>1.5150143004892032</v>
      </c>
      <c r="AC8" s="767">
        <f t="shared" ca="1" si="3"/>
        <v>0.28899703582635033</v>
      </c>
      <c r="AD8" s="517" t="s">
        <v>422</v>
      </c>
      <c r="AE8" s="627">
        <f ca="1">AC8*HHProps_CAM/((S8-T8)*100)</f>
        <v>90139.551650599737</v>
      </c>
    </row>
    <row r="9" spans="1:31" x14ac:dyDescent="0.25">
      <c r="A9" s="651"/>
      <c r="D9" s="514"/>
      <c r="E9" s="431"/>
      <c r="F9" s="436"/>
      <c r="G9" s="436"/>
      <c r="H9" s="436"/>
      <c r="I9" s="436"/>
      <c r="J9" s="445">
        <f ca="1">SUM(J5:J8)</f>
        <v>6.6519303130240441</v>
      </c>
      <c r="K9" s="603">
        <f ca="1">SUM(K5:K8)</f>
        <v>21.331231595116822</v>
      </c>
      <c r="L9" s="603"/>
      <c r="M9" s="446">
        <f ca="1">SUM(M5:M8)</f>
        <v>3.6767235012386452</v>
      </c>
      <c r="N9" s="446"/>
      <c r="O9" s="289">
        <f ca="1">SUM(O5:O8)</f>
        <v>6.6524903130240443</v>
      </c>
      <c r="P9" s="497">
        <f ca="1">SUM(P5:P8)</f>
        <v>5.1646069071313452</v>
      </c>
      <c r="Q9" s="612"/>
      <c r="R9" s="628"/>
      <c r="S9" s="767"/>
      <c r="T9" s="767"/>
      <c r="U9" s="767"/>
      <c r="V9" s="767"/>
      <c r="W9" s="52">
        <f ca="1">SUM(W5:W8)</f>
        <v>9.488701064801111</v>
      </c>
      <c r="X9" s="532">
        <f ca="1">SUM(X5:X8)</f>
        <v>16.872635497363159</v>
      </c>
      <c r="Y9" s="603"/>
      <c r="Z9" s="446">
        <f ca="1">SUM(Z5:Z8)</f>
        <v>11.231169762674078</v>
      </c>
      <c r="AA9" s="446"/>
      <c r="AB9" s="446">
        <f ca="1">SUM(AB5:AB8)</f>
        <v>9.5007249878208668</v>
      </c>
      <c r="AC9" s="52">
        <f ca="1">SUM(AC5:AC8)</f>
        <v>10.365947375247471</v>
      </c>
      <c r="AE9" s="534"/>
    </row>
    <row r="10" spans="1:31" s="60" customFormat="1" x14ac:dyDescent="0.25">
      <c r="D10" s="516"/>
      <c r="E10" s="523"/>
      <c r="F10" s="553"/>
      <c r="G10" s="553"/>
      <c r="H10" s="553"/>
      <c r="I10" s="553"/>
      <c r="J10" s="553"/>
      <c r="K10" s="830"/>
      <c r="L10" s="830"/>
      <c r="M10" s="830" t="s">
        <v>997</v>
      </c>
      <c r="N10" s="737">
        <f ca="1">AVERAGE(M9,O9)</f>
        <v>5.1646069071313452</v>
      </c>
      <c r="O10" s="830"/>
      <c r="P10" s="830"/>
      <c r="Q10" s="613"/>
      <c r="R10" s="629"/>
      <c r="S10" s="835"/>
      <c r="T10" s="835"/>
      <c r="U10" s="835"/>
      <c r="V10" s="835"/>
      <c r="W10" s="44"/>
      <c r="X10" s="208"/>
      <c r="Y10" s="830"/>
      <c r="Z10" s="830" t="s">
        <v>997</v>
      </c>
      <c r="AA10" s="737">
        <f ca="1">AVERAGE(Z9,AB9)</f>
        <v>10.365947375247472</v>
      </c>
      <c r="AB10" s="830"/>
      <c r="AC10" s="830"/>
      <c r="AD10" s="114"/>
      <c r="AE10" s="535"/>
    </row>
    <row r="11" spans="1:31" s="62" customFormat="1" x14ac:dyDescent="0.25">
      <c r="A11" s="237" t="s">
        <v>178</v>
      </c>
      <c r="B11" s="237"/>
      <c r="C11" s="237"/>
      <c r="D11" s="515"/>
      <c r="E11" s="522"/>
      <c r="F11" s="448"/>
      <c r="G11" s="448"/>
      <c r="H11" s="497"/>
      <c r="I11" s="497"/>
      <c r="J11" s="497"/>
      <c r="K11" s="54"/>
      <c r="L11" s="54"/>
      <c r="M11" s="54"/>
      <c r="N11" s="54"/>
      <c r="O11" s="54"/>
      <c r="P11" s="54"/>
      <c r="Q11" s="614"/>
      <c r="R11" s="630"/>
      <c r="S11" s="54"/>
      <c r="T11" s="54"/>
      <c r="U11" s="53"/>
      <c r="V11" s="53"/>
      <c r="W11" s="53"/>
      <c r="X11" s="531"/>
      <c r="Y11" s="54"/>
      <c r="Z11" s="54"/>
      <c r="AA11" s="54"/>
      <c r="AB11" s="54"/>
      <c r="AC11" s="54"/>
      <c r="AE11" s="536"/>
    </row>
    <row r="12" spans="1:31" x14ac:dyDescent="0.25">
      <c r="A12" s="9" t="s">
        <v>667</v>
      </c>
      <c r="B12" s="9" t="s">
        <v>269</v>
      </c>
      <c r="C12" s="9" t="s">
        <v>668</v>
      </c>
      <c r="D12" s="514" t="s">
        <v>369</v>
      </c>
      <c r="E12" s="431">
        <f ca="1">INDEX(INDIRECT("ExtWTP19_"&amp;$C12&amp;"_UnitValues"),MATCH(A$11, INDIRECT("ExtWTP19_Comps_"&amp;C12),0),MATCH("HH",ExtWTP_Group,0))</f>
        <v>3822</v>
      </c>
      <c r="F12" s="828">
        <f t="shared" ref="F12:G14" ca="1" si="6">INDEX(INDIRECT("SSW_WTPCore2_"&amp;$B12&amp;"_Levels"),1,MATCH(F$4,WTPCore2_AttLevels,0))</f>
        <v>1.4285714285714285E-2</v>
      </c>
      <c r="G12" s="828">
        <f t="shared" ca="1" si="6"/>
        <v>9.5238095238095247E-3</v>
      </c>
      <c r="H12" s="436">
        <f ca="1">INDEX(INDIRECT("SSW_WTPCore2_"&amp;$B12&amp;"_LevelValues"),1,MATCH("S1 MEAN",WTPCore2_LevelValues,0))</f>
        <v>0.39718669024665654</v>
      </c>
      <c r="I12" s="436">
        <f ca="1">INDEX(INDIRECT("SSW_WTPCore2_"&amp;$B12&amp;"_LevelValues"),1,MATCH("S2 MEAN",WTPCore2_LevelValues,0))</f>
        <v>0.53859352958370721</v>
      </c>
      <c r="J12" s="436">
        <f ca="1">SUM(H12:I12)</f>
        <v>0.93578021983036375</v>
      </c>
      <c r="K12" s="440">
        <f ca="1">E12*(F12-G12)</f>
        <v>18.199999999999996</v>
      </c>
      <c r="L12" s="117">
        <f ca="1">INDEX(INDIRECT("SSW_WTPCore_DCE_"&amp;$B12&amp;"_UnitValues"),MATCH("COMBINED-HH",WTPCore_Group,0),MATCH("MEAN",LMH,0))</f>
        <v>160.37052631578945</v>
      </c>
      <c r="M12" s="117">
        <f ca="1">L12*($F12-$G12)*(AllProps_SSW/HHProps_SSW)</f>
        <v>0.8148571428571425</v>
      </c>
      <c r="N12" s="117">
        <f ca="1">INDEX(INDIRECT("SSW_WTPCore2_"&amp;$B12&amp;"_UnitValues"),1,MATCH("MEAN",LMH,0))</f>
        <v>184.16917331534088</v>
      </c>
      <c r="O12" s="117">
        <f ca="1">N12*($F12-$G12)*(AllProps_SSW/HHProps_SSW)</f>
        <v>0.93578021983036364</v>
      </c>
      <c r="P12" s="437">
        <f ca="1">K12*N$16/K$15</f>
        <v>1.1307862603614447</v>
      </c>
      <c r="Q12" s="611" t="s">
        <v>369</v>
      </c>
      <c r="R12" s="627">
        <f ca="1">P12*HHProps_SSW/((F12-G12)*AllProps_SSW)</f>
        <v>222.54795127521001</v>
      </c>
      <c r="S12" s="828">
        <f t="shared" ref="S12:T14" ca="1" si="7">INDEX(INDIRECT("CAM_WTPCore2_"&amp;$B12&amp;"_Levels"),1,MATCH(S$4,WTPCore2_AttLevels,0))</f>
        <v>2.5000000000000001E-2</v>
      </c>
      <c r="T12" s="828">
        <f t="shared" ca="1" si="7"/>
        <v>1.6666666666666666E-2</v>
      </c>
      <c r="U12" s="436">
        <f ca="1">INDEX(INDIRECT("CAM_WTPCore2_"&amp;$B12&amp;"_LevelValues"),1,MATCH("S1 MEAN",WTPCore2_LevelValues,0))</f>
        <v>5.3490671066612649E-2</v>
      </c>
      <c r="V12" s="436">
        <f ca="1">INDEX(INDIRECT("CAM_WTPCore2_"&amp;$B12&amp;"_LevelValues"),1,MATCH("S2 MEAN",WTPCore2_LevelValues,0))</f>
        <v>0.33457681646237136</v>
      </c>
      <c r="W12" s="216">
        <f ca="1">SUM(U12:V12)</f>
        <v>0.38806748752898401</v>
      </c>
      <c r="X12" s="286">
        <f ca="1">E12*(S12-T12)</f>
        <v>31.850000000000005</v>
      </c>
      <c r="Y12" s="117">
        <f ca="1">INDEX(INDIRECT("CAM_WTPCore_"&amp;$B12&amp;"_UnitValues"),MATCH("COMBINED-HH",WTPCore_Group,0),MATCH("MEAN",LMH,0))</f>
        <v>27.921526908635794</v>
      </c>
      <c r="Z12" s="117">
        <f ca="1">Y12*($S12-$T12)*(AllProps_CAM/HHProps_CAM)</f>
        <v>0.25044117647058822</v>
      </c>
      <c r="AA12" s="117">
        <f ca="1">INDEX(INDIRECT("CAM_WTPCore2_"&amp;$B12&amp;"_UnitValues"),1,MATCH("MEAN",LMH,0))</f>
        <v>43.265396481954809</v>
      </c>
      <c r="AB12" s="117">
        <f ca="1">AA12*($S12-$T12)*(AllProps_CAM/HHProps_CAM)</f>
        <v>0.38806748752898401</v>
      </c>
      <c r="AC12" s="767">
        <f ca="1">X12*AA$16/X$15</f>
        <v>4.4723124190603265</v>
      </c>
      <c r="AD12" s="341" t="str">
        <f>Q12</f>
        <v>Property affected</v>
      </c>
      <c r="AE12" s="534">
        <f ca="1">(AC12*HHProps_CAM)/((S12-T12)*AllProps_CAM)</f>
        <v>498.61525693353417</v>
      </c>
    </row>
    <row r="13" spans="1:31" x14ac:dyDescent="0.25">
      <c r="A13" s="9" t="s">
        <v>106</v>
      </c>
      <c r="B13" s="9" t="s">
        <v>319</v>
      </c>
      <c r="C13" s="9" t="str">
        <f>B13</f>
        <v>TempBan</v>
      </c>
      <c r="D13" s="514" t="s">
        <v>369</v>
      </c>
      <c r="E13" s="431">
        <f ca="1">INDEX(INDIRECT("ExtWTP19_"&amp;$C13&amp;"_UnitValues"),MATCH(A$11, INDIRECT("ExtWTP19_Comps_"&amp;C13),0),MATCH("HH",ExtWTP_Group,0))</f>
        <v>105</v>
      </c>
      <c r="F13" s="828">
        <f t="shared" ca="1" si="6"/>
        <v>2.5000000000000001E-2</v>
      </c>
      <c r="G13" s="828">
        <f t="shared" ca="1" si="6"/>
        <v>1.5384615384615385E-2</v>
      </c>
      <c r="H13" s="436">
        <f ca="1">INDEX(INDIRECT("SSW_WTPCore2_"&amp;$B13&amp;"_LevelValues"),1,MATCH("S1 MEAN",WTPCore2_LevelValues,0))</f>
        <v>0.4084226191643695</v>
      </c>
      <c r="I13" s="436">
        <f ca="1">INDEX(INDIRECT("SSW_WTPCore2_"&amp;$B13&amp;"_LevelValues"),1,MATCH("S2 MEAN",WTPCore2_LevelValues,0))</f>
        <v>0.28250000903457151</v>
      </c>
      <c r="J13" s="436">
        <f ca="1">SUM(H13:I13)</f>
        <v>0.69092262819894101</v>
      </c>
      <c r="K13" s="440">
        <f ca="1">E13*(F13-G13)</f>
        <v>1.0096153846153846</v>
      </c>
      <c r="L13" s="117">
        <f ca="1">INDEX(INDIRECT("SSW_WTPCore_DCE_"&amp;$B13&amp;"_UnitValues"),MATCH("COMBINED-HH",WTPCore_Group,0),MATCH("MEAN",LMH,0))</f>
        <v>251711.99999999994</v>
      </c>
      <c r="M13" s="117">
        <f ca="1">L13*(F13-G13)/HHProps_SSW*100</f>
        <v>0.43846153846153835</v>
      </c>
      <c r="N13" s="117">
        <f ca="1">INDEX(INDIRECT("SSW_WTPCore2_"&amp;$B13&amp;"_UnitValues"),1,MATCH("MEAN",LMH,0))</f>
        <v>396644.86239644804</v>
      </c>
      <c r="O13" s="117">
        <f ca="1">N13*(F13-G13)/HHProps_SSW*100</f>
        <v>0.69092262819894101</v>
      </c>
      <c r="P13" s="437">
        <f t="shared" ref="P13:P14" ca="1" si="8">K13*N$16/K$15</f>
        <v>6.2728527756736957E-2</v>
      </c>
      <c r="Q13" s="615" t="s">
        <v>422</v>
      </c>
      <c r="R13" s="627">
        <f ca="1">P13*HHProps_SSW/((F13-G13)*100)</f>
        <v>36011.193214587554</v>
      </c>
      <c r="S13" s="828">
        <f t="shared" ca="1" si="7"/>
        <v>0.05</v>
      </c>
      <c r="T13" s="828">
        <f t="shared" ca="1" si="7"/>
        <v>3.3333333333333333E-2</v>
      </c>
      <c r="U13" s="436">
        <f ca="1">INDEX(INDIRECT("CAM_WTPCore2_"&amp;$B13&amp;"_LevelValues"),1,MATCH("S1 MEAN",WTPCore2_LevelValues,0))</f>
        <v>0.15591350717379643</v>
      </c>
      <c r="V13" s="436">
        <f ca="1">INDEX(INDIRECT("CAM_WTPCore2_"&amp;$B13&amp;"_LevelValues"),1,MATCH("S2 MEAN",WTPCore2_LevelValues,0))</f>
        <v>5.0130987785217407E-2</v>
      </c>
      <c r="W13" s="216">
        <f ca="1">SUM(U13:V13)</f>
        <v>0.20604449495901384</v>
      </c>
      <c r="X13" s="286">
        <f ca="1">E13*(S13-T13)</f>
        <v>1.7500000000000004</v>
      </c>
      <c r="Y13" s="117">
        <f ca="1">INDEX(INDIRECT("CAM_WTPCore_"&amp;$B13&amp;"_UnitValues"),MATCH("COMBINED-HH",WTPCore_Group,0),MATCH("MEAN",LMH,0))</f>
        <v>452735.99999999994</v>
      </c>
      <c r="Z13" s="117">
        <f ca="1">Y13*(S13-T13)/HHProps_CAM*100</f>
        <v>5.7600000000000007</v>
      </c>
      <c r="AA13" s="117">
        <f ca="1">INDEX(INDIRECT("CAM_WTPCore2_"&amp;$B13&amp;"_UnitValues"),1,MATCH("MEAN",LMH,0))</f>
        <v>16195.097303778484</v>
      </c>
      <c r="AB13" s="117">
        <f ca="1">AA13*(S13-T13)/HHProps_CAM*100</f>
        <v>0.20604449495901386</v>
      </c>
      <c r="AC13" s="767">
        <f t="shared" ref="AC13:AC15" ca="1" si="9">X13*AA$16/X$15</f>
        <v>0.24573145159672125</v>
      </c>
      <c r="AD13" s="341" t="str">
        <f>Q13</f>
        <v>1% change in risk</v>
      </c>
      <c r="AE13" s="534">
        <f ca="1">(AC13*HHProps_CAM)/((S13-T13)*100)</f>
        <v>19314.492095502286</v>
      </c>
    </row>
    <row r="14" spans="1:31" x14ac:dyDescent="0.25">
      <c r="A14" s="9" t="s">
        <v>3</v>
      </c>
      <c r="B14" s="9" t="s">
        <v>3</v>
      </c>
      <c r="C14" s="9" t="s">
        <v>3</v>
      </c>
      <c r="D14" s="514" t="s">
        <v>666</v>
      </c>
      <c r="E14" s="431">
        <f ca="1">INDEX(INDIRECT("ExtWTP19_"&amp;$C14&amp;"_UnitValues"),MATCH(A$11, INDIRECT("ExtWTP19_Comps_"&amp;C14),0),MATCH("HH",ExtWTP_Group,0))</f>
        <v>559984</v>
      </c>
      <c r="F14" s="438">
        <f t="shared" ca="1" si="6"/>
        <v>70.5</v>
      </c>
      <c r="G14" s="438">
        <f t="shared" ca="1" si="6"/>
        <v>35.25</v>
      </c>
      <c r="H14" s="436">
        <f ca="1">INDEX(INDIRECT("SSW_WTPCore2_"&amp;$B14&amp;"_LevelValues"),1,MATCH("S1 MEAN",WTPCore2_LevelValues,0))</f>
        <v>1.2301339708448666</v>
      </c>
      <c r="I14" s="436">
        <f ca="1">INDEX(INDIRECT("SSW_WTPCore2_"&amp;$B14&amp;"_LevelValues"),1,MATCH("S2 MEAN",WTPCore2_LevelValues,0))</f>
        <v>0.44133293088857806</v>
      </c>
      <c r="J14" s="436">
        <f ca="1">SUM(H14:I14)</f>
        <v>1.6714669017334447</v>
      </c>
      <c r="K14" s="440">
        <f ca="1">E14*(F14-G14)/AllProps_SSW</f>
        <v>33.513473684210524</v>
      </c>
      <c r="L14" s="117">
        <f ca="1">INDEX(INDIRECT("SSW_WTPCore_DCE_"&amp;$B14&amp;"_UnitValues"),MATCH("COMBINED-HH",WTPCore_Group,0),MATCH("MEAN",LMH,0))</f>
        <v>31319.148936170212</v>
      </c>
      <c r="M14" s="117">
        <f ca="1">L14*(F14-G14)/HHProps_SSW</f>
        <v>2</v>
      </c>
      <c r="N14" s="117">
        <f ca="1">INDEX(INDIRECT("SSW_WTPCore2_"&amp;$B14&amp;"_UnitValues"),1,MATCH("MEAN",LMH,0))</f>
        <v>26174.460418634368</v>
      </c>
      <c r="O14" s="117">
        <f ca="1">N14*(F14-G14)/HHProps_SSW</f>
        <v>1.6714669017334447</v>
      </c>
      <c r="P14" s="437">
        <f t="shared" ca="1" si="8"/>
        <v>2.0822294274225337</v>
      </c>
      <c r="Q14" s="615" t="s">
        <v>666</v>
      </c>
      <c r="R14" s="627">
        <f ca="1">P14*HHProps_SSW/((F14-G14))</f>
        <v>32606.826778361377</v>
      </c>
      <c r="S14" s="438">
        <f t="shared" ca="1" si="7"/>
        <v>13.5</v>
      </c>
      <c r="T14" s="438">
        <f t="shared" ca="1" si="7"/>
        <v>6.75</v>
      </c>
      <c r="U14" s="436">
        <f ca="1">INDEX(INDIRECT("CAM_WTPCore2_"&amp;$B14&amp;"_LevelValues"),1,MATCH("S1 MEAN",WTPCore2_LevelValues,0))</f>
        <v>3.1349723048319831</v>
      </c>
      <c r="V14" s="436">
        <f ca="1">INDEX(INDIRECT("CAM_WTPCore2_"&amp;$B14&amp;"_LevelValues"),1,MATCH("S2 MEAN",WTPCore2_LevelValues,0))</f>
        <v>5.1405797633106154E-3</v>
      </c>
      <c r="W14" s="216">
        <f ca="1">SUM(U14:V14)</f>
        <v>3.1401128845952937</v>
      </c>
      <c r="X14" s="286">
        <f ca="1">E14*(S14-T14)/AllProps_CAM</f>
        <v>26.807744680851062</v>
      </c>
      <c r="Y14" s="117">
        <f ca="1">INDEX(INDIRECT("CAM_WTPCore_"&amp;$B14&amp;"_UnitValues"),MATCH("COMBINED-HH",WTPCore_Group,0),MATCH("MEAN",LMH,0))</f>
        <v>140121.48148148149</v>
      </c>
      <c r="Z14" s="117">
        <f ca="1">Y14*(S14-T14)/HHProps_CAM</f>
        <v>7.22</v>
      </c>
      <c r="AA14" s="117">
        <f ca="1">INDEX(INDIRECT("CAM_WTPCore2_"&amp;$B14&amp;"_UnitValues"),1,MATCH("MEAN",LMH,0))</f>
        <v>60941.450056590147</v>
      </c>
      <c r="AB14" s="117">
        <f ca="1">AA14*(S14-T14)/HHProps_CAM</f>
        <v>3.1401128845952937</v>
      </c>
      <c r="AC14" s="767">
        <f t="shared" ca="1" si="9"/>
        <v>3.7642891511198928</v>
      </c>
      <c r="AD14" s="911" t="s">
        <v>666</v>
      </c>
      <c r="AE14" s="627">
        <f ca="1">AC14*HHProps_CAM/((S14-T14))</f>
        <v>73055.093155067545</v>
      </c>
    </row>
    <row r="15" spans="1:31" x14ac:dyDescent="0.25">
      <c r="D15" s="514"/>
      <c r="E15" s="431"/>
      <c r="F15" s="436"/>
      <c r="G15" s="436"/>
      <c r="H15" s="436"/>
      <c r="I15" s="436"/>
      <c r="J15" s="445">
        <f ca="1">SUM(J12:J14)</f>
        <v>3.2981697497627493</v>
      </c>
      <c r="K15" s="603">
        <f ca="1">SUM(K12:K14)</f>
        <v>52.7230890688259</v>
      </c>
      <c r="L15" s="603"/>
      <c r="M15" s="446">
        <f ca="1">SUM(M11:M14)</f>
        <v>3.2533186813186807</v>
      </c>
      <c r="N15" s="446"/>
      <c r="O15" s="289">
        <f ca="1">SUM(O11:O14)</f>
        <v>3.2981697497627493</v>
      </c>
      <c r="P15" s="497">
        <f ca="1">SUM(P12:P14)</f>
        <v>3.2757442155407155</v>
      </c>
      <c r="Q15" s="612"/>
      <c r="R15" s="628"/>
      <c r="S15" s="767"/>
      <c r="T15" s="767"/>
      <c r="U15" s="767"/>
      <c r="V15" s="767"/>
      <c r="W15" s="52">
        <f ca="1">SUM(W12:W14)</f>
        <v>3.7342248670832916</v>
      </c>
      <c r="X15" s="532">
        <f ca="1">SUM(X12:X14)</f>
        <v>60.407744680851067</v>
      </c>
      <c r="Y15" s="603"/>
      <c r="Z15" s="446">
        <f ca="1">SUM(Z11:Z14)</f>
        <v>13.230441176470588</v>
      </c>
      <c r="AA15" s="446"/>
      <c r="AB15" s="289">
        <f ca="1">SUM(AB11:AB14)</f>
        <v>3.7342248670832916</v>
      </c>
      <c r="AC15" s="52">
        <f t="shared" ca="1" si="9"/>
        <v>8.4823330217769399</v>
      </c>
      <c r="AE15" s="534"/>
    </row>
    <row r="16" spans="1:31" s="60" customFormat="1" x14ac:dyDescent="0.25">
      <c r="D16" s="516"/>
      <c r="E16" s="523"/>
      <c r="F16" s="553"/>
      <c r="G16" s="553"/>
      <c r="H16" s="553"/>
      <c r="I16" s="553"/>
      <c r="J16" s="553"/>
      <c r="K16" s="830"/>
      <c r="L16" s="830"/>
      <c r="M16" s="830" t="s">
        <v>997</v>
      </c>
      <c r="N16" s="737">
        <f ca="1">AVERAGE(M15,O15)</f>
        <v>3.275744215540715</v>
      </c>
      <c r="O16" s="830"/>
      <c r="P16" s="830"/>
      <c r="Q16" s="613"/>
      <c r="R16" s="629"/>
      <c r="S16" s="835"/>
      <c r="T16" s="835"/>
      <c r="U16" s="835"/>
      <c r="V16" s="835"/>
      <c r="W16" s="44"/>
      <c r="X16" s="208"/>
      <c r="Y16" s="830"/>
      <c r="Z16" s="830" t="s">
        <v>997</v>
      </c>
      <c r="AA16" s="737">
        <f ca="1">AVERAGE(Z15,AB15)</f>
        <v>8.4823330217769399</v>
      </c>
      <c r="AB16" s="830"/>
      <c r="AC16" s="830"/>
      <c r="AD16" s="114"/>
      <c r="AE16" s="535"/>
    </row>
    <row r="17" spans="1:31" s="65" customFormat="1" x14ac:dyDescent="0.25">
      <c r="A17" s="237" t="s">
        <v>173</v>
      </c>
      <c r="B17" s="237"/>
      <c r="C17" s="62"/>
      <c r="D17" s="515"/>
      <c r="E17" s="522"/>
      <c r="F17" s="448"/>
      <c r="G17" s="448"/>
      <c r="H17" s="497"/>
      <c r="I17" s="497"/>
      <c r="J17" s="497"/>
      <c r="K17" s="54"/>
      <c r="L17" s="54"/>
      <c r="M17" s="54"/>
      <c r="N17" s="54"/>
      <c r="O17" s="54"/>
      <c r="P17" s="54"/>
      <c r="Q17" s="614"/>
      <c r="R17" s="630"/>
      <c r="S17" s="54"/>
      <c r="T17" s="54"/>
      <c r="U17" s="53"/>
      <c r="V17" s="53"/>
      <c r="W17" s="53"/>
      <c r="X17" s="531"/>
      <c r="Y17" s="54"/>
      <c r="Z17" s="54"/>
      <c r="AA17" s="54"/>
      <c r="AB17" s="54"/>
      <c r="AC17" s="54"/>
      <c r="AE17" s="536"/>
    </row>
    <row r="18" spans="1:31" x14ac:dyDescent="0.25">
      <c r="A18" s="9" t="s">
        <v>25</v>
      </c>
      <c r="B18" s="9" t="s">
        <v>266</v>
      </c>
      <c r="C18" s="9" t="str">
        <f>B18</f>
        <v>Discolour</v>
      </c>
      <c r="D18" s="514" t="s">
        <v>369</v>
      </c>
      <c r="E18" s="431">
        <f t="shared" ref="E18:E28" ca="1" si="10">INDEX(INDIRECT("ExtWTP19_"&amp;$C18&amp;"_UnitValues"),MATCH(A$17, INDIRECT("ExtWTP19_Comps_"&amp;C18),0),MATCH("HH",ExtWTP_Group,0))</f>
        <v>75</v>
      </c>
      <c r="F18" s="828">
        <f t="shared" ref="F18:G21" ca="1" si="11">INDEX(INDIRECT("SSW_WTPCore2_"&amp;$B18&amp;"_Levels"),1,MATCH(F$4,WTPCore2_AttLevels,0))</f>
        <v>6.6666666666666666E-2</v>
      </c>
      <c r="G18" s="828">
        <f t="shared" ca="1" si="11"/>
        <v>0.04</v>
      </c>
      <c r="H18" s="436">
        <f ca="1">INDEX(INDIRECT("SSW_WTPCore2_"&amp;$B18&amp;"_LevelValues"),1,MATCH("S1 MEAN",WTPCore2_LevelValues,0))</f>
        <v>3.3679929677046498</v>
      </c>
      <c r="I18" s="436">
        <f ca="1">INDEX(INDIRECT("SSW_WTPCore2_"&amp;$B18&amp;"_LevelValues"),1,MATCH("S2 MEAN",WTPCore2_LevelValues,0))</f>
        <v>0.60669022375558512</v>
      </c>
      <c r="J18" s="436">
        <f ca="1">SUM(H18:I18)</f>
        <v>3.974683191460235</v>
      </c>
      <c r="K18" s="440">
        <f t="shared" ref="K18:K23" ca="1" si="12">E18*(F18-G18)</f>
        <v>1.9999999999999998</v>
      </c>
      <c r="L18" s="117">
        <f t="shared" ref="L18:L28" ca="1" si="13">INDEX(INDIRECT("SSW_WTPCore_DCE_"&amp;$B18&amp;"_UnitValues"),MATCH("COMBINED-HH",WTPCore_Group,0),MATCH("MEAN",LMH,0))</f>
        <v>27.809917858229387</v>
      </c>
      <c r="M18" s="117">
        <f ca="1">L18*($F18-$G18)*(AllProps_SSW/HHProps_SSW)</f>
        <v>0.79130635838150276</v>
      </c>
      <c r="N18" s="117">
        <f ca="1">INDEX(INDIRECT("SSW_WTPCore2_"&amp;$B18&amp;"_UnitValues"),1,MATCH("MEAN",LMH,0))</f>
        <v>139.68750774741403</v>
      </c>
      <c r="O18" s="117">
        <f ca="1">N18*($F18-$G18)*(AllProps_SSW/HHProps_SSW)</f>
        <v>3.974683191460235</v>
      </c>
      <c r="P18" s="437">
        <f ca="1">K18*N$30/K$29</f>
        <v>1.8141420537264314</v>
      </c>
      <c r="Q18" s="611" t="s">
        <v>369</v>
      </c>
      <c r="R18" s="627">
        <f ca="1">P18*HHProps_SSW/((F18-G18)*AllProps_SSW)</f>
        <v>63.756775063051158</v>
      </c>
      <c r="S18" s="828">
        <f t="shared" ref="S18:T21" ca="1" si="14">INDEX(INDIRECT("CAM_WTPCore2_"&amp;$B18&amp;"_Levels"),1,MATCH(S$4,WTPCore2_AttLevels,0))</f>
        <v>2.2222222222222223E-2</v>
      </c>
      <c r="T18" s="828">
        <f t="shared" ca="1" si="14"/>
        <v>1.5384615384615385E-2</v>
      </c>
      <c r="U18" s="436">
        <f ca="1">INDEX(INDIRECT("CAM_WTPCore2_"&amp;$B18&amp;"_LevelValues"),1,MATCH("S1 MEAN",WTPCore2_LevelValues,0))</f>
        <v>3.1155463151224057</v>
      </c>
      <c r="V18" s="436">
        <f ca="1">INDEX(INDIRECT("CAM_WTPCore2_"&amp;$B18&amp;"_LevelValues"),1,MATCH("S2 MEAN",WTPCore2_LevelValues,0))</f>
        <v>1.3419840000849801</v>
      </c>
      <c r="W18" s="216">
        <f ca="1">SUM(U18:V18)</f>
        <v>4.4575303152073857</v>
      </c>
      <c r="X18" s="286">
        <f t="shared" ref="X18:X23" ca="1" si="15">E18*(S18-T18)</f>
        <v>0.51282051282051277</v>
      </c>
      <c r="Y18" s="117">
        <f t="shared" ref="Y18:Y28" ca="1" si="16">INDEX(INDIRECT("CAM_WTPCore_"&amp;$B18&amp;"_UnitValues"),MATCH("COMBINED-HH",WTPCore_Group,0),MATCH("MEAN",LMH,0))</f>
        <v>305.14240121580548</v>
      </c>
      <c r="Z18" s="117">
        <f ca="1">Y18*($S18-$T18)*(AllProps_CAM/HHProps_CAM)</f>
        <v>2.2457142857142856</v>
      </c>
      <c r="AA18" s="117">
        <f ca="1">INDEX(INDIRECT("CAM_WTPCore2_"&amp;$B18&amp;"_UnitValues"),1,MATCH("MEAN",LMH,0))</f>
        <v>605.67878671262065</v>
      </c>
      <c r="AB18" s="117">
        <f ca="1">AA18*($S18-$T18)*(AllProps_CAM/HHProps_CAM)</f>
        <v>4.4575303152073857</v>
      </c>
      <c r="AC18" s="767">
        <f ca="1">X18*AA$30/X$29</f>
        <v>0.77936318556789275</v>
      </c>
      <c r="AD18" s="517" t="s">
        <v>369</v>
      </c>
      <c r="AE18" s="534">
        <f ca="1">(AC18*HHProps_CAM)/((S18-T18)*AllProps_CAM)</f>
        <v>105.89804561346713</v>
      </c>
    </row>
    <row r="19" spans="1:31" x14ac:dyDescent="0.25">
      <c r="A19" s="9" t="s">
        <v>117</v>
      </c>
      <c r="B19" s="9" t="s">
        <v>265</v>
      </c>
      <c r="C19" s="9" t="str">
        <f>B19</f>
        <v>TasteSmell</v>
      </c>
      <c r="D19" s="514" t="s">
        <v>369</v>
      </c>
      <c r="E19" s="431">
        <f t="shared" ca="1" si="10"/>
        <v>231</v>
      </c>
      <c r="F19" s="828">
        <f t="shared" ca="1" si="11"/>
        <v>1.6666666666666666E-2</v>
      </c>
      <c r="G19" s="828">
        <f t="shared" ca="1" si="11"/>
        <v>1.1111111111111112E-2</v>
      </c>
      <c r="H19" s="436">
        <f ca="1">INDEX(INDIRECT("SSW_WTPCore2_"&amp;$B19&amp;"_LevelValues"),1,MATCH("S1 MEAN",WTPCore2_LevelValues,0))</f>
        <v>0.30818609087835352</v>
      </c>
      <c r="I19" s="436">
        <f ca="1">INDEX(INDIRECT("SSW_WTPCore2_"&amp;$B19&amp;"_LevelValues"),1,MATCH("S2 MEAN",WTPCore2_LevelValues,0))</f>
        <v>0.18578205633963885</v>
      </c>
      <c r="J19" s="436">
        <f ca="1">SUM(H19:I19)</f>
        <v>0.49396814721799237</v>
      </c>
      <c r="K19" s="440">
        <f t="shared" ca="1" si="12"/>
        <v>1.2833333333333332</v>
      </c>
      <c r="L19" s="117">
        <f t="shared" ca="1" si="13"/>
        <v>171.97536823750744</v>
      </c>
      <c r="M19" s="117">
        <f ca="1">L19*($F19-$G19)*(AllProps_SSW/HHProps_SSW)</f>
        <v>1.0194594594594593</v>
      </c>
      <c r="N19" s="117">
        <f ca="1">INDEX(INDIRECT("SSW_WTPCore2_"&amp;$B19&amp;"_UnitValues"),1,MATCH("MEAN",LMH,0))</f>
        <v>83.328820216603944</v>
      </c>
      <c r="O19" s="117">
        <f ca="1">N19*($F19-$G19)*(AllProps_SSW/HHProps_SSW)</f>
        <v>0.49396814721799231</v>
      </c>
      <c r="P19" s="437">
        <f t="shared" ref="P19:P28" ca="1" si="17">K19*N$30/K$29</f>
        <v>1.1640744844744604</v>
      </c>
      <c r="Q19" s="611" t="s">
        <v>369</v>
      </c>
      <c r="R19" s="627">
        <f ca="1">P19*HHProps_SSW/((F19-G19)*AllProps_SSW)</f>
        <v>196.37086719419761</v>
      </c>
      <c r="S19" s="828">
        <f t="shared" ca="1" si="14"/>
        <v>1.4285714285714285E-2</v>
      </c>
      <c r="T19" s="828">
        <f t="shared" ca="1" si="14"/>
        <v>0.01</v>
      </c>
      <c r="U19" s="436">
        <f ca="1">INDEX(INDIRECT("CAM_WTPCore2_"&amp;$B19&amp;"_LevelValues"),1,MATCH("S1 MEAN",WTPCore2_LevelValues,0))</f>
        <v>4.7204807663126298E-2</v>
      </c>
      <c r="V19" s="436">
        <f ca="1">INDEX(INDIRECT("CAM_WTPCore2_"&amp;$B19&amp;"_LevelValues"),1,MATCH("S2 MEAN",WTPCore2_LevelValues,0))</f>
        <v>0.1217094578997745</v>
      </c>
      <c r="W19" s="216">
        <f ca="1">SUM(U19:V19)</f>
        <v>0.16891426556290079</v>
      </c>
      <c r="X19" s="286">
        <f t="shared" ca="1" si="15"/>
        <v>0.98999999999999988</v>
      </c>
      <c r="Y19" s="117">
        <f t="shared" ca="1" si="16"/>
        <v>205.16697061803447</v>
      </c>
      <c r="Z19" s="117">
        <f ca="1">Y19*($S19-$T19)*(AllProps_CAM/HHProps_CAM)</f>
        <v>0.94640816326530608</v>
      </c>
      <c r="AA19" s="117">
        <f ca="1">INDEX(INDIRECT("CAM_WTPCore2_"&amp;$B19&amp;"_UnitValues"),1,MATCH("MEAN",LMH,0))</f>
        <v>36.618057097205678</v>
      </c>
      <c r="AB19" s="117">
        <f ca="1">AA19*($S19-$T19)*(AllProps_CAM/HHProps_CAM)</f>
        <v>0.16891426556290076</v>
      </c>
      <c r="AC19" s="767">
        <f t="shared" ref="AC19:AC28" ca="1" si="18">X19*AA$30/X$29</f>
        <v>1.504560629738817</v>
      </c>
      <c r="AD19" s="517" t="s">
        <v>369</v>
      </c>
      <c r="AE19" s="534">
        <f ca="1">(AC19*HHProps_CAM)/((S19-T19)*AllProps_CAM)</f>
        <v>326.16598048947878</v>
      </c>
    </row>
    <row r="20" spans="1:31" x14ac:dyDescent="0.25">
      <c r="A20" s="9" t="s">
        <v>183</v>
      </c>
      <c r="B20" s="9" t="s">
        <v>269</v>
      </c>
      <c r="C20" s="9" t="s">
        <v>332</v>
      </c>
      <c r="D20" s="514" t="s">
        <v>369</v>
      </c>
      <c r="E20" s="431">
        <f t="shared" ca="1" si="10"/>
        <v>295</v>
      </c>
      <c r="F20" s="828">
        <f t="shared" ca="1" si="11"/>
        <v>1.4285714285714285E-2</v>
      </c>
      <c r="G20" s="828">
        <f t="shared" ca="1" si="11"/>
        <v>9.5238095238095247E-3</v>
      </c>
      <c r="H20" s="436">
        <f ca="1">INDEX(INDIRECT("SSW_WTPCore2_"&amp;$B20&amp;"_LevelValues"),1,MATCH("S1 MEAN",WTPCore2_LevelValues,0))</f>
        <v>0.39718669024665654</v>
      </c>
      <c r="I20" s="436">
        <f ca="1">INDEX(INDIRECT("SSW_WTPCore2_"&amp;$B20&amp;"_LevelValues"),1,MATCH("S2 MEAN",WTPCore2_LevelValues,0))</f>
        <v>0.53859352958370721</v>
      </c>
      <c r="J20" s="436">
        <f ca="1">SUM(H20:I20)</f>
        <v>0.93578021983036375</v>
      </c>
      <c r="K20" s="440">
        <f t="shared" ca="1" si="12"/>
        <v>1.4047619047619044</v>
      </c>
      <c r="L20" s="117">
        <f t="shared" ca="1" si="13"/>
        <v>160.37052631578945</v>
      </c>
      <c r="M20" s="117">
        <f ca="1">L20*($F20-$G20)*(AllProps_SSW/HHProps_SSW)</f>
        <v>0.8148571428571425</v>
      </c>
      <c r="N20" s="117">
        <f ca="1">INDEX(INDIRECT("SSW_WTPCore2_"&amp;$B20&amp;"_UnitValues"),1,MATCH("MEAN",LMH,0))</f>
        <v>184.16917331534088</v>
      </c>
      <c r="O20" s="117">
        <f ca="1">N20*($F20-$G20)*(AllProps_SSW/HHProps_SSW)</f>
        <v>0.93578021983036364</v>
      </c>
      <c r="P20" s="437">
        <f t="shared" ca="1" si="17"/>
        <v>1.2742188234507079</v>
      </c>
      <c r="Q20" s="611" t="s">
        <v>369</v>
      </c>
      <c r="R20" s="627">
        <f ca="1">P20*HHProps_SSW/((F20-G20)*AllProps_SSW)</f>
        <v>250.77664858133463</v>
      </c>
      <c r="S20" s="828">
        <f t="shared" ca="1" si="14"/>
        <v>2.5000000000000001E-2</v>
      </c>
      <c r="T20" s="828">
        <f t="shared" ca="1" si="14"/>
        <v>1.6666666666666666E-2</v>
      </c>
      <c r="U20" s="436">
        <f ca="1">INDEX(INDIRECT("CAM_WTPCore2_"&amp;$B20&amp;"_LevelValues"),1,MATCH("S1 MEAN",WTPCore2_LevelValues,0))</f>
        <v>5.3490671066612649E-2</v>
      </c>
      <c r="V20" s="436">
        <f ca="1">INDEX(INDIRECT("CAM_WTPCore2_"&amp;$B20&amp;"_LevelValues"),1,MATCH("S2 MEAN",WTPCore2_LevelValues,0))</f>
        <v>0.33457681646237136</v>
      </c>
      <c r="W20" s="216">
        <f ca="1">SUM(U20:V20)</f>
        <v>0.38806748752898401</v>
      </c>
      <c r="X20" s="286">
        <f t="shared" ca="1" si="15"/>
        <v>2.4583333333333339</v>
      </c>
      <c r="Y20" s="117">
        <f t="shared" ca="1" si="16"/>
        <v>27.921526908635794</v>
      </c>
      <c r="Z20" s="117">
        <f ca="1">Y20*($S20-$T20)*(AllProps_CAM/HHProps_CAM)</f>
        <v>0.25044117647058822</v>
      </c>
      <c r="AA20" s="117">
        <f ca="1">INDEX(INDIRECT("CAM_WTPCore2_"&amp;$B20&amp;"_UnitValues"),1,MATCH("MEAN",LMH,0))</f>
        <v>43.265396481954809</v>
      </c>
      <c r="AB20" s="117">
        <f ca="1">AA20*($S20-$T20)*(AllProps_CAM/HHProps_CAM)</f>
        <v>0.38806748752898401</v>
      </c>
      <c r="AC20" s="767">
        <f t="shared" ca="1" si="18"/>
        <v>3.7360722708160869</v>
      </c>
      <c r="AD20" s="517" t="s">
        <v>369</v>
      </c>
      <c r="AE20" s="534">
        <f ca="1">(AC20*HHProps_CAM)/((S20-T20)*AllProps_CAM)</f>
        <v>416.53231274630411</v>
      </c>
    </row>
    <row r="21" spans="1:31" x14ac:dyDescent="0.25">
      <c r="A21" s="9" t="s">
        <v>330</v>
      </c>
      <c r="B21" s="9" t="s">
        <v>319</v>
      </c>
      <c r="C21" s="9" t="str">
        <f>B21</f>
        <v>TempBan</v>
      </c>
      <c r="D21" s="514" t="s">
        <v>369</v>
      </c>
      <c r="E21" s="431">
        <f t="shared" ca="1" si="10"/>
        <v>108</v>
      </c>
      <c r="F21" s="828">
        <f t="shared" ca="1" si="11"/>
        <v>2.5000000000000001E-2</v>
      </c>
      <c r="G21" s="828">
        <f t="shared" ca="1" si="11"/>
        <v>1.5384615384615385E-2</v>
      </c>
      <c r="H21" s="436">
        <f ca="1">INDEX(INDIRECT("SSW_WTPCore2_"&amp;$B21&amp;"_LevelValues"),1,MATCH("S1 MEAN",WTPCore2_LevelValues,0))</f>
        <v>0.4084226191643695</v>
      </c>
      <c r="I21" s="436">
        <f ca="1">INDEX(INDIRECT("SSW_WTPCore2_"&amp;$B21&amp;"_LevelValues"),1,MATCH("S2 MEAN",WTPCore2_LevelValues,0))</f>
        <v>0.28250000903457151</v>
      </c>
      <c r="J21" s="436">
        <f ca="1">SUM(H21:I21)</f>
        <v>0.69092262819894101</v>
      </c>
      <c r="K21" s="440">
        <f t="shared" ca="1" si="12"/>
        <v>1.0384615384615385</v>
      </c>
      <c r="L21" s="117">
        <f t="shared" ca="1" si="13"/>
        <v>251711.99999999994</v>
      </c>
      <c r="M21" s="117">
        <f ca="1">L21*(F21-G21)/HHProps_SSW*100</f>
        <v>0.43846153846153835</v>
      </c>
      <c r="N21" s="117">
        <f ca="1">INDEX(INDIRECT("SSW_WTPCore2_"&amp;$B21&amp;"_UnitValues"),1,MATCH("MEAN",LMH,0))</f>
        <v>396644.86239644804</v>
      </c>
      <c r="O21" s="117">
        <f ca="1">N21*(F21-G21)/HHProps_SSW*100</f>
        <v>0.69092262819894101</v>
      </c>
      <c r="P21" s="437">
        <f t="shared" ca="1" si="17"/>
        <v>0.94195837405026273</v>
      </c>
      <c r="Q21" s="611" t="s">
        <v>422</v>
      </c>
      <c r="R21" s="627">
        <f ca="1">P21*HHProps_SSW/((F21-G21)*100)</f>
        <v>540759.46337477479</v>
      </c>
      <c r="S21" s="828">
        <f t="shared" ca="1" si="14"/>
        <v>0.05</v>
      </c>
      <c r="T21" s="828">
        <f t="shared" ca="1" si="14"/>
        <v>3.3333333333333333E-2</v>
      </c>
      <c r="U21" s="436">
        <f ca="1">INDEX(INDIRECT("CAM_WTPCore2_"&amp;$B21&amp;"_LevelValues"),1,MATCH("S1 MEAN",WTPCore2_LevelValues,0))</f>
        <v>0.15591350717379643</v>
      </c>
      <c r="V21" s="436">
        <f ca="1">INDEX(INDIRECT("CAM_WTPCore2_"&amp;$B21&amp;"_LevelValues"),1,MATCH("S2 MEAN",WTPCore2_LevelValues,0))</f>
        <v>5.0130987785217407E-2</v>
      </c>
      <c r="W21" s="216">
        <f t="shared" ref="W21:W28" ca="1" si="19">SUM(U21:V21)</f>
        <v>0.20604449495901384</v>
      </c>
      <c r="X21" s="286">
        <f t="shared" ca="1" si="15"/>
        <v>1.8000000000000003</v>
      </c>
      <c r="Y21" s="117">
        <f t="shared" ca="1" si="16"/>
        <v>452735.99999999994</v>
      </c>
      <c r="Z21" s="117">
        <f ca="1">Y21*(S21-T21)/HHProps_CAM*100</f>
        <v>5.7600000000000007</v>
      </c>
      <c r="AA21" s="117">
        <f ca="1">INDEX(INDIRECT("CAM_WTPCore2_"&amp;$B21&amp;"_UnitValues"),1,MATCH("MEAN",LMH,0))</f>
        <v>16195.097303778484</v>
      </c>
      <c r="AB21" s="117">
        <f ca="1">AA21*(S21-T21)/HHProps_CAM*100</f>
        <v>0.20604449495901386</v>
      </c>
      <c r="AC21" s="767">
        <f t="shared" ca="1" si="18"/>
        <v>2.7355647813433039</v>
      </c>
      <c r="AD21" s="517" t="s">
        <v>422</v>
      </c>
      <c r="AE21" s="627">
        <f ca="1">AC21*HHProps_CAM/((S21-T21)*100)</f>
        <v>215015.39181358364</v>
      </c>
    </row>
    <row r="22" spans="1:31" x14ac:dyDescent="0.25">
      <c r="A22" s="9" t="s">
        <v>615</v>
      </c>
      <c r="B22" s="9" t="s">
        <v>323</v>
      </c>
      <c r="C22" s="9" t="str">
        <f t="shared" ref="C22:C28" si="20">B22</f>
        <v>Drought</v>
      </c>
      <c r="D22" s="514" t="s">
        <v>369</v>
      </c>
      <c r="E22" s="833">
        <f t="shared" ca="1" si="10"/>
        <v>43</v>
      </c>
      <c r="F22" s="828">
        <f t="shared" ref="F22:G26" ca="1" si="21">INDEX(INDIRECT("SSW_WTPCore_DCE_"&amp;$B22&amp;"_Levels"),MATCH("COMBINED-HH",WTPCore_Group,0),MATCH(F$4,WTPCore_AttLevels,0))</f>
        <v>1.2500000000000001E-2</v>
      </c>
      <c r="G22" s="828">
        <v>8.3000000000000001E-3</v>
      </c>
      <c r="H22" s="436">
        <f t="shared" ref="H22:H26" ca="1" si="22">INDEX(INDIRECT("SSW_WTPCore_DCE_"&amp;$B22&amp;"_LevelValues"),MATCH("COMBINED-HH",WTPCore_Group,0),MATCH("S1 MEAN",WTPCore_LevelValues,0))</f>
        <v>7.0000000000000007E-2</v>
      </c>
      <c r="I22" s="436">
        <f t="shared" ref="I22:I26" ca="1" si="23">INDEX(INDIRECT("SSW_WTPCore_DCE_"&amp;$B22&amp;"_LevelValues"),MATCH("COMBINED-HH",WTPCore_Group,0),MATCH("S2 MEAN",WTPCore_LevelValues,0))</f>
        <v>0.56999999999999995</v>
      </c>
      <c r="J22" s="20">
        <f ca="1">H22</f>
        <v>7.0000000000000007E-2</v>
      </c>
      <c r="K22" s="440">
        <f t="shared" ca="1" si="12"/>
        <v>0.18060000000000004</v>
      </c>
      <c r="L22" s="117">
        <f t="shared" ca="1" si="13"/>
        <v>92736</v>
      </c>
      <c r="M22" s="117">
        <f ca="1">L22*(F22-G22)/HHProps_SSW*100</f>
        <v>7.0560000000000012E-2</v>
      </c>
      <c r="N22" s="117">
        <f ca="1">L22</f>
        <v>92736</v>
      </c>
      <c r="O22" s="117">
        <f ca="1">N22*(F22-G22)/HHProps_SSW*100</f>
        <v>7.0560000000000012E-2</v>
      </c>
      <c r="P22" s="437">
        <f t="shared" ca="1" si="17"/>
        <v>0.16381702745149684</v>
      </c>
      <c r="Q22" s="517" t="s">
        <v>422</v>
      </c>
      <c r="R22" s="627">
        <f ca="1">P22*HHProps_SSW/((F22-G22)*100)</f>
        <v>215302.37893625299</v>
      </c>
      <c r="S22" s="828">
        <f ca="1">INDEX(INDIRECT("CAM_WTPCore_"&amp;$B22&amp;"_Levels"),MATCH("COMBINED-HH",WTPCore_Group,0),MATCH(S$4,WTPCore_AttLevels,0))</f>
        <v>1.2500000000000001E-2</v>
      </c>
      <c r="T22" s="828">
        <v>8.3000000000000001E-3</v>
      </c>
      <c r="U22" s="436">
        <f ca="1">INDEX(INDIRECT("CAM_WTPCore_"&amp;$B22&amp;"_LevelValues"),MATCH("COMBINED-HH",WTPCore_Group,0),MATCH("S1 MEAN",WTPCore_LevelValues,0))</f>
        <v>1.5029903774694477</v>
      </c>
      <c r="V22" s="436">
        <f ca="1">INDEX(INDIRECT("CAM_WTPCore_"&amp;$B22&amp;"_LevelValues"),MATCH("COMBINED-HH",WTPCore_Group,0),MATCH("S2 MEAN",WTPCore_LevelValues,0))</f>
        <v>0.31632762130063785</v>
      </c>
      <c r="W22" s="216">
        <f ca="1">U22</f>
        <v>1.5029903774694477</v>
      </c>
      <c r="X22" s="286">
        <f t="shared" ca="1" si="15"/>
        <v>0.18060000000000004</v>
      </c>
      <c r="Y22" s="117">
        <f t="shared" ca="1" si="16"/>
        <v>472540.17467639426</v>
      </c>
      <c r="Z22" s="117">
        <f ca="1">Y22*(S22-T22)/HHProps_CAM*100</f>
        <v>1.5150143004892032</v>
      </c>
      <c r="AA22" s="117">
        <f ca="1">Y22</f>
        <v>472540.17467639426</v>
      </c>
      <c r="AB22" s="117">
        <f ca="1">AA22*(S22-T22)/HHProps_CAM*100</f>
        <v>1.5150143004892032</v>
      </c>
      <c r="AC22" s="767">
        <f t="shared" ca="1" si="18"/>
        <v>0.27446833306144486</v>
      </c>
      <c r="AD22" s="517" t="s">
        <v>422</v>
      </c>
      <c r="AE22" s="627">
        <f ca="1">AC22*HHProps_CAM/((S22-T22)*100)</f>
        <v>85607.980073926839</v>
      </c>
    </row>
    <row r="23" spans="1:31" x14ac:dyDescent="0.25">
      <c r="A23" s="9" t="s">
        <v>185</v>
      </c>
      <c r="B23" s="9" t="s">
        <v>270</v>
      </c>
      <c r="C23" s="9" t="str">
        <f t="shared" si="20"/>
        <v>LowPressure</v>
      </c>
      <c r="D23" s="514" t="s">
        <v>369</v>
      </c>
      <c r="E23" s="431">
        <f t="shared" ca="1" si="10"/>
        <v>70</v>
      </c>
      <c r="F23" s="828">
        <f t="shared" ref="F23:G25" ca="1" si="24">INDEX(INDIRECT("SSW_WTPCore2_"&amp;$B23&amp;"_Levels"),1,MATCH(F$4,WTPCore2_AttLevels,0))</f>
        <v>0.1</v>
      </c>
      <c r="G23" s="828">
        <f t="shared" ca="1" si="24"/>
        <v>6.6666666666666666E-2</v>
      </c>
      <c r="H23" s="436">
        <f ca="1">INDEX(INDIRECT("SSW_WTPCore2_"&amp;$B23&amp;"_LevelValues"),1,MATCH("S1 MEAN",WTPCore2_LevelValues,0))</f>
        <v>0.78010561855806027</v>
      </c>
      <c r="I23" s="436">
        <f ca="1">INDEX(INDIRECT("SSW_WTPCore2_"&amp;$B23&amp;"_LevelValues"),1,MATCH("S2 MEAN",WTPCore2_LevelValues,0))</f>
        <v>0.37050953266002729</v>
      </c>
      <c r="J23" s="436">
        <f t="shared" ref="J23:J27" ca="1" si="25">SUM(H23:I23)</f>
        <v>1.1506151512180876</v>
      </c>
      <c r="K23" s="440">
        <f t="shared" ca="1" si="12"/>
        <v>2.3333333333333339</v>
      </c>
      <c r="L23" s="117">
        <f t="shared" ca="1" si="13"/>
        <v>40.646907591559547</v>
      </c>
      <c r="M23" s="117">
        <f ca="1">L23*($F23-$G23)*(AllProps_SSW/HHProps_SSW)</f>
        <v>1.445714285714286</v>
      </c>
      <c r="N23" s="117">
        <f ca="1">INDEX(INDIRECT("SSW_WTPCore2_"&amp;$B23&amp;"_UnitValues"),1,MATCH("MEAN",LMH,0))</f>
        <v>32.35006265563927</v>
      </c>
      <c r="O23" s="117">
        <f ca="1">N23*($F23-$G23)*(AllProps_SSW/HHProps_SSW)</f>
        <v>1.1506151512180878</v>
      </c>
      <c r="P23" s="437">
        <f t="shared" ca="1" si="17"/>
        <v>2.1164990626808375</v>
      </c>
      <c r="Q23" s="611" t="s">
        <v>369</v>
      </c>
      <c r="R23" s="627">
        <f ca="1">P23*HHProps_SSW/((F23-G23)*AllProps_SSW)</f>
        <v>59.506323392181095</v>
      </c>
      <c r="S23" s="828">
        <f t="shared" ref="S23:T25" ca="1" si="26">INDEX(INDIRECT("CAM_WTPCore2_"&amp;$B23&amp;"_Levels"),1,MATCH(S$4,WTPCore2_AttLevels,0))</f>
        <v>9.0909090909090912E-2</v>
      </c>
      <c r="T23" s="828">
        <f t="shared" ca="1" si="26"/>
        <v>6.6666666666666666E-2</v>
      </c>
      <c r="U23" s="436">
        <f ca="1">INDEX(INDIRECT("CAM_WTPCore2_"&amp;$B23&amp;"_LevelValues"),1,MATCH("S1 MEAN",WTPCore2_LevelValues,0))</f>
        <v>2.1416418362159599</v>
      </c>
      <c r="V23" s="436">
        <f ca="1">INDEX(INDIRECT("CAM_WTPCore2_"&amp;$B23&amp;"_LevelValues"),1,MATCH("S2 MEAN",WTPCore2_LevelValues,0))</f>
        <v>0.84070533256091329</v>
      </c>
      <c r="W23" s="216">
        <f t="shared" ca="1" si="19"/>
        <v>2.9823471687768732</v>
      </c>
      <c r="X23" s="286">
        <f t="shared" ca="1" si="15"/>
        <v>1.6969696969696972</v>
      </c>
      <c r="Y23" s="117">
        <f t="shared" ca="1" si="16"/>
        <v>18.356144634344844</v>
      </c>
      <c r="Z23" s="117">
        <f ca="1">Y23*($S23-$T23)*(AllProps_CAM/HHProps_CAM)</f>
        <v>0.47896671634376553</v>
      </c>
      <c r="AA23" s="117">
        <f ca="1">INDEX(INDIRECT("CAM_WTPCore2_"&amp;$B23&amp;"_UnitValues"),1,MATCH("MEAN",LMH,0))</f>
        <v>114.29686888849665</v>
      </c>
      <c r="AB23" s="117">
        <f ca="1">AA23*($S23-$T23)*(AllProps_CAM/HHProps_CAM)</f>
        <v>2.9823471687768732</v>
      </c>
      <c r="AC23" s="767">
        <f t="shared" ca="1" si="18"/>
        <v>2.5789836322428452</v>
      </c>
      <c r="AD23" s="517" t="s">
        <v>369</v>
      </c>
      <c r="AE23" s="627">
        <f ca="1">AC23*HHProps_CAM/((S23-T23)*AllProps_CAM)</f>
        <v>98.838175905902645</v>
      </c>
    </row>
    <row r="24" spans="1:31" x14ac:dyDescent="0.25">
      <c r="A24" s="9" t="s">
        <v>3</v>
      </c>
      <c r="B24" s="9" t="s">
        <v>3</v>
      </c>
      <c r="C24" s="9" t="str">
        <f t="shared" si="20"/>
        <v>Leakage</v>
      </c>
      <c r="D24" s="514" t="s">
        <v>666</v>
      </c>
      <c r="E24" s="431">
        <f t="shared" ca="1" si="10"/>
        <v>44447</v>
      </c>
      <c r="F24" s="438">
        <f t="shared" ca="1" si="24"/>
        <v>70.5</v>
      </c>
      <c r="G24" s="438">
        <f t="shared" ca="1" si="24"/>
        <v>35.25</v>
      </c>
      <c r="H24" s="436">
        <f ca="1">INDEX(INDIRECT("SSW_WTPCore2_"&amp;$B24&amp;"_LevelValues"),1,MATCH("S1 MEAN",WTPCore2_LevelValues,0))</f>
        <v>1.2301339708448666</v>
      </c>
      <c r="I24" s="436">
        <f ca="1">INDEX(INDIRECT("SSW_WTPCore2_"&amp;$B24&amp;"_LevelValues"),1,MATCH("S2 MEAN",WTPCore2_LevelValues,0))</f>
        <v>0.44133293088857806</v>
      </c>
      <c r="J24" s="436">
        <f t="shared" ca="1" si="25"/>
        <v>1.6714669017334447</v>
      </c>
      <c r="K24" s="440">
        <f ca="1">E24*(F24-G24)/AllProps_SSW</f>
        <v>2.6600284380305603</v>
      </c>
      <c r="L24" s="117">
        <f t="shared" ca="1" si="13"/>
        <v>31319.148936170212</v>
      </c>
      <c r="M24" s="117">
        <f ca="1">L24*(F24-G24)/HHProps_SSW</f>
        <v>2</v>
      </c>
      <c r="N24" s="117">
        <f ca="1">INDEX(INDIRECT("SSW_WTPCore2_"&amp;$B24&amp;"_UnitValues"),1,MATCH("MEAN",LMH,0))</f>
        <v>26174.460418634368</v>
      </c>
      <c r="O24" s="117">
        <f ca="1">N24*(F24-G24)/HHProps_SSW</f>
        <v>1.6714669017334447</v>
      </c>
      <c r="P24" s="437">
        <f t="shared" ca="1" si="17"/>
        <v>2.4128347267697365</v>
      </c>
      <c r="Q24" s="611" t="s">
        <v>666</v>
      </c>
      <c r="R24" s="627">
        <f ca="1">P24*HHProps_SSW/((F24-G24))</f>
        <v>37783.965083032468</v>
      </c>
      <c r="S24" s="438">
        <f t="shared" ca="1" si="26"/>
        <v>13.5</v>
      </c>
      <c r="T24" s="438">
        <f t="shared" ca="1" si="26"/>
        <v>6.75</v>
      </c>
      <c r="U24" s="436">
        <f ca="1">INDEX(INDIRECT("CAM_WTPCore2_"&amp;$B24&amp;"_LevelValues"),1,MATCH("S1 MEAN",WTPCore2_LevelValues,0))</f>
        <v>3.1349723048319831</v>
      </c>
      <c r="V24" s="436">
        <f ca="1">INDEX(INDIRECT("CAM_WTPCore2_"&amp;$B24&amp;"_LevelValues"),1,MATCH("S2 MEAN",WTPCore2_LevelValues,0))</f>
        <v>5.1405797633106154E-3</v>
      </c>
      <c r="W24" s="216">
        <f ca="1">SUM(U24:V24)</f>
        <v>3.1401128845952937</v>
      </c>
      <c r="X24" s="286">
        <f ca="1">E24*(S24-T24)/AllProps_CAM</f>
        <v>2.127781914893617</v>
      </c>
      <c r="Y24" s="117">
        <f t="shared" ca="1" si="16"/>
        <v>140121.48148148149</v>
      </c>
      <c r="Z24" s="117">
        <f ca="1">Y24*(S24-T24)/HHProps_CAM</f>
        <v>7.22</v>
      </c>
      <c r="AA24" s="117">
        <f ca="1">INDEX(INDIRECT("CAM_WTPCore2_"&amp;$B24&amp;"_UnitValues"),1,MATCH("MEAN",LMH,0))</f>
        <v>60941.450056590147</v>
      </c>
      <c r="AB24" s="117">
        <f ca="1">AA24*(S24-U24)/HHProps_CAM</f>
        <v>4.8218306688569115</v>
      </c>
      <c r="AC24" s="767">
        <f t="shared" ca="1" si="18"/>
        <v>3.2337140382012186</v>
      </c>
      <c r="AD24" s="517" t="s">
        <v>666</v>
      </c>
      <c r="AE24" s="627">
        <f ca="1">AC24*HHProps_CAM/((S24-T24))</f>
        <v>62758.005778423649</v>
      </c>
    </row>
    <row r="25" spans="1:31" x14ac:dyDescent="0.25">
      <c r="A25" s="9" t="s">
        <v>669</v>
      </c>
      <c r="B25" s="9" t="s">
        <v>315</v>
      </c>
      <c r="C25" s="9" t="str">
        <f t="shared" si="20"/>
        <v>Wildlife</v>
      </c>
      <c r="D25" s="514" t="s">
        <v>397</v>
      </c>
      <c r="E25" s="431">
        <f t="shared" ca="1" si="10"/>
        <v>11584</v>
      </c>
      <c r="F25" s="438">
        <f t="shared" ca="1" si="24"/>
        <v>0</v>
      </c>
      <c r="G25" s="438">
        <f t="shared" ca="1" si="24"/>
        <v>50</v>
      </c>
      <c r="H25" s="436">
        <f ca="1">INDEX(INDIRECT("SSW_WTPCore2_"&amp;$B25&amp;"_LevelValues"),1,MATCH("S1 MEAN",WTPCore2_LevelValues,0))</f>
        <v>0.31132700138064179</v>
      </c>
      <c r="I25" s="436">
        <f ca="1">INDEX(INDIRECT("SSW_WTPCore2_"&amp;$B25&amp;"_LevelValues"),1,MATCH("S2 MEAN",WTPCore2_LevelValues,0))</f>
        <v>0.13284027031511708</v>
      </c>
      <c r="J25" s="436">
        <f t="shared" ca="1" si="25"/>
        <v>0.44416727169575887</v>
      </c>
      <c r="K25" s="440">
        <f ca="1">-E25*(F25-G25)/AllProps_SSW</f>
        <v>0.9833616298811545</v>
      </c>
      <c r="L25" s="117">
        <f t="shared" ca="1" si="13"/>
        <v>10488</v>
      </c>
      <c r="M25" s="117">
        <f ca="1">-L25*(F25-G25)/HHProps_SSW</f>
        <v>0.95</v>
      </c>
      <c r="N25" s="117">
        <f ca="1">INDEX(INDIRECT("SSW_WTPCore2_"&amp;$B25&amp;"_UnitValues"),1,MATCH("MEAN",LMH,0))</f>
        <v>4903.6066795211782</v>
      </c>
      <c r="O25" s="117">
        <f ca="1">-N25*(F25-G25)/HHProps_SSW</f>
        <v>0.44416727169575887</v>
      </c>
      <c r="P25" s="437">
        <f t="shared" ca="1" si="17"/>
        <v>0.89197884339418443</v>
      </c>
      <c r="Q25" s="611" t="s">
        <v>397</v>
      </c>
      <c r="R25" s="627">
        <f ca="1">-P25*HHProps_SSW/((F25-G25))</f>
        <v>9847.4464310717958</v>
      </c>
      <c r="S25" s="438">
        <f t="shared" ca="1" si="26"/>
        <v>0</v>
      </c>
      <c r="T25" s="438">
        <f t="shared" ca="1" si="26"/>
        <v>9</v>
      </c>
      <c r="U25" s="436">
        <f ca="1">INDEX(INDIRECT("CAM_WTPCore2_"&amp;$B25&amp;"_LevelValues"),1,MATCH("S1 MEAN",WTPCore2_LevelValues,0))</f>
        <v>0.16524275196632074</v>
      </c>
      <c r="V25" s="436">
        <f ca="1">INDEX(INDIRECT("CAM_WTPCore2_"&amp;$B25&amp;"_LevelValues"),1,MATCH("S2 MEAN",WTPCore2_LevelValues,0))</f>
        <v>2.2165878650139109E-2</v>
      </c>
      <c r="W25" s="216">
        <f t="shared" ca="1" si="19"/>
        <v>0.18740863061645985</v>
      </c>
      <c r="X25" s="286">
        <f ca="1">-E25*(S25-T25)/AllProps_CAM</f>
        <v>0.73940425531914888</v>
      </c>
      <c r="Y25" s="117">
        <f t="shared" ca="1" si="16"/>
        <v>14803.000000000004</v>
      </c>
      <c r="Z25" s="117">
        <f ca="1">-Y25*(S25-T25)/HHProps_CAM</f>
        <v>1.0170000000000001</v>
      </c>
      <c r="AA25" s="117">
        <f ca="1">INDEX(INDIRECT("CAM_WTPCore2_"&amp;$B25&amp;"_UnitValues"),1,MATCH("MEAN",LMH,0))</f>
        <v>2727.836734528471</v>
      </c>
      <c r="AB25" s="117">
        <f ca="1">-AA25*(S25-T25)/HHProps_CAM</f>
        <v>0.18740863061645985</v>
      </c>
      <c r="AC25" s="767">
        <f t="shared" ca="1" si="18"/>
        <v>1.1237156889035755</v>
      </c>
      <c r="AD25" s="517" t="s">
        <v>397</v>
      </c>
      <c r="AE25" s="627">
        <f ca="1">-AC25*HHProps_CAM/((S25-T25))</f>
        <v>16356.306138485375</v>
      </c>
    </row>
    <row r="26" spans="1:31" x14ac:dyDescent="0.25">
      <c r="A26" s="9" t="s">
        <v>111</v>
      </c>
      <c r="B26" s="9" t="s">
        <v>271</v>
      </c>
      <c r="C26" s="9" t="str">
        <f t="shared" si="20"/>
        <v>Traffic</v>
      </c>
      <c r="D26" s="514" t="s">
        <v>369</v>
      </c>
      <c r="E26" s="833">
        <f t="shared" ca="1" si="10"/>
        <v>839</v>
      </c>
      <c r="F26" s="836">
        <f t="shared" ca="1" si="21"/>
        <v>608.33333333333337</v>
      </c>
      <c r="G26" s="836">
        <f t="shared" ca="1" si="21"/>
        <v>243.33333333333334</v>
      </c>
      <c r="H26" s="436">
        <f t="shared" ca="1" si="22"/>
        <v>0.06</v>
      </c>
      <c r="I26" s="436">
        <f t="shared" ca="1" si="23"/>
        <v>0.46</v>
      </c>
      <c r="J26" s="436">
        <f t="shared" ca="1" si="25"/>
        <v>0.52</v>
      </c>
      <c r="K26" s="440">
        <f ca="1">E26*(F26-G26)/AllProps_SSW</f>
        <v>0.51992359932088283</v>
      </c>
      <c r="L26" s="117">
        <f t="shared" ca="1" si="13"/>
        <v>786.41095890410963</v>
      </c>
      <c r="M26" s="117">
        <f ca="1">L26*(F26-G26)/HHProps_SSW</f>
        <v>0.52</v>
      </c>
      <c r="N26" s="117">
        <f ca="1">L26</f>
        <v>786.41095890410963</v>
      </c>
      <c r="O26" s="117">
        <f ca="1">N26*(F26-G26)/HHProps_SSW</f>
        <v>0.52</v>
      </c>
      <c r="P26" s="437">
        <f t="shared" ca="1" si="17"/>
        <v>0.47160763312641246</v>
      </c>
      <c r="Q26" s="517" t="s">
        <v>398</v>
      </c>
      <c r="R26" s="627">
        <f ca="1">P26*HHProps_SSW/((F26-G26))</f>
        <v>713.2257903719991</v>
      </c>
      <c r="S26" s="836">
        <f ca="1">INDEX(INDIRECT("CAM_WTPCore_"&amp;$B26&amp;"_Levels"),MATCH("COMBINED-HH",WTPCore_Group,0),MATCH(S$4,WTPCore_AttLevels,0))</f>
        <v>365</v>
      </c>
      <c r="T26" s="836">
        <f ca="1">INDEX(INDIRECT("CAM_WTPCore_"&amp;$B26&amp;"_Levels"),MATCH("COMBINED-HH",WTPCore_Group,0),MATCH(T$4,WTPCore_AttLevels,0))</f>
        <v>121.66666666666667</v>
      </c>
      <c r="U26" s="436">
        <f ca="1">INDEX(INDIRECT("CAM_WTPCore_"&amp;$B26&amp;"_LevelValues"),MATCH("COMBINED-HH",WTPCore_Group,0),MATCH("S1 MEAN",WTPCore_LevelValues,0))</f>
        <v>0.21</v>
      </c>
      <c r="V26" s="436">
        <f ca="1">INDEX(INDIRECT("CAM_WTPCore_"&amp;$B26&amp;"_LevelValues"),MATCH("COMBINED-HH",WTPCore_Group,0),MATCH("S2 MEAN",WTPCore_LevelValues,0))</f>
        <v>0.51</v>
      </c>
      <c r="W26" s="216">
        <f t="shared" ca="1" si="19"/>
        <v>0.72</v>
      </c>
      <c r="X26" s="286">
        <f ca="1">E26*(S26-T26)/AllProps_CAM</f>
        <v>1.447919621749409</v>
      </c>
      <c r="Y26" s="117">
        <f t="shared" ca="1" si="16"/>
        <v>387.61643835616439</v>
      </c>
      <c r="Z26" s="117">
        <f ca="1">Y26*(S26-T26)/HHProps_CAM</f>
        <v>0.72</v>
      </c>
      <c r="AA26" s="117">
        <f ca="1">Y26</f>
        <v>387.61643835616439</v>
      </c>
      <c r="AB26" s="117">
        <f ca="1">AA26*(S26-T26)/HHProps_CAM</f>
        <v>0.72</v>
      </c>
      <c r="AC26" s="767">
        <f t="shared" ca="1" si="18"/>
        <v>2.200487735263112</v>
      </c>
      <c r="AD26" s="517" t="s">
        <v>398</v>
      </c>
      <c r="AE26" s="627">
        <f ca="1">AC26*HHProps_CAM/((S26-T26))</f>
        <v>1184.6461369293193</v>
      </c>
    </row>
    <row r="27" spans="1:31" x14ac:dyDescent="0.25">
      <c r="A27" s="9" t="s">
        <v>370</v>
      </c>
      <c r="B27" s="9" t="s">
        <v>399</v>
      </c>
      <c r="C27" s="9" t="str">
        <f t="shared" si="20"/>
        <v>NotSafe</v>
      </c>
      <c r="D27" s="514" t="s">
        <v>369</v>
      </c>
      <c r="E27" s="431">
        <f t="shared" ca="1" si="10"/>
        <v>548</v>
      </c>
      <c r="F27" s="828">
        <f ca="1">INDEX(INDIRECT("SSW_WTPCore2_"&amp;$B27&amp;"_Levels"),1,MATCH(F$4,WTPCore2_AttLevels,0))</f>
        <v>1.2500000000000001E-2</v>
      </c>
      <c r="G27" s="828">
        <f ca="1">INDEX(INDIRECT("SSW_WTPCore2_"&amp;$B27&amp;"_Levels"),1,MATCH(G$4,WTPCore2_AttLevels,0))</f>
        <v>8.3333333333333332E-3</v>
      </c>
      <c r="H27" s="436">
        <f ca="1">INDEX(INDIRECT("SSW_WTPCore2_"&amp;$B27&amp;"_LevelValues"),1,MATCH("S1 MEAN",WTPCore2_LevelValues,0))</f>
        <v>0.88929876177631462</v>
      </c>
      <c r="I27" s="436">
        <f ca="1">INDEX(INDIRECT("SSW_WTPCore2_"&amp;$B27&amp;"_LevelValues"),1,MATCH("S2 MEAN",WTPCore2_LevelValues,0))</f>
        <v>0.22437782965097952</v>
      </c>
      <c r="J27" s="436">
        <f t="shared" ca="1" si="25"/>
        <v>1.1136765914272941</v>
      </c>
      <c r="K27" s="440">
        <f ca="1">E27*(F27-G27)</f>
        <v>2.2833333333333337</v>
      </c>
      <c r="L27" s="117">
        <f t="shared" ca="1" si="13"/>
        <v>751.24482173174863</v>
      </c>
      <c r="M27" s="117">
        <f ca="1">L27*($F27-$G27)*(AllProps_SSW/HHProps_SSW)</f>
        <v>3.3400000000000003</v>
      </c>
      <c r="N27" s="117">
        <f ca="1">INDEX(INDIRECT("SSW_WTPCore2_"&amp;$B27&amp;"_UnitValues"),1,MATCH("MEAN",LMH,0))</f>
        <v>250.4921474232392</v>
      </c>
      <c r="O27" s="117">
        <f ca="1">N27*($F27-$G27)*(AllProps_SSW/HHProps_SSW)</f>
        <v>1.1136765914272941</v>
      </c>
      <c r="P27" s="437">
        <f t="shared" ca="1" si="17"/>
        <v>2.0711455113376767</v>
      </c>
      <c r="Q27" s="611" t="s">
        <v>369</v>
      </c>
      <c r="R27" s="627">
        <f ca="1">P27*HHProps_SSW/((F27-G27)*AllProps_SSW)</f>
        <v>465.84950312736055</v>
      </c>
      <c r="S27" s="828">
        <f ca="1">INDEX(INDIRECT("CAM_WTPCore2_"&amp;$B27&amp;"_Levels"),1,MATCH(S$4,WTPCore2_AttLevels,0))</f>
        <v>1.2500000000000001E-2</v>
      </c>
      <c r="T27" s="828">
        <f ca="1">INDEX(INDIRECT("CAM_WTPCore2_"&amp;$B27&amp;"_Levels"),1,MATCH(T$4,WTPCore2_AttLevels,0))</f>
        <v>8.3333333333333332E-3</v>
      </c>
      <c r="U27" s="436">
        <f ca="1">INDEX(INDIRECT("CAM_WTPCore2_"&amp;$B27&amp;"_LevelValues"),1,MATCH("S1 MEAN",WTPCore2_LevelValues,0))</f>
        <v>1.0483009561625427</v>
      </c>
      <c r="V27" s="436">
        <f ca="1">INDEX(INDIRECT("CAM_WTPCore2_"&amp;$B27&amp;"_LevelValues"),1,MATCH("S2 MEAN",WTPCore2_LevelValues,0))</f>
        <v>1.4106837870846367</v>
      </c>
      <c r="W27" s="216">
        <f t="shared" ca="1" si="19"/>
        <v>2.4589847432471794</v>
      </c>
      <c r="X27" s="286">
        <f ca="1">E27*(S27-T27)</f>
        <v>2.2833333333333337</v>
      </c>
      <c r="Y27" s="117">
        <f t="shared" ca="1" si="16"/>
        <v>495.01276595744673</v>
      </c>
      <c r="Z27" s="117">
        <f ca="1">Y27*($S27-$T27)*(AllProps_CAM/HHProps_CAM)</f>
        <v>2.2200000000000002</v>
      </c>
      <c r="AA27" s="117">
        <f ca="1">INDEX(INDIRECT("CAM_WTPCore2_"&amp;$B27&amp;"_UnitValues"),1,MATCH("MEAN",LMH,0))</f>
        <v>548.30127891979646</v>
      </c>
      <c r="AB27" s="117">
        <f ca="1">AA27*($S27-$T27)*(AllProps_CAM/HHProps_CAM)</f>
        <v>2.458984743247179</v>
      </c>
      <c r="AC27" s="767">
        <f t="shared" ca="1" si="18"/>
        <v>3.4701145837410432</v>
      </c>
      <c r="AD27" s="517" t="s">
        <v>369</v>
      </c>
      <c r="AE27" s="627">
        <f ca="1">AC27*HHProps_CAM/((S27-T27)*AllProps_SSW)</f>
        <v>185.22988542074427</v>
      </c>
    </row>
    <row r="28" spans="1:31" x14ac:dyDescent="0.25">
      <c r="A28" s="9" t="s">
        <v>324</v>
      </c>
      <c r="B28" s="9" t="s">
        <v>318</v>
      </c>
      <c r="C28" s="9" t="str">
        <f t="shared" si="20"/>
        <v>Metering</v>
      </c>
      <c r="D28" s="514" t="s">
        <v>676</v>
      </c>
      <c r="E28" s="431">
        <f t="shared" ca="1" si="10"/>
        <v>2</v>
      </c>
      <c r="F28" s="828">
        <f ca="1">INDEX(INDIRECT("SSW_WTPCore2_"&amp;$B28&amp;"_Levels"),1,MATCH(F$4,WTPCore2_AttLevels,0))</f>
        <v>0.33</v>
      </c>
      <c r="G28" s="828">
        <f ca="1">INDEX(INDIRECT("SSW_WTPCore2_"&amp;$B28&amp;"_Levels"),1,MATCH(G$4,WTPCore2_AttLevels,0))</f>
        <v>0.5</v>
      </c>
      <c r="H28" s="436">
        <f ca="1">INDEX(INDIRECT("SSW_WTPCore2_"&amp;$B28&amp;"_LevelValues"),1,MATCH("S1 MEAN",WTPCore2_LevelValues,0))</f>
        <v>3.9796847923577343</v>
      </c>
      <c r="I28" s="436">
        <f ca="1">INDEX(INDIRECT("SSW_WTPCore2_"&amp;$B28&amp;"_LevelValues"),1,MATCH("S2 MEAN",WTPCore2_LevelValues,0))</f>
        <v>0.52424962900217631</v>
      </c>
      <c r="J28" s="436">
        <f ca="1">SUM(H28:I28)</f>
        <v>4.5039344213599106</v>
      </c>
      <c r="K28" s="440">
        <f ca="1">-E28*(F28-G28)</f>
        <v>0.33999999999999997</v>
      </c>
      <c r="L28" s="117">
        <f t="shared" ca="1" si="13"/>
        <v>1.7719298245614032</v>
      </c>
      <c r="M28" s="117">
        <f ca="1">-L28*($F28-$G28)</f>
        <v>0.30122807017543851</v>
      </c>
      <c r="N28" s="117">
        <f ca="1">INDEX(INDIRECT("SSW_WTPCore2_"&amp;$B28&amp;"_UnitValues"),1,MATCH("MEAN",LMH,0))</f>
        <v>26.493731890352418</v>
      </c>
      <c r="O28" s="117">
        <f ca="1">-N28*($F28-$G28)</f>
        <v>4.5039344213599106</v>
      </c>
      <c r="P28" s="437">
        <f t="shared" ca="1" si="17"/>
        <v>0.30840414913349334</v>
      </c>
      <c r="Q28" s="616" t="s">
        <v>676</v>
      </c>
      <c r="R28" s="627">
        <f ca="1">-P28*HHProps_SSW/((F28-G28)*AllProps_SSW)</f>
        <v>1.7001806683480312</v>
      </c>
      <c r="S28" s="828">
        <f ca="1">INDEX(INDIRECT("CAM_WTPCore2_"&amp;$B28&amp;"_Levels"),1,MATCH(S$4,WTPCore2_AttLevels,0))</f>
        <v>0.7</v>
      </c>
      <c r="T28" s="828">
        <f ca="1">INDEX(INDIRECT("CAM_WTPCore2_"&amp;$B28&amp;"_Levels"),1,MATCH(T$4,WTPCore2_AttLevels,0))</f>
        <v>0.95</v>
      </c>
      <c r="U28" s="436">
        <f ca="1">INDEX(INDIRECT("CAM_WTPCore2_"&amp;$B28&amp;"_LevelValues"),1,MATCH("S1 MEAN",WTPCore2_LevelValues,0))</f>
        <v>1.4360208416640492</v>
      </c>
      <c r="V28" s="436">
        <f ca="1">INDEX(INDIRECT("CAM_WTPCore2_"&amp;$B28&amp;"_LevelValues"),1,MATCH("S2 MEAN",WTPCore2_LevelValues,0))</f>
        <v>0.918140410423955</v>
      </c>
      <c r="W28" s="216">
        <f t="shared" ca="1" si="19"/>
        <v>2.3541612520880042</v>
      </c>
      <c r="X28" s="286">
        <f ca="1">-E28*(S28-T28)</f>
        <v>0.5</v>
      </c>
      <c r="Y28" s="117">
        <f t="shared" ca="1" si="16"/>
        <v>8.64</v>
      </c>
      <c r="Z28" s="117">
        <f ca="1">-Y28*($S28-$T28)</f>
        <v>2.16</v>
      </c>
      <c r="AA28" s="117">
        <f ca="1">INDEX(INDIRECT("CAM_WTPCore2_"&amp;$B28&amp;"_UnitValues"),1,MATCH("MEAN",LMH,0))</f>
        <v>9.4166450083520168</v>
      </c>
      <c r="AB28" s="117">
        <f ca="1">-AA28*($S28-$T28)</f>
        <v>2.3541612520880042</v>
      </c>
      <c r="AC28" s="767">
        <f t="shared" ca="1" si="18"/>
        <v>0.75987910592869545</v>
      </c>
      <c r="AD28" s="514" t="s">
        <v>676</v>
      </c>
      <c r="AE28" s="627">
        <f ca="1">-AC28*HHProps_CAM/((S28-T28)*AllProps_CAM)</f>
        <v>2.8239478830257903</v>
      </c>
    </row>
    <row r="29" spans="1:31" x14ac:dyDescent="0.25">
      <c r="D29" s="514"/>
      <c r="E29" s="431"/>
      <c r="F29" s="436"/>
      <c r="G29" s="436"/>
      <c r="H29" s="436"/>
      <c r="I29" s="436"/>
      <c r="J29" s="445">
        <f ca="1">SUM(J18:J28)</f>
        <v>15.56921452414203</v>
      </c>
      <c r="K29" s="603">
        <f ca="1">SUM(K18:K28)</f>
        <v>15.027137110456041</v>
      </c>
      <c r="L29" s="603"/>
      <c r="M29" s="446">
        <f ca="1">SUM(M18:M28)</f>
        <v>11.691586855049367</v>
      </c>
      <c r="N29" s="446"/>
      <c r="O29" s="446">
        <f ca="1">SUM(O18:O28)</f>
        <v>15.56977452414203</v>
      </c>
      <c r="P29" s="497">
        <f ca="1">SUM(P18:P28)</f>
        <v>13.630680689595698</v>
      </c>
      <c r="Q29" s="612"/>
      <c r="R29" s="628"/>
      <c r="S29" s="767"/>
      <c r="T29" s="767"/>
      <c r="U29" s="767"/>
      <c r="V29" s="767"/>
      <c r="W29" s="52">
        <f ca="1">SUM(W18:W28)</f>
        <v>18.566561620051544</v>
      </c>
      <c r="X29" s="532">
        <f ca="1">SUM(X18:X28)</f>
        <v>14.737162668419051</v>
      </c>
      <c r="Y29" s="603"/>
      <c r="Z29" s="446">
        <f ca="1">SUM(Z18:Z28)</f>
        <v>24.533544642283147</v>
      </c>
      <c r="AA29" s="446"/>
      <c r="AB29" s="446">
        <f ca="1">SUM(AB18:AB28)</f>
        <v>20.260303327332917</v>
      </c>
      <c r="AC29" s="52">
        <f ca="1">SUM(AC18:AC28)</f>
        <v>22.396923984808041</v>
      </c>
      <c r="AE29" s="534"/>
    </row>
    <row r="30" spans="1:31" s="60" customFormat="1" x14ac:dyDescent="0.25">
      <c r="D30" s="516"/>
      <c r="E30" s="523"/>
      <c r="F30" s="553"/>
      <c r="G30" s="553"/>
      <c r="H30" s="553"/>
      <c r="I30" s="553"/>
      <c r="J30" s="553"/>
      <c r="K30" s="830"/>
      <c r="L30" s="830"/>
      <c r="M30" s="830" t="s">
        <v>997</v>
      </c>
      <c r="N30" s="737">
        <f ca="1">AVERAGE(M29,O29)</f>
        <v>13.6306806895957</v>
      </c>
      <c r="O30" s="830"/>
      <c r="P30" s="830"/>
      <c r="Q30" s="613"/>
      <c r="R30" s="629"/>
      <c r="S30" s="835"/>
      <c r="T30" s="835"/>
      <c r="U30" s="835"/>
      <c r="V30" s="835"/>
      <c r="W30" s="44"/>
      <c r="X30" s="208"/>
      <c r="Y30" s="830"/>
      <c r="Z30" s="830" t="s">
        <v>997</v>
      </c>
      <c r="AA30" s="737">
        <f ca="1">AVERAGE(Z29,AB29)</f>
        <v>22.396923984808033</v>
      </c>
      <c r="AB30" s="830"/>
      <c r="AC30" s="830"/>
      <c r="AD30" s="114"/>
      <c r="AE30" s="535"/>
    </row>
    <row r="31" spans="1:31" x14ac:dyDescent="0.25">
      <c r="A31" s="237" t="s">
        <v>175</v>
      </c>
      <c r="B31" s="237"/>
      <c r="C31" s="62"/>
      <c r="D31" s="515"/>
      <c r="E31" s="522"/>
      <c r="F31" s="448"/>
      <c r="G31" s="448"/>
      <c r="H31" s="497"/>
      <c r="I31" s="497"/>
      <c r="J31" s="497"/>
      <c r="K31" s="54"/>
      <c r="L31" s="54"/>
      <c r="M31" s="54"/>
      <c r="N31" s="54"/>
      <c r="O31" s="54"/>
      <c r="P31" s="54"/>
      <c r="Q31" s="614"/>
      <c r="R31" s="630"/>
      <c r="S31" s="54"/>
      <c r="T31" s="54"/>
      <c r="U31" s="53"/>
      <c r="V31" s="53"/>
      <c r="W31" s="53"/>
      <c r="X31" s="531"/>
      <c r="Y31" s="54"/>
      <c r="Z31" s="54"/>
      <c r="AA31" s="54"/>
      <c r="AB31" s="54"/>
      <c r="AC31" s="54"/>
      <c r="AE31" s="536"/>
    </row>
    <row r="32" spans="1:31" x14ac:dyDescent="0.25">
      <c r="A32" s="9" t="s">
        <v>25</v>
      </c>
      <c r="B32" s="9" t="s">
        <v>266</v>
      </c>
      <c r="C32" s="9" t="str">
        <f>B32</f>
        <v>Discolour</v>
      </c>
      <c r="D32" s="514" t="s">
        <v>369</v>
      </c>
      <c r="E32" s="431">
        <f t="shared" ref="E32:E42" ca="1" si="27">INDEX(INDIRECT("ExtWTP19_"&amp;$C32&amp;"_UnitValues"),MATCH(A$31, INDIRECT("ExtWTP19_Comps_"&amp;C32),0),MATCH("HH",ExtWTP_Group,0))</f>
        <v>231</v>
      </c>
      <c r="F32" s="828">
        <f t="shared" ref="F32:G35" ca="1" si="28">INDEX(INDIRECT("SSW_WTPCore2_"&amp;$B32&amp;"_Levels"),1,MATCH(F$4,WTPCore2_AttLevels,0))</f>
        <v>6.6666666666666666E-2</v>
      </c>
      <c r="G32" s="828">
        <f t="shared" ca="1" si="28"/>
        <v>0.04</v>
      </c>
      <c r="H32" s="436">
        <f ca="1">INDEX(INDIRECT("SSW_WTPCore2_"&amp;$B32&amp;"_LevelValues"),1,MATCH("S1 MEAN",WTPCore2_LevelValues,0))</f>
        <v>3.3679929677046498</v>
      </c>
      <c r="I32" s="436">
        <f ca="1">INDEX(INDIRECT("SSW_WTPCore2_"&amp;$B32&amp;"_LevelValues"),1,MATCH("S2 MEAN",WTPCore2_LevelValues,0))</f>
        <v>0.60669022375558512</v>
      </c>
      <c r="J32" s="436">
        <f ca="1">SUM(H32:I32)</f>
        <v>3.974683191460235</v>
      </c>
      <c r="K32" s="440">
        <f t="shared" ref="K32:K37" ca="1" si="29">E32*(F32-G32)</f>
        <v>6.1599999999999993</v>
      </c>
      <c r="L32" s="117">
        <f t="shared" ref="L32:L42" ca="1" si="30">INDEX(INDIRECT("SSW_WTPCore_DCE_"&amp;$B32&amp;"_UnitValues"),MATCH("COMBINED-HH",WTPCore_Group,0),MATCH("MEAN",LMH,0))</f>
        <v>27.809917858229387</v>
      </c>
      <c r="M32" s="117">
        <f ca="1">L32*($F32-$G32)*(AllProps_SSW/HHProps_SSW)</f>
        <v>0.79130635838150276</v>
      </c>
      <c r="N32" s="117">
        <f ca="1">INDEX(INDIRECT("SSW_WTPCore2_"&amp;$B32&amp;"_UnitValues"),1,MATCH("MEAN",LMH,0))</f>
        <v>139.68750774741403</v>
      </c>
      <c r="O32" s="117">
        <f ca="1">N32*($F32-$G32)*(AllProps_SSW/HHProps_SSW)</f>
        <v>3.974683191460235</v>
      </c>
      <c r="P32" s="841">
        <f ca="1">K32*N$44/K$43</f>
        <v>3.9393947615030189</v>
      </c>
      <c r="Q32" s="611" t="s">
        <v>369</v>
      </c>
      <c r="R32" s="627">
        <f ca="1">P32*HHProps_SSW/((F32-G32)*AllProps_SSW)</f>
        <v>138.44732014110778</v>
      </c>
      <c r="S32" s="828">
        <f t="shared" ref="S32:T35" ca="1" si="31">INDEX(INDIRECT("CAM_WTPCore2_"&amp;$B32&amp;"_Levels"),1,MATCH(S$4,WTPCore2_AttLevels,0))</f>
        <v>2.2222222222222223E-2</v>
      </c>
      <c r="T32" s="828">
        <f t="shared" ca="1" si="31"/>
        <v>1.5384615384615385E-2</v>
      </c>
      <c r="U32" s="436">
        <f ca="1">INDEX(INDIRECT("CAM_WTPCore2_"&amp;$B32&amp;"_LevelValues"),1,MATCH("S1 MEAN",WTPCore2_LevelValues,0))</f>
        <v>3.1155463151224057</v>
      </c>
      <c r="V32" s="436">
        <f ca="1">INDEX(INDIRECT("CAM_WTPCore2_"&amp;$B32&amp;"_LevelValues"),1,MATCH("S2 MEAN",WTPCore2_LevelValues,0))</f>
        <v>1.3419840000849801</v>
      </c>
      <c r="W32" s="216">
        <f ca="1">SUM(U32:V32)</f>
        <v>4.4575303152073857</v>
      </c>
      <c r="X32" s="286">
        <f t="shared" ref="X32:X37" ca="1" si="32">E32*(S32-T32)</f>
        <v>1.5794871794871794</v>
      </c>
      <c r="Y32" s="117">
        <f t="shared" ref="Y32:Y42" ca="1" si="33">INDEX(INDIRECT("CAM_WTPCore_"&amp;$B32&amp;"_UnitValues"),MATCH("COMBINED-HH",WTPCore_Group,0),MATCH("MEAN",LMH,0))</f>
        <v>305.14240121580548</v>
      </c>
      <c r="Z32" s="117">
        <f ca="1">Y32*($S32-$T32)*(AllProps_CAM/HHProps_CAM)</f>
        <v>2.2457142857142856</v>
      </c>
      <c r="AA32" s="117">
        <f ca="1">INDEX(INDIRECT("CAM_WTPCore2_"&amp;$B32&amp;"_UnitValues"),1,MATCH("MEAN",LMH,0))</f>
        <v>605.67878671262065</v>
      </c>
      <c r="AB32" s="117">
        <f ca="1">AA32*($S32-$T32)*(AllProps_CAM/HHProps_CAM)</f>
        <v>4.4575303152073857</v>
      </c>
      <c r="AC32" s="767">
        <f ca="1">X32*AA$44/X$43</f>
        <v>1.9825633070993984</v>
      </c>
      <c r="AD32" s="517" t="s">
        <v>369</v>
      </c>
      <c r="AE32" s="534">
        <f ca="1">(AC32*HHProps_CAM)/((S32-T32)*AllProps_CAM)</f>
        <v>269.3860621268837</v>
      </c>
    </row>
    <row r="33" spans="1:31" x14ac:dyDescent="0.25">
      <c r="A33" s="9" t="s">
        <v>117</v>
      </c>
      <c r="B33" s="9" t="s">
        <v>265</v>
      </c>
      <c r="C33" s="9" t="str">
        <f>B33</f>
        <v>TasteSmell</v>
      </c>
      <c r="D33" s="514" t="s">
        <v>369</v>
      </c>
      <c r="E33" s="431">
        <f t="shared" ca="1" si="27"/>
        <v>255</v>
      </c>
      <c r="F33" s="828">
        <f t="shared" ca="1" si="28"/>
        <v>1.6666666666666666E-2</v>
      </c>
      <c r="G33" s="828">
        <f t="shared" ca="1" si="28"/>
        <v>1.1111111111111112E-2</v>
      </c>
      <c r="H33" s="436">
        <f ca="1">INDEX(INDIRECT("SSW_WTPCore2_"&amp;$B33&amp;"_LevelValues"),1,MATCH("S1 MEAN",WTPCore2_LevelValues,0))</f>
        <v>0.30818609087835352</v>
      </c>
      <c r="I33" s="436">
        <f ca="1">INDEX(INDIRECT("SSW_WTPCore2_"&amp;$B33&amp;"_LevelValues"),1,MATCH("S2 MEAN",WTPCore2_LevelValues,0))</f>
        <v>0.18578205633963885</v>
      </c>
      <c r="J33" s="436">
        <f ca="1">SUM(H33:I33)</f>
        <v>0.49396814721799237</v>
      </c>
      <c r="K33" s="440">
        <f t="shared" ca="1" si="29"/>
        <v>1.4166666666666665</v>
      </c>
      <c r="L33" s="117">
        <f t="shared" ca="1" si="30"/>
        <v>171.97536823750744</v>
      </c>
      <c r="M33" s="117">
        <f ca="1">L33*($F33-$G33)*(AllProps_SSW/HHProps_SSW)</f>
        <v>1.0194594594594593</v>
      </c>
      <c r="N33" s="117">
        <f ca="1">INDEX(INDIRECT("SSW_WTPCore2_"&amp;$B33&amp;"_UnitValues"),1,MATCH("MEAN",LMH,0))</f>
        <v>83.328820216603944</v>
      </c>
      <c r="O33" s="117">
        <f ca="1">N33*($F33-$G33)*(AllProps_SSW/HHProps_SSW)</f>
        <v>0.49396814721799231</v>
      </c>
      <c r="P33" s="841">
        <f t="shared" ref="P33:P42" ca="1" si="34">K33*N$44/K$43</f>
        <v>0.9059755268608134</v>
      </c>
      <c r="Q33" s="611" t="s">
        <v>369</v>
      </c>
      <c r="R33" s="627">
        <f ca="1">P33*HHProps_SSW/((F33-G33)*AllProps_SSW)</f>
        <v>152.83145729862551</v>
      </c>
      <c r="S33" s="828">
        <f t="shared" ca="1" si="31"/>
        <v>1.4285714285714285E-2</v>
      </c>
      <c r="T33" s="828">
        <f t="shared" ca="1" si="31"/>
        <v>0.01</v>
      </c>
      <c r="U33" s="436">
        <f ca="1">INDEX(INDIRECT("CAM_WTPCore2_"&amp;$B33&amp;"_LevelValues"),1,MATCH("S1 MEAN",WTPCore2_LevelValues,0))</f>
        <v>4.7204807663126298E-2</v>
      </c>
      <c r="V33" s="436">
        <f ca="1">INDEX(INDIRECT("CAM_WTPCore2_"&amp;$B33&amp;"_LevelValues"),1,MATCH("S2 MEAN",WTPCore2_LevelValues,0))</f>
        <v>0.1217094578997745</v>
      </c>
      <c r="W33" s="216">
        <f ca="1">SUM(U33:V33)</f>
        <v>0.16891426556290079</v>
      </c>
      <c r="X33" s="286">
        <f t="shared" ca="1" si="32"/>
        <v>1.0928571428571427</v>
      </c>
      <c r="Y33" s="117">
        <f t="shared" ca="1" si="33"/>
        <v>205.16697061803447</v>
      </c>
      <c r="Z33" s="117">
        <f ca="1">Y33*($S33-$T33)*(AllProps_CAM/HHProps_CAM)</f>
        <v>0.94640816326530608</v>
      </c>
      <c r="AA33" s="117">
        <f ca="1">INDEX(INDIRECT("CAM_WTPCore2_"&amp;$B33&amp;"_UnitValues"),1,MATCH("MEAN",LMH,0))</f>
        <v>36.618057097205678</v>
      </c>
      <c r="AB33" s="117">
        <f ca="1">AA33*($S33-$T33)*(AllProps_CAM/HHProps_CAM)</f>
        <v>0.16891426556290076</v>
      </c>
      <c r="AC33" s="767">
        <f t="shared" ref="AC33:AC42" ca="1" si="35">X33*AA$44/X$43</f>
        <v>1.3717480581472763</v>
      </c>
      <c r="AD33" s="517" t="s">
        <v>369</v>
      </c>
      <c r="AE33" s="534">
        <f ca="1">(AC33*HHProps_CAM)/((S33-T33)*AllProps_CAM)</f>
        <v>297.37422442578077</v>
      </c>
    </row>
    <row r="34" spans="1:31" x14ac:dyDescent="0.25">
      <c r="A34" s="9" t="s">
        <v>183</v>
      </c>
      <c r="B34" s="9" t="s">
        <v>269</v>
      </c>
      <c r="C34" s="9" t="s">
        <v>332</v>
      </c>
      <c r="D34" s="514" t="s">
        <v>369</v>
      </c>
      <c r="E34" s="431">
        <f t="shared" ca="1" si="27"/>
        <v>90</v>
      </c>
      <c r="F34" s="828">
        <f t="shared" ca="1" si="28"/>
        <v>1.4285714285714285E-2</v>
      </c>
      <c r="G34" s="828">
        <f t="shared" ca="1" si="28"/>
        <v>9.5238095238095247E-3</v>
      </c>
      <c r="H34" s="436">
        <f ca="1">INDEX(INDIRECT("SSW_WTPCore2_"&amp;$B34&amp;"_LevelValues"),1,MATCH("S1 MEAN",WTPCore2_LevelValues,0))</f>
        <v>0.39718669024665654</v>
      </c>
      <c r="I34" s="436">
        <f ca="1">INDEX(INDIRECT("SSW_WTPCore2_"&amp;$B34&amp;"_LevelValues"),1,MATCH("S2 MEAN",WTPCore2_LevelValues,0))</f>
        <v>0.53859352958370721</v>
      </c>
      <c r="J34" s="436">
        <f ca="1">SUM(H34:I34)</f>
        <v>0.93578021983036375</v>
      </c>
      <c r="K34" s="440">
        <f t="shared" ca="1" si="29"/>
        <v>0.42857142857142844</v>
      </c>
      <c r="L34" s="117">
        <f t="shared" ca="1" si="30"/>
        <v>160.37052631578945</v>
      </c>
      <c r="M34" s="117">
        <f ca="1">L34*($F34-$G34)*(AllProps_SSW/HHProps_SSW)</f>
        <v>0.8148571428571425</v>
      </c>
      <c r="N34" s="117">
        <f ca="1">INDEX(INDIRECT("SSW_WTPCore2_"&amp;$B34&amp;"_UnitValues"),1,MATCH("MEAN",LMH,0))</f>
        <v>184.16917331534088</v>
      </c>
      <c r="O34" s="117">
        <f ca="1">N34*($F34-$G34)*(AllProps_SSW/HHProps_SSW)</f>
        <v>0.93578021983036364</v>
      </c>
      <c r="P34" s="841">
        <f t="shared" ca="1" si="34"/>
        <v>0.27407662997469978</v>
      </c>
      <c r="Q34" s="611" t="s">
        <v>369</v>
      </c>
      <c r="R34" s="627">
        <f ca="1">P34*HHProps_SSW/((F34-G34)*AllProps_SSW)</f>
        <v>53.940514340691351</v>
      </c>
      <c r="S34" s="828">
        <f t="shared" ca="1" si="31"/>
        <v>2.5000000000000001E-2</v>
      </c>
      <c r="T34" s="828">
        <f t="shared" ca="1" si="31"/>
        <v>1.6666666666666666E-2</v>
      </c>
      <c r="U34" s="436">
        <f ca="1">INDEX(INDIRECT("CAM_WTPCore2_"&amp;$B34&amp;"_LevelValues"),1,MATCH("S1 MEAN",WTPCore2_LevelValues,0))</f>
        <v>5.3490671066612649E-2</v>
      </c>
      <c r="V34" s="436">
        <f ca="1">INDEX(INDIRECT("CAM_WTPCore2_"&amp;$B34&amp;"_LevelValues"),1,MATCH("S2 MEAN",WTPCore2_LevelValues,0))</f>
        <v>0.33457681646237136</v>
      </c>
      <c r="W34" s="216">
        <f ca="1">SUM(U34:V34)</f>
        <v>0.38806748752898401</v>
      </c>
      <c r="X34" s="286">
        <f t="shared" ca="1" si="32"/>
        <v>0.75000000000000011</v>
      </c>
      <c r="Y34" s="117">
        <f t="shared" ca="1" si="33"/>
        <v>27.921526908635794</v>
      </c>
      <c r="Z34" s="117">
        <f ca="1">Y34*($S34-$T34)*(AllProps_CAM/HHProps_CAM)</f>
        <v>0.25044117647058822</v>
      </c>
      <c r="AA34" s="117">
        <f ca="1">INDEX(INDIRECT("CAM_WTPCore2_"&amp;$B34&amp;"_UnitValues"),1,MATCH("MEAN",LMH,0))</f>
        <v>43.265396481954809</v>
      </c>
      <c r="AB34" s="117">
        <f ca="1">AA34*($S34-$T34)*(AllProps_CAM/HHProps_CAM)</f>
        <v>0.38806748752898401</v>
      </c>
      <c r="AC34" s="767">
        <f t="shared" ca="1" si="35"/>
        <v>0.94139572617950351</v>
      </c>
      <c r="AD34" s="517" t="s">
        <v>369</v>
      </c>
      <c r="AE34" s="534">
        <f ca="1">(AC34*HHProps_CAM)/((S34-T34)*AllProps_CAM)</f>
        <v>104.95560862086379</v>
      </c>
    </row>
    <row r="35" spans="1:31" x14ac:dyDescent="0.25">
      <c r="A35" s="9" t="s">
        <v>330</v>
      </c>
      <c r="B35" s="9" t="s">
        <v>319</v>
      </c>
      <c r="C35" s="9" t="str">
        <f>B35</f>
        <v>TempBan</v>
      </c>
      <c r="D35" s="514" t="s">
        <v>369</v>
      </c>
      <c r="E35" s="431">
        <f t="shared" ca="1" si="27"/>
        <v>155</v>
      </c>
      <c r="F35" s="828">
        <f t="shared" ca="1" si="28"/>
        <v>2.5000000000000001E-2</v>
      </c>
      <c r="G35" s="828">
        <f t="shared" ca="1" si="28"/>
        <v>1.5384615384615385E-2</v>
      </c>
      <c r="H35" s="436">
        <f ca="1">INDEX(INDIRECT("SSW_WTPCore2_"&amp;$B35&amp;"_LevelValues"),1,MATCH("S1 MEAN",WTPCore2_LevelValues,0))</f>
        <v>0.4084226191643695</v>
      </c>
      <c r="I35" s="436">
        <f ca="1">INDEX(INDIRECT("SSW_WTPCore2_"&amp;$B35&amp;"_LevelValues"),1,MATCH("S2 MEAN",WTPCore2_LevelValues,0))</f>
        <v>0.28250000903457151</v>
      </c>
      <c r="J35" s="436">
        <f t="shared" ref="J35:J42" ca="1" si="36">SUM(H35:I35)</f>
        <v>0.69092262819894101</v>
      </c>
      <c r="K35" s="440">
        <f t="shared" ca="1" si="29"/>
        <v>1.4903846153846154</v>
      </c>
      <c r="L35" s="117">
        <f t="shared" ca="1" si="30"/>
        <v>251711.99999999994</v>
      </c>
      <c r="M35" s="117">
        <f ca="1">L35*(F35-G35)/HHProps_SSW*100</f>
        <v>0.43846153846153835</v>
      </c>
      <c r="N35" s="117">
        <f ca="1">INDEX(INDIRECT("SSW_WTPCore2_"&amp;$B35&amp;"_UnitValues"),1,MATCH("MEAN",LMH,0))</f>
        <v>396644.86239644804</v>
      </c>
      <c r="O35" s="117">
        <f ca="1">N35*(F35-G35)/HHProps_SSW*100</f>
        <v>0.69092262819894101</v>
      </c>
      <c r="P35" s="841">
        <f t="shared" ca="1" si="34"/>
        <v>0.95311904975176076</v>
      </c>
      <c r="Q35" s="611" t="s">
        <v>422</v>
      </c>
      <c r="R35" s="627">
        <f ca="1">P35*HHProps_SSW/((F35-G35)*100)</f>
        <v>547166.58408149076</v>
      </c>
      <c r="S35" s="828">
        <f t="shared" ca="1" si="31"/>
        <v>0.05</v>
      </c>
      <c r="T35" s="828">
        <f t="shared" ca="1" si="31"/>
        <v>3.3333333333333333E-2</v>
      </c>
      <c r="U35" s="436">
        <f ca="1">INDEX(INDIRECT("CAM_WTPCore2_"&amp;$B35&amp;"_LevelValues"),1,MATCH("S1 MEAN",WTPCore2_LevelValues,0))</f>
        <v>0.15591350717379643</v>
      </c>
      <c r="V35" s="436">
        <f ca="1">INDEX(INDIRECT("CAM_WTPCore2_"&amp;$B35&amp;"_LevelValues"),1,MATCH("S2 MEAN",WTPCore2_LevelValues,0))</f>
        <v>5.0130987785217407E-2</v>
      </c>
      <c r="W35" s="216">
        <f t="shared" ref="W35:W42" ca="1" si="37">SUM(U35:V35)</f>
        <v>0.20604449495901384</v>
      </c>
      <c r="X35" s="286">
        <f t="shared" ca="1" si="32"/>
        <v>2.5833333333333339</v>
      </c>
      <c r="Y35" s="117">
        <f t="shared" ca="1" si="33"/>
        <v>452735.99999999994</v>
      </c>
      <c r="Z35" s="117">
        <f ca="1">Y35*(S35-T35)/HHProps_CAM*100</f>
        <v>5.7600000000000007</v>
      </c>
      <c r="AA35" s="117">
        <f ca="1">INDEX(INDIRECT("CAM_WTPCore2_"&amp;$B35&amp;"_UnitValues"),1,MATCH("MEAN",LMH,0))</f>
        <v>16195.097303778484</v>
      </c>
      <c r="AB35" s="117">
        <f ca="1">AA35*(S35-T35)/HHProps_CAM*100</f>
        <v>0.20604449495901386</v>
      </c>
      <c r="AC35" s="767">
        <f t="shared" ca="1" si="35"/>
        <v>3.2425852790627347</v>
      </c>
      <c r="AD35" s="517" t="s">
        <v>422</v>
      </c>
      <c r="AE35" s="627">
        <f ca="1">AC35*HHProps_CAM/((S35-T35)*100)</f>
        <v>254867.20293433091</v>
      </c>
    </row>
    <row r="36" spans="1:31" x14ac:dyDescent="0.25">
      <c r="A36" s="9" t="s">
        <v>615</v>
      </c>
      <c r="B36" s="9" t="s">
        <v>323</v>
      </c>
      <c r="C36" s="9" t="str">
        <f t="shared" ref="C36:C42" si="38">B36</f>
        <v>Drought</v>
      </c>
      <c r="D36" s="514" t="s">
        <v>369</v>
      </c>
      <c r="E36" s="833">
        <f t="shared" ca="1" si="27"/>
        <v>155</v>
      </c>
      <c r="F36" s="828">
        <f t="shared" ref="F36:G40" ca="1" si="39">INDEX(INDIRECT("SSW_WTPCore_DCE_"&amp;$B36&amp;"_Levels"),MATCH("COMBINED-HH",WTPCore_Group,0),MATCH(F$4,WTPCore_AttLevels,0))</f>
        <v>1.2500000000000001E-2</v>
      </c>
      <c r="G36" s="828">
        <v>8.3000000000000001E-3</v>
      </c>
      <c r="H36" s="436">
        <f t="shared" ref="H36:H40" ca="1" si="40">INDEX(INDIRECT("SSW_WTPCore_DCE_"&amp;$B36&amp;"_LevelValues"),MATCH("COMBINED-HH",WTPCore_Group,0),MATCH("S1 MEAN",WTPCore_LevelValues,0))</f>
        <v>7.0000000000000007E-2</v>
      </c>
      <c r="I36" s="436">
        <f t="shared" ref="I36:I40" ca="1" si="41">INDEX(INDIRECT("SSW_WTPCore_DCE_"&amp;$B36&amp;"_LevelValues"),MATCH("COMBINED-HH",WTPCore_Group,0),MATCH("S2 MEAN",WTPCore_LevelValues,0))</f>
        <v>0.56999999999999995</v>
      </c>
      <c r="J36" s="20">
        <f ca="1">H36</f>
        <v>7.0000000000000007E-2</v>
      </c>
      <c r="K36" s="440">
        <f t="shared" ca="1" si="29"/>
        <v>0.65100000000000013</v>
      </c>
      <c r="L36" s="117">
        <f t="shared" ca="1" si="30"/>
        <v>92736</v>
      </c>
      <c r="M36" s="117">
        <f ca="1">L36*(F36-G36)/HHProps_SSW*100</f>
        <v>7.0560000000000012E-2</v>
      </c>
      <c r="N36" s="117">
        <f ca="1">L36</f>
        <v>92736</v>
      </c>
      <c r="O36" s="117">
        <f ca="1">N36*(F36-G36)/HHProps_SSW*100</f>
        <v>7.0560000000000012E-2</v>
      </c>
      <c r="P36" s="841">
        <f t="shared" ca="1" si="34"/>
        <v>0.41632240093156919</v>
      </c>
      <c r="Q36" s="517" t="s">
        <v>422</v>
      </c>
      <c r="R36" s="627">
        <f ca="1">P36*HHProps_SSW/((F36-G36)*100)</f>
        <v>547166.58408149087</v>
      </c>
      <c r="S36" s="837">
        <f t="shared" ref="S36:T40" ca="1" si="42">INDEX(INDIRECT("CAM_WTPCore_"&amp;$B36&amp;"_Levels"),MATCH("COMBINED-HH",WTPCore_Group,0),MATCH(S$4,WTPCore_AttLevels,0))</f>
        <v>1.2500000000000001E-2</v>
      </c>
      <c r="T36" s="828">
        <v>8.3000000000000001E-3</v>
      </c>
      <c r="U36" s="767">
        <f t="shared" ref="U36:U40" ca="1" si="43">INDEX(INDIRECT("CAM_WTPCore_"&amp;$B36&amp;"_LevelValues"),MATCH("COMBINED-HH",WTPCore_Group,0),MATCH("S1 MEAN",WTPCore_LevelValues,0))</f>
        <v>1.5029903774694477</v>
      </c>
      <c r="V36" s="767">
        <f t="shared" ref="V36:V40" ca="1" si="44">INDEX(INDIRECT("CAM_WTPCore_"&amp;$B36&amp;"_LevelValues"),MATCH("COMBINED-HH",WTPCore_Group,0),MATCH("S2 MEAN",WTPCore_LevelValues,0))</f>
        <v>0.31632762130063785</v>
      </c>
      <c r="W36" s="216">
        <f ca="1">U36</f>
        <v>1.5029903774694477</v>
      </c>
      <c r="X36" s="286">
        <f t="shared" ca="1" si="32"/>
        <v>0.65100000000000013</v>
      </c>
      <c r="Y36" s="117">
        <f t="shared" ca="1" si="33"/>
        <v>472540.17467639426</v>
      </c>
      <c r="Z36" s="117">
        <f ca="1">Y36*(S36-T36)/HHProps_CAM*100</f>
        <v>1.5150143004892032</v>
      </c>
      <c r="AA36" s="117">
        <f ca="1">Y36</f>
        <v>472540.17467639426</v>
      </c>
      <c r="AB36" s="117">
        <f ca="1">AA36*(S36-T36)/HHProps_CAM*100</f>
        <v>1.5150143004892032</v>
      </c>
      <c r="AC36" s="767">
        <f t="shared" ca="1" si="35"/>
        <v>0.81713149032380916</v>
      </c>
      <c r="AD36" s="517" t="s">
        <v>422</v>
      </c>
      <c r="AE36" s="627">
        <f ca="1">AC36*HHProps_CAM/((S36-T36)*100)</f>
        <v>254867.20293433094</v>
      </c>
    </row>
    <row r="37" spans="1:31" x14ac:dyDescent="0.25">
      <c r="A37" s="9" t="s">
        <v>185</v>
      </c>
      <c r="B37" s="9" t="s">
        <v>270</v>
      </c>
      <c r="C37" s="9" t="str">
        <f t="shared" si="38"/>
        <v>LowPressure</v>
      </c>
      <c r="D37" s="514" t="s">
        <v>369</v>
      </c>
      <c r="E37" s="431">
        <f t="shared" ca="1" si="27"/>
        <v>21</v>
      </c>
      <c r="F37" s="828">
        <f t="shared" ref="F37:G39" ca="1" si="45">INDEX(INDIRECT("SSW_WTPCore2_"&amp;$B37&amp;"_Levels"),1,MATCH(F$4,WTPCore2_AttLevels,0))</f>
        <v>0.1</v>
      </c>
      <c r="G37" s="828">
        <f t="shared" ca="1" si="45"/>
        <v>6.6666666666666666E-2</v>
      </c>
      <c r="H37" s="436">
        <f ca="1">INDEX(INDIRECT("SSW_WTPCore2_"&amp;$B37&amp;"_LevelValues"),1,MATCH("S1 MEAN",WTPCore2_LevelValues,0))</f>
        <v>0.78010561855806027</v>
      </c>
      <c r="I37" s="436">
        <f ca="1">INDEX(INDIRECT("SSW_WTPCore2_"&amp;$B37&amp;"_LevelValues"),1,MATCH("S2 MEAN",WTPCore2_LevelValues,0))</f>
        <v>0.37050953266002729</v>
      </c>
      <c r="J37" s="436">
        <f t="shared" ca="1" si="36"/>
        <v>1.1506151512180876</v>
      </c>
      <c r="K37" s="440">
        <f t="shared" ca="1" si="29"/>
        <v>0.70000000000000018</v>
      </c>
      <c r="L37" s="117">
        <f t="shared" ca="1" si="30"/>
        <v>40.646907591559547</v>
      </c>
      <c r="M37" s="117">
        <f ca="1">L37*($F37-$G37)*(AllProps_SSW/HHProps_SSW)</f>
        <v>1.445714285714286</v>
      </c>
      <c r="N37" s="117">
        <f ca="1">INDEX(INDIRECT("SSW_WTPCore2_"&amp;$B37&amp;"_UnitValues"),1,MATCH("MEAN",LMH,0))</f>
        <v>32.35006265563927</v>
      </c>
      <c r="O37" s="117">
        <f ca="1">N37*($F37-$G37)*(AllProps_SSW/HHProps_SSW)</f>
        <v>1.1506151512180878</v>
      </c>
      <c r="P37" s="841">
        <f t="shared" ca="1" si="34"/>
        <v>0.44765849562534327</v>
      </c>
      <c r="Q37" s="611" t="s">
        <v>369</v>
      </c>
      <c r="R37" s="627">
        <f ca="1">P37*HHProps_SSW/((F37-G37)*AllProps_SSW)</f>
        <v>12.586120012827985</v>
      </c>
      <c r="S37" s="828">
        <f t="shared" ref="S37:T39" ca="1" si="46">INDEX(INDIRECT("CAM_WTPCore2_"&amp;$B37&amp;"_Levels"),1,MATCH(S$4,WTPCore2_AttLevels,0))</f>
        <v>9.0909090909090912E-2</v>
      </c>
      <c r="T37" s="828">
        <f t="shared" ca="1" si="46"/>
        <v>6.6666666666666666E-2</v>
      </c>
      <c r="U37" s="436">
        <f ca="1">INDEX(INDIRECT("CAM_WTPCore2_"&amp;$B37&amp;"_LevelValues"),1,MATCH("S1 MEAN",WTPCore2_LevelValues,0))</f>
        <v>2.1416418362159599</v>
      </c>
      <c r="V37" s="436">
        <f ca="1">INDEX(INDIRECT("CAM_WTPCore2_"&amp;$B37&amp;"_LevelValues"),1,MATCH("S2 MEAN",WTPCore2_LevelValues,0))</f>
        <v>0.84070533256091329</v>
      </c>
      <c r="W37" s="216">
        <f t="shared" ca="1" si="37"/>
        <v>2.9823471687768732</v>
      </c>
      <c r="X37" s="286">
        <f t="shared" ca="1" si="32"/>
        <v>0.50909090909090915</v>
      </c>
      <c r="Y37" s="117">
        <f t="shared" ca="1" si="33"/>
        <v>18.356144634344844</v>
      </c>
      <c r="Z37" s="117">
        <f ca="1">Y37*($S37-$T37)*(AllProps_SSW/HHProps_SSW)</f>
        <v>0.47482517301840643</v>
      </c>
      <c r="AA37" s="117">
        <f ca="1">INDEX(INDIRECT("CAM_WTPCore2_"&amp;$B37&amp;"_UnitValues"),1,MATCH("MEAN",LMH,0))</f>
        <v>114.29686888849665</v>
      </c>
      <c r="AB37" s="117">
        <f ca="1">AA37*($S37-$T37)*(AllProps_SSW/HHProps_SSW)</f>
        <v>2.9565593225878142</v>
      </c>
      <c r="AC37" s="767">
        <f t="shared" ca="1" si="35"/>
        <v>0.63900800807335989</v>
      </c>
      <c r="AD37" s="517" t="s">
        <v>369</v>
      </c>
      <c r="AE37" s="627">
        <f ca="1">AC37*HHProps_CAM/((S37-T37)*AllProps_CAM)</f>
        <v>24.48964201153488</v>
      </c>
    </row>
    <row r="38" spans="1:31" x14ac:dyDescent="0.25">
      <c r="A38" s="9" t="s">
        <v>3</v>
      </c>
      <c r="B38" s="9" t="s">
        <v>3</v>
      </c>
      <c r="C38" s="9" t="str">
        <f t="shared" si="38"/>
        <v>Leakage</v>
      </c>
      <c r="D38" s="514" t="s">
        <v>666</v>
      </c>
      <c r="E38" s="431">
        <f t="shared" ca="1" si="27"/>
        <v>104096</v>
      </c>
      <c r="F38" s="438">
        <f t="shared" ca="1" si="45"/>
        <v>70.5</v>
      </c>
      <c r="G38" s="438">
        <f t="shared" ca="1" si="45"/>
        <v>35.25</v>
      </c>
      <c r="H38" s="436">
        <f ca="1">INDEX(INDIRECT("SSW_WTPCore2_"&amp;$B38&amp;"_LevelValues"),1,MATCH("S1 MEAN",WTPCore2_LevelValues,0))</f>
        <v>1.2301339708448666</v>
      </c>
      <c r="I38" s="436">
        <f ca="1">INDEX(INDIRECT("SSW_WTPCore2_"&amp;$B38&amp;"_LevelValues"),1,MATCH("S2 MEAN",WTPCore2_LevelValues,0))</f>
        <v>0.44133293088857806</v>
      </c>
      <c r="J38" s="436">
        <f t="shared" ca="1" si="36"/>
        <v>1.6714669017334447</v>
      </c>
      <c r="K38" s="440">
        <f ca="1">E38*(F38-G38)/AllProps_SSW</f>
        <v>6.2298539898132423</v>
      </c>
      <c r="L38" s="117">
        <f t="shared" ca="1" si="30"/>
        <v>31319.148936170212</v>
      </c>
      <c r="M38" s="117">
        <f ca="1">L38*(F38-G38)/HHProps_SSW</f>
        <v>2</v>
      </c>
      <c r="N38" s="117">
        <f ca="1">INDEX(INDIRECT("SSW_WTPCore2_"&amp;$B38&amp;"_UnitValues"),1,MATCH("MEAN",LMH,0))</f>
        <v>26174.460418634368</v>
      </c>
      <c r="O38" s="117">
        <f ca="1">N38*(F38-G38)/HHProps_SSW</f>
        <v>1.6714669017334447</v>
      </c>
      <c r="P38" s="841">
        <f t="shared" ca="1" si="34"/>
        <v>3.9840672357790536</v>
      </c>
      <c r="Q38" s="611" t="s">
        <v>666</v>
      </c>
      <c r="R38" s="627">
        <f ca="1">P38*HHProps_SSW/((F38-G38))</f>
        <v>62388.797564540073</v>
      </c>
      <c r="S38" s="438">
        <f t="shared" ca="1" si="46"/>
        <v>13.5</v>
      </c>
      <c r="T38" s="438">
        <f t="shared" ca="1" si="46"/>
        <v>6.75</v>
      </c>
      <c r="U38" s="436">
        <f ca="1">INDEX(INDIRECT("CAM_WTPCore2_"&amp;$B38&amp;"_LevelValues"),1,MATCH("S1 MEAN",WTPCore2_LevelValues,0))</f>
        <v>3.1349723048319831</v>
      </c>
      <c r="V38" s="436">
        <f ca="1">INDEX(INDIRECT("CAM_WTPCore2_"&amp;$B38&amp;"_LevelValues"),1,MATCH("S2 MEAN",WTPCore2_LevelValues,0))</f>
        <v>5.1405797633106154E-3</v>
      </c>
      <c r="W38" s="216">
        <f t="shared" ca="1" si="37"/>
        <v>3.1401128845952937</v>
      </c>
      <c r="X38" s="286">
        <f ca="1">E38*(S38-T38)/AllProps_CAM</f>
        <v>4.9833191489361699</v>
      </c>
      <c r="Y38" s="117">
        <f t="shared" ca="1" si="33"/>
        <v>140121.48148148149</v>
      </c>
      <c r="Z38" s="117">
        <f ca="1">Y38*(S38-T38)/HHProps_CAM</f>
        <v>7.22</v>
      </c>
      <c r="AA38" s="117">
        <f ca="1">INDEX(INDIRECT("CAM_WTPCore2_"&amp;$B38&amp;"_UnitValues"),1,MATCH("MEAN",LMH,0))</f>
        <v>60941.450056590147</v>
      </c>
      <c r="AB38" s="117">
        <f ca="1">AA38*(S38-T38)/HHProps_CAM</f>
        <v>3.1401128845952937</v>
      </c>
      <c r="AC38" s="767">
        <f t="shared" ca="1" si="35"/>
        <v>6.2550337986626543</v>
      </c>
      <c r="AD38" s="517" t="s">
        <v>666</v>
      </c>
      <c r="AE38" s="627">
        <f ca="1">AC38*HHProps_CAM/((S38-T38))</f>
        <v>121393.98927774929</v>
      </c>
    </row>
    <row r="39" spans="1:31" x14ac:dyDescent="0.25">
      <c r="A39" s="9" t="s">
        <v>669</v>
      </c>
      <c r="B39" s="9" t="s">
        <v>315</v>
      </c>
      <c r="C39" s="9" t="str">
        <f t="shared" si="38"/>
        <v>Wildlife</v>
      </c>
      <c r="D39" s="514" t="s">
        <v>397</v>
      </c>
      <c r="E39" s="431">
        <f t="shared" ca="1" si="27"/>
        <v>11703</v>
      </c>
      <c r="F39" s="438">
        <f t="shared" ca="1" si="45"/>
        <v>0</v>
      </c>
      <c r="G39" s="438">
        <f t="shared" ca="1" si="45"/>
        <v>50</v>
      </c>
      <c r="H39" s="436">
        <f ca="1">INDEX(INDIRECT("SSW_WTPCore2_"&amp;$B39&amp;"_LevelValues"),1,MATCH("S1 MEAN",WTPCore2_LevelValues,0))</f>
        <v>0.31132700138064179</v>
      </c>
      <c r="I39" s="436">
        <f ca="1">INDEX(INDIRECT("SSW_WTPCore2_"&amp;$B39&amp;"_LevelValues"),1,MATCH("S2 MEAN",WTPCore2_LevelValues,0))</f>
        <v>0.13284027031511708</v>
      </c>
      <c r="J39" s="436">
        <f t="shared" ca="1" si="36"/>
        <v>0.44416727169575887</v>
      </c>
      <c r="K39" s="440">
        <f ca="1">-E39*(F39-G39)/AllProps_SSW</f>
        <v>0.99346349745331075</v>
      </c>
      <c r="L39" s="117">
        <f t="shared" ca="1" si="30"/>
        <v>10488</v>
      </c>
      <c r="M39" s="117">
        <f ca="1">-L39*(F39-G39)/HHProps_SSW</f>
        <v>0.95</v>
      </c>
      <c r="N39" s="117">
        <f ca="1">INDEX(INDIRECT("SSW_WTPCore2_"&amp;$B39&amp;"_UnitValues"),1,MATCH("MEAN",LMH,0))</f>
        <v>4903.6066795211782</v>
      </c>
      <c r="O39" s="117">
        <f ca="1">-N39*(F39-G39)/HHProps_SSW</f>
        <v>0.44416727169575887</v>
      </c>
      <c r="P39" s="841">
        <f t="shared" ca="1" si="34"/>
        <v>0.63533196389805846</v>
      </c>
      <c r="Q39" s="611" t="s">
        <v>397</v>
      </c>
      <c r="R39" s="627">
        <f ca="1">-P39*HHProps_SSW/((F39-G39))</f>
        <v>7014.064881434565</v>
      </c>
      <c r="S39" s="438">
        <f t="shared" ca="1" si="46"/>
        <v>0</v>
      </c>
      <c r="T39" s="438">
        <f t="shared" ca="1" si="46"/>
        <v>9</v>
      </c>
      <c r="U39" s="436">
        <f ca="1">INDEX(INDIRECT("CAM_WTPCore2_"&amp;$B39&amp;"_LevelValues"),1,MATCH("S1 MEAN",WTPCore2_LevelValues,0))</f>
        <v>0.16524275196632074</v>
      </c>
      <c r="V39" s="436">
        <f ca="1">INDEX(INDIRECT("CAM_WTPCore2_"&amp;$B39&amp;"_LevelValues"),1,MATCH("S2 MEAN",WTPCore2_LevelValues,0))</f>
        <v>2.2165878650139109E-2</v>
      </c>
      <c r="W39" s="216">
        <f t="shared" ca="1" si="37"/>
        <v>0.18740863061645985</v>
      </c>
      <c r="X39" s="286">
        <f ca="1">-E39*(S39-T39)/AllProps_CAM</f>
        <v>0.747</v>
      </c>
      <c r="Y39" s="117">
        <f t="shared" ca="1" si="33"/>
        <v>14803.000000000004</v>
      </c>
      <c r="Z39" s="117">
        <f ca="1">-Y39*(S39-T39)/HHProps_CAM</f>
        <v>1.0170000000000001</v>
      </c>
      <c r="AA39" s="117">
        <f ca="1">INDEX(INDIRECT("CAM_WTPCore2_"&amp;$B39&amp;"_UnitValues"),1,MATCH("MEAN",LMH,0))</f>
        <v>2727.836734528471</v>
      </c>
      <c r="AB39" s="117">
        <f ca="1">-AA39*(S39-T39)/HHProps_CAM</f>
        <v>0.18740863061645985</v>
      </c>
      <c r="AC39" s="767">
        <f t="shared" ca="1" si="35"/>
        <v>0.93763014327478533</v>
      </c>
      <c r="AD39" s="517" t="s">
        <v>397</v>
      </c>
      <c r="AE39" s="627">
        <f ca="1">-AC39*HHProps_CAM/((S39-T39))</f>
        <v>13647.727640999652</v>
      </c>
    </row>
    <row r="40" spans="1:31" x14ac:dyDescent="0.25">
      <c r="A40" s="9" t="s">
        <v>111</v>
      </c>
      <c r="B40" s="9" t="s">
        <v>271</v>
      </c>
      <c r="C40" s="9" t="str">
        <f t="shared" si="38"/>
        <v>Traffic</v>
      </c>
      <c r="D40" s="514" t="s">
        <v>369</v>
      </c>
      <c r="E40" s="833">
        <f t="shared" ca="1" si="27"/>
        <v>417</v>
      </c>
      <c r="F40" s="836">
        <f t="shared" ca="1" si="39"/>
        <v>608.33333333333337</v>
      </c>
      <c r="G40" s="836">
        <f t="shared" ca="1" si="39"/>
        <v>243.33333333333334</v>
      </c>
      <c r="H40" s="436">
        <f t="shared" ca="1" si="40"/>
        <v>0.06</v>
      </c>
      <c r="I40" s="436">
        <f t="shared" ca="1" si="41"/>
        <v>0.46</v>
      </c>
      <c r="J40" s="436">
        <f t="shared" ca="1" si="36"/>
        <v>0.52</v>
      </c>
      <c r="K40" s="440">
        <f ca="1">E40*(F40-G40)/AllProps_SSW</f>
        <v>0.25841256366723259</v>
      </c>
      <c r="L40" s="117">
        <f t="shared" ca="1" si="30"/>
        <v>786.41095890410963</v>
      </c>
      <c r="M40" s="117">
        <f ca="1">L40*(F40-G40)/HHProps_SSW</f>
        <v>0.52</v>
      </c>
      <c r="N40" s="117">
        <f ca="1">L40</f>
        <v>786.41095890410963</v>
      </c>
      <c r="O40" s="117">
        <f ca="1">N40*(F40-G40)/HHProps_SSW</f>
        <v>0.52</v>
      </c>
      <c r="P40" s="841">
        <f t="shared" ca="1" si="34"/>
        <v>0.16525797071708789</v>
      </c>
      <c r="Q40" s="517" t="s">
        <v>398</v>
      </c>
      <c r="R40" s="627">
        <f ca="1">P40*HHProps_SSW/((F40-G40))</f>
        <v>249.9243831118699</v>
      </c>
      <c r="S40" s="838">
        <f t="shared" ca="1" si="42"/>
        <v>365</v>
      </c>
      <c r="T40" s="838">
        <f t="shared" ca="1" si="42"/>
        <v>121.66666666666667</v>
      </c>
      <c r="U40" s="767">
        <f t="shared" ca="1" si="43"/>
        <v>0.21</v>
      </c>
      <c r="V40" s="767">
        <f t="shared" ca="1" si="44"/>
        <v>0.51</v>
      </c>
      <c r="W40" s="216">
        <f t="shared" ca="1" si="37"/>
        <v>0.72</v>
      </c>
      <c r="X40" s="286">
        <f ca="1">E40*(S40-T40)/AllProps_CAM</f>
        <v>0.71964539007092188</v>
      </c>
      <c r="Y40" s="117">
        <f t="shared" ca="1" si="33"/>
        <v>387.61643835616439</v>
      </c>
      <c r="Z40" s="117">
        <f ca="1">Y40*(S40-T40)/HHProps_CAM</f>
        <v>0.72</v>
      </c>
      <c r="AA40" s="117">
        <f ca="1">Y40</f>
        <v>387.61643835616439</v>
      </c>
      <c r="AB40" s="117">
        <f ca="1">AA40*(S40-T40)/HHProps_CAM</f>
        <v>0.72</v>
      </c>
      <c r="AC40" s="767">
        <f t="shared" ca="1" si="35"/>
        <v>0.9032947927700633</v>
      </c>
      <c r="AD40" s="517" t="s">
        <v>398</v>
      </c>
      <c r="AE40" s="627">
        <f ca="1">AC40*HHProps_CAM/((S40-T40))</f>
        <v>486.29431994333549</v>
      </c>
    </row>
    <row r="41" spans="1:31" x14ac:dyDescent="0.25">
      <c r="A41" s="9" t="s">
        <v>370</v>
      </c>
      <c r="B41" s="9" t="s">
        <v>399</v>
      </c>
      <c r="C41" s="9" t="str">
        <f t="shared" si="38"/>
        <v>NotSafe</v>
      </c>
      <c r="D41" s="514" t="s">
        <v>369</v>
      </c>
      <c r="E41" s="431">
        <f t="shared" ca="1" si="27"/>
        <v>431</v>
      </c>
      <c r="F41" s="828">
        <f ca="1">INDEX(INDIRECT("SSW_WTPCore2_"&amp;$B41&amp;"_Levels"),1,MATCH(F$4,WTPCore2_AttLevels,0))</f>
        <v>1.2500000000000001E-2</v>
      </c>
      <c r="G41" s="828">
        <f ca="1">INDEX(INDIRECT("SSW_WTPCore2_"&amp;$B41&amp;"_Levels"),1,MATCH(G$4,WTPCore2_AttLevels,0))</f>
        <v>8.3333333333333332E-3</v>
      </c>
      <c r="H41" s="436">
        <f ca="1">INDEX(INDIRECT("SSW_WTPCore2_"&amp;$B41&amp;"_LevelValues"),1,MATCH("S1 MEAN",WTPCore2_LevelValues,0))</f>
        <v>0.88929876177631462</v>
      </c>
      <c r="I41" s="436">
        <f ca="1">INDEX(INDIRECT("SSW_WTPCore2_"&amp;$B41&amp;"_LevelValues"),1,MATCH("S2 MEAN",WTPCore2_LevelValues,0))</f>
        <v>0.22437782965097952</v>
      </c>
      <c r="J41" s="436">
        <f t="shared" ca="1" si="36"/>
        <v>1.1136765914272941</v>
      </c>
      <c r="K41" s="440">
        <f ca="1">E41*(F41-G41)</f>
        <v>1.7958333333333336</v>
      </c>
      <c r="L41" s="117">
        <f t="shared" ca="1" si="30"/>
        <v>751.24482173174863</v>
      </c>
      <c r="M41" s="117">
        <f ca="1">L41*($F41-$G41)*(AllProps_SSW/HHProps_SSW)</f>
        <v>3.3400000000000003</v>
      </c>
      <c r="N41" s="117">
        <f ca="1">INDEX(INDIRECT("SSW_WTPCore2_"&amp;$B41&amp;"_UnitValues"),1,MATCH("MEAN",LMH,0))</f>
        <v>250.4921474232392</v>
      </c>
      <c r="O41" s="117">
        <f ca="1">N41*($F41-$G41)*(AllProps_SSW/HHProps_SSW)</f>
        <v>1.1136765914272941</v>
      </c>
      <c r="P41" s="841">
        <f t="shared" ca="1" si="34"/>
        <v>1.1484572119912078</v>
      </c>
      <c r="Q41" s="611" t="s">
        <v>369</v>
      </c>
      <c r="R41" s="627">
        <f ca="1">P41*HHProps_SSW/((F41-G41)*AllProps_SSW)</f>
        <v>258.31512978708861</v>
      </c>
      <c r="S41" s="828">
        <f ca="1">INDEX(INDIRECT("CAM_WTPCore2_"&amp;$B41&amp;"_Levels"),1,MATCH(S$4,WTPCore2_AttLevels,0))</f>
        <v>1.2500000000000001E-2</v>
      </c>
      <c r="T41" s="828">
        <f ca="1">INDEX(INDIRECT("CAM_WTPCore2_"&amp;$B41&amp;"_Levels"),1,MATCH(T$4,WTPCore2_AttLevels,0))</f>
        <v>8.3333333333333332E-3</v>
      </c>
      <c r="U41" s="436">
        <f ca="1">INDEX(INDIRECT("CAM_WTPCore2_"&amp;$B41&amp;"_LevelValues"),1,MATCH("S1 MEAN",WTPCore2_LevelValues,0))</f>
        <v>1.0483009561625427</v>
      </c>
      <c r="V41" s="436">
        <f ca="1">INDEX(INDIRECT("CAM_WTPCore2_"&amp;$B41&amp;"_LevelValues"),1,MATCH("S2 MEAN",WTPCore2_LevelValues,0))</f>
        <v>1.4106837870846367</v>
      </c>
      <c r="W41" s="216">
        <f t="shared" ca="1" si="37"/>
        <v>2.4589847432471794</v>
      </c>
      <c r="X41" s="286">
        <f ca="1">E41*(S41-T41)</f>
        <v>1.7958333333333336</v>
      </c>
      <c r="Y41" s="117">
        <f t="shared" ca="1" si="33"/>
        <v>495.01276595744673</v>
      </c>
      <c r="Z41" s="117">
        <f ca="1">Y41*($S41-$T41)*(AllProps_CAM/HHProps_CAM)</f>
        <v>2.2200000000000002</v>
      </c>
      <c r="AA41" s="117">
        <f ca="1">INDEX(INDIRECT("CAM_WTPCore2_"&amp;$B41&amp;"_UnitValues"),1,MATCH("MEAN",LMH,0))</f>
        <v>548.30127891979646</v>
      </c>
      <c r="AB41" s="117">
        <f ca="1">AA41*($S41-$T41)*(AllProps_CAM/HHProps_CAM)</f>
        <v>2.458984743247179</v>
      </c>
      <c r="AC41" s="767">
        <f t="shared" ca="1" si="35"/>
        <v>2.2541197665742558</v>
      </c>
      <c r="AD41" s="517" t="s">
        <v>369</v>
      </c>
      <c r="AE41" s="627">
        <f ca="1">AC41*HHProps_CAM/((S41-T41)*AllProps_CAM)</f>
        <v>502.62074795102541</v>
      </c>
    </row>
    <row r="42" spans="1:31" x14ac:dyDescent="0.25">
      <c r="A42" s="9" t="s">
        <v>324</v>
      </c>
      <c r="B42" s="9" t="s">
        <v>318</v>
      </c>
      <c r="C42" s="9" t="str">
        <f t="shared" si="38"/>
        <v>Metering</v>
      </c>
      <c r="D42" s="514" t="s">
        <v>670</v>
      </c>
      <c r="E42" s="431">
        <f t="shared" ca="1" si="27"/>
        <v>7</v>
      </c>
      <c r="F42" s="828">
        <f ca="1">INDEX(INDIRECT("SSW_WTPCore2_"&amp;$B42&amp;"_Levels"),1,MATCH(F$4,WTPCore2_AttLevels,0))</f>
        <v>0.33</v>
      </c>
      <c r="G42" s="828">
        <f ca="1">INDEX(INDIRECT("SSW_WTPCore2_"&amp;$B42&amp;"_Levels"),1,MATCH(G$4,WTPCore2_AttLevels,0))</f>
        <v>0.5</v>
      </c>
      <c r="H42" s="436">
        <f ca="1">INDEX(INDIRECT("SSW_WTPCore2_"&amp;$B42&amp;"_LevelValues"),1,MATCH("S1 MEAN",WTPCore2_LevelValues,0))</f>
        <v>3.9796847923577343</v>
      </c>
      <c r="I42" s="436">
        <f ca="1">INDEX(INDIRECT("SSW_WTPCore2_"&amp;$B42&amp;"_LevelValues"),1,MATCH("S2 MEAN",WTPCore2_LevelValues,0))</f>
        <v>0.52424962900217631</v>
      </c>
      <c r="J42" s="436">
        <f t="shared" ca="1" si="36"/>
        <v>4.5039344213599106</v>
      </c>
      <c r="K42" s="440">
        <f ca="1">-E42*(F42-G42)</f>
        <v>1.19</v>
      </c>
      <c r="L42" s="117">
        <f t="shared" ca="1" si="30"/>
        <v>1.7719298245614032</v>
      </c>
      <c r="M42" s="117">
        <f ca="1">-L42*($F42-$G42)</f>
        <v>0.30122807017543851</v>
      </c>
      <c r="N42" s="117">
        <f ca="1">INDEX(INDIRECT("SSW_WTPCore2_"&amp;$B42&amp;"_UnitValues"),1,MATCH("MEAN",LMH,0))</f>
        <v>26.493731890352418</v>
      </c>
      <c r="O42" s="117">
        <f ca="1">-N42*($F42-$G42)</f>
        <v>4.5039344213599106</v>
      </c>
      <c r="P42" s="841">
        <f t="shared" ca="1" si="34"/>
        <v>0.76101944256308329</v>
      </c>
      <c r="Q42" s="616" t="s">
        <v>676</v>
      </c>
      <c r="R42" s="627">
        <f ca="1">-P42*HHProps_SSW/((F42-G42)*AllProps_SSW)</f>
        <v>4.1953733376093281</v>
      </c>
      <c r="S42" s="828">
        <f ca="1">INDEX(INDIRECT("CAM_WTPCore2_"&amp;$B42&amp;"_Levels"),1,MATCH(S$4,WTPCore2_AttLevels,0))</f>
        <v>0.7</v>
      </c>
      <c r="T42" s="828">
        <f ca="1">INDEX(INDIRECT("CAM_WTPCore2_"&amp;$B42&amp;"_Levels"),1,MATCH(T$4,WTPCore2_AttLevels,0))</f>
        <v>0.95</v>
      </c>
      <c r="U42" s="436">
        <f ca="1">INDEX(INDIRECT("CAM_WTPCore2_"&amp;$B42&amp;"_LevelValues"),1,MATCH("S1 MEAN",WTPCore2_LevelValues,0))</f>
        <v>1.4360208416640492</v>
      </c>
      <c r="V42" s="436">
        <f ca="1">INDEX(INDIRECT("CAM_WTPCore2_"&amp;$B42&amp;"_LevelValues"),1,MATCH("S2 MEAN",WTPCore2_LevelValues,0))</f>
        <v>0.918140410423955</v>
      </c>
      <c r="W42" s="216">
        <f t="shared" ca="1" si="37"/>
        <v>2.3541612520880042</v>
      </c>
      <c r="X42" s="286">
        <f ca="1">-E42*(S42-T42)</f>
        <v>1.75</v>
      </c>
      <c r="Y42" s="117">
        <f t="shared" ca="1" si="33"/>
        <v>8.64</v>
      </c>
      <c r="Z42" s="117">
        <f ca="1">-Y42*($S42-$T42)</f>
        <v>2.16</v>
      </c>
      <c r="AA42" s="117">
        <f ca="1">INDEX(INDIRECT("CAM_WTPCore2_"&amp;$B42&amp;"_UnitValues"),1,MATCH("MEAN",LMH,0))</f>
        <v>9.4166450083520168</v>
      </c>
      <c r="AB42" s="117">
        <f ca="1">-AA42*($S42-$T42)</f>
        <v>2.3541612520880042</v>
      </c>
      <c r="AC42" s="767">
        <f t="shared" ca="1" si="35"/>
        <v>2.1965900277521744</v>
      </c>
      <c r="AD42" s="514" t="s">
        <v>676</v>
      </c>
      <c r="AE42" s="627">
        <f ca="1">-AC42*HHProps_CAM/((S42-T42)*AllProps_CAM)</f>
        <v>8.1632140038449599</v>
      </c>
    </row>
    <row r="43" spans="1:31" x14ac:dyDescent="0.25">
      <c r="D43" s="514"/>
      <c r="E43" s="431"/>
      <c r="F43" s="436"/>
      <c r="G43" s="436"/>
      <c r="H43" s="436"/>
      <c r="I43" s="436"/>
      <c r="J43" s="445">
        <f ca="1">SUM(J32:J42)</f>
        <v>15.56921452414203</v>
      </c>
      <c r="K43" s="603">
        <f ca="1">SUM(K32:K42)</f>
        <v>21.314186094889834</v>
      </c>
      <c r="L43" s="603"/>
      <c r="M43" s="446">
        <f ca="1">SUM(M32:M42)</f>
        <v>11.691586855049367</v>
      </c>
      <c r="N43" s="446"/>
      <c r="O43" s="446">
        <f ca="1">SUM(O32:O42)</f>
        <v>15.56977452414203</v>
      </c>
      <c r="P43" s="497">
        <f ca="1">SUM(P32:P42)</f>
        <v>13.630680689595698</v>
      </c>
      <c r="Q43" s="612"/>
      <c r="R43" s="628"/>
      <c r="S43" s="767"/>
      <c r="T43" s="767"/>
      <c r="U43" s="767"/>
      <c r="V43" s="767"/>
      <c r="W43" s="52">
        <f ca="1">SUM(W32:W42)</f>
        <v>18.566561620051544</v>
      </c>
      <c r="X43" s="532">
        <f ca="1">SUM(X32:X42)</f>
        <v>17.161566437108988</v>
      </c>
      <c r="Y43" s="603"/>
      <c r="Z43" s="446">
        <f ca="1">SUM(Z32:Z42)</f>
        <v>24.529403098957786</v>
      </c>
      <c r="AA43" s="446"/>
      <c r="AB43" s="446">
        <f ca="1">SUM(AB32:AB42)</f>
        <v>18.552797696882241</v>
      </c>
      <c r="AC43" s="52">
        <f ca="1">SUM(AC32:AC42)</f>
        <v>21.541100397920012</v>
      </c>
      <c r="AE43" s="534"/>
    </row>
    <row r="44" spans="1:31" s="60" customFormat="1" x14ac:dyDescent="0.25">
      <c r="D44" s="516"/>
      <c r="E44" s="523"/>
      <c r="F44" s="553"/>
      <c r="G44" s="553"/>
      <c r="H44" s="553"/>
      <c r="I44" s="553"/>
      <c r="J44" s="553"/>
      <c r="K44" s="829"/>
      <c r="L44" s="829"/>
      <c r="M44" s="830" t="s">
        <v>997</v>
      </c>
      <c r="N44" s="737">
        <f ca="1">AVERAGE(M43,O43)</f>
        <v>13.6306806895957</v>
      </c>
      <c r="O44" s="830"/>
      <c r="P44" s="177"/>
      <c r="Q44" s="617"/>
      <c r="R44" s="629"/>
      <c r="S44" s="197"/>
      <c r="T44" s="197"/>
      <c r="U44" s="197"/>
      <c r="V44" s="197"/>
      <c r="W44" s="17"/>
      <c r="X44" s="829"/>
      <c r="Y44" s="829"/>
      <c r="Z44" s="830" t="s">
        <v>997</v>
      </c>
      <c r="AA44" s="737">
        <f ca="1">AVERAGE(Z43,AB43)</f>
        <v>21.541100397920012</v>
      </c>
      <c r="AB44" s="830"/>
      <c r="AC44" s="177"/>
      <c r="AE44" s="535"/>
    </row>
    <row r="45" spans="1:31" x14ac:dyDescent="0.25">
      <c r="A45" s="61" t="s">
        <v>164</v>
      </c>
      <c r="B45" s="237"/>
      <c r="D45" s="515"/>
      <c r="E45" s="522"/>
      <c r="F45" s="448"/>
      <c r="G45" s="448"/>
      <c r="H45" s="497"/>
      <c r="I45" s="497"/>
      <c r="J45" s="497"/>
      <c r="K45" s="531"/>
      <c r="L45" s="531"/>
      <c r="M45" s="531"/>
      <c r="N45" s="531"/>
      <c r="O45" s="531"/>
      <c r="P45" s="54"/>
      <c r="Q45" s="614"/>
      <c r="R45" s="630"/>
      <c r="S45" s="54"/>
      <c r="T45" s="54"/>
      <c r="U45" s="53"/>
      <c r="V45" s="53"/>
      <c r="W45" s="53"/>
      <c r="X45" s="531"/>
      <c r="Y45" s="531"/>
      <c r="Z45" s="531"/>
      <c r="AA45" s="531"/>
      <c r="AB45" s="531"/>
      <c r="AC45" s="54"/>
      <c r="AE45" s="536"/>
    </row>
    <row r="46" spans="1:31" x14ac:dyDescent="0.25">
      <c r="A46" s="9" t="s">
        <v>671</v>
      </c>
      <c r="B46" s="9" t="s">
        <v>269</v>
      </c>
      <c r="C46" s="9" t="s">
        <v>328</v>
      </c>
      <c r="D46" s="514" t="s">
        <v>369</v>
      </c>
      <c r="E46" s="431">
        <f ca="1">INDEX(INDIRECT("ExtWTP19_"&amp;$C46&amp;"_UnitValues"),MATCH(A$45, INDIRECT("ExtWTP19_Comps_"&amp;C46),0),MATCH("HH",ExtWTP_Group,0))</f>
        <v>310</v>
      </c>
      <c r="F46" s="828">
        <f ca="1">INDEX(INDIRECT("SSW_WTPCore2_"&amp;$B46&amp;"_Levels"),1,MATCH(F$4,WTPCore2_AttLevels,0))</f>
        <v>1.4285714285714285E-2</v>
      </c>
      <c r="G46" s="828">
        <f ca="1">INDEX(INDIRECT("SSW_WTPCore2_"&amp;$B46&amp;"_Levels"),1,MATCH(G$4,WTPCore2_AttLevels,0))</f>
        <v>9.5238095238095247E-3</v>
      </c>
      <c r="H46" s="436">
        <f ca="1">INDEX(INDIRECT("SSW_WTPCore2_"&amp;$B46&amp;"_LevelValues"),1,MATCH("S1 MEAN",WTPCore2_LevelValues,0))</f>
        <v>0.39718669024665654</v>
      </c>
      <c r="I46" s="436">
        <f ca="1">INDEX(INDIRECT("SSW_WTPCore2_"&amp;$B46&amp;"_LevelValues"),1,MATCH("S2 MEAN",WTPCore2_LevelValues,0))</f>
        <v>0.53859352958370721</v>
      </c>
      <c r="J46" s="436">
        <f ca="1">SUM(H46:I46)</f>
        <v>0.93578021983036375</v>
      </c>
      <c r="K46" s="440">
        <f ca="1">E46*(F46-G46)</f>
        <v>1.4761904761904758</v>
      </c>
      <c r="L46" s="117">
        <f ca="1">INDEX(INDIRECT("SSW_WTPCore_DCE_"&amp;$B46&amp;"_UnitValues"),MATCH("COMBINED-HH",WTPCore_Group,0),MATCH("MEAN",LMH,0))</f>
        <v>160.37052631578945</v>
      </c>
      <c r="M46" s="117">
        <f ca="1">L46*($F46-$G46)*(AllProps_SSW/HHProps_SSW)</f>
        <v>0.8148571428571425</v>
      </c>
      <c r="N46" s="117">
        <f ca="1">INDEX(INDIRECT("SSW_WTPCore2_"&amp;$B46&amp;"_UnitValues"),1,MATCH("MEAN",LMH,0))</f>
        <v>184.16917331534088</v>
      </c>
      <c r="O46" s="117">
        <f ca="1">N46*($F46-$G46)*(AllProps_SSW/HHProps_SSW)</f>
        <v>0.93578021983036364</v>
      </c>
      <c r="P46" s="437">
        <f ca="1">K46*N$52/K$51</f>
        <v>0.30242964014493562</v>
      </c>
      <c r="Q46" s="611" t="s">
        <v>369</v>
      </c>
      <c r="R46" s="627">
        <f ca="1">P46*HHProps_SSW/((F46-G46)*AllProps_SSW)</f>
        <v>59.52061780237851</v>
      </c>
      <c r="S46" s="828">
        <f ca="1">INDEX(INDIRECT("CAM_WTPCore2_"&amp;$B46&amp;"_Levels"),1,MATCH(S$4,WTPCore2_AttLevels,0))</f>
        <v>2.5000000000000001E-2</v>
      </c>
      <c r="T46" s="828">
        <f ca="1">INDEX(INDIRECT("CAM_WTPCore2_"&amp;$B46&amp;"_Levels"),1,MATCH(T$4,WTPCore2_AttLevels,0))</f>
        <v>1.6666666666666666E-2</v>
      </c>
      <c r="U46" s="436">
        <f ca="1">INDEX(INDIRECT("CAM_WTPCore2_"&amp;$B46&amp;"_LevelValues"),1,MATCH("S1 MEAN",WTPCore2_LevelValues,0))</f>
        <v>5.3490671066612649E-2</v>
      </c>
      <c r="V46" s="436">
        <f ca="1">INDEX(INDIRECT("CAM_WTPCore2_"&amp;$B46&amp;"_LevelValues"),1,MATCH("S2 MEAN",WTPCore2_LevelValues,0))</f>
        <v>0.33457681646237136</v>
      </c>
      <c r="W46" s="216">
        <f ca="1">SUM(U46:V46)</f>
        <v>0.38806748752898401</v>
      </c>
      <c r="X46" s="286">
        <f ca="1">E46*(S46-T46)</f>
        <v>2.5833333333333339</v>
      </c>
      <c r="Y46" s="117">
        <f ca="1">INDEX(INDIRECT("CAM_WTPCore_"&amp;$B46&amp;"_UnitValues"),MATCH("COMBINED-HH",WTPCore_Group,0),MATCH("MEAN",LMH,0))</f>
        <v>27.921526908635794</v>
      </c>
      <c r="Z46" s="117">
        <f ca="1">Y46*($S46-$T46)*(AllProps_CAM/HHProps_CAM)</f>
        <v>0.25044117647058822</v>
      </c>
      <c r="AA46" s="117">
        <f ca="1">INDEX(INDIRECT("CAM_WTPCore2_"&amp;$B46&amp;"_UnitValues"),1,MATCH("MEAN",LMH,0))</f>
        <v>43.265396481954809</v>
      </c>
      <c r="AB46" s="117">
        <f ca="1">AA46*($S46-$T46)*(AllProps_CAM/HHProps_CAM)</f>
        <v>0.38806748752898401</v>
      </c>
      <c r="AC46" s="767">
        <f ca="1">X46*AA$52/X$51</f>
        <v>1.0623688853312054</v>
      </c>
      <c r="AD46" s="517" t="s">
        <v>369</v>
      </c>
      <c r="AE46" s="627">
        <f ca="1">AC46*HHProps_CAM/((S46-T46)*AllProps_CAM)</f>
        <v>118.44282891777694</v>
      </c>
    </row>
    <row r="47" spans="1:31" x14ac:dyDescent="0.25">
      <c r="A47" s="9" t="s">
        <v>182</v>
      </c>
      <c r="B47" s="9" t="s">
        <v>269</v>
      </c>
      <c r="C47" s="9" t="s">
        <v>326</v>
      </c>
      <c r="D47" s="514" t="s">
        <v>369</v>
      </c>
      <c r="E47" s="431">
        <f ca="1">INDEX(INDIRECT("ExtWTP19_"&amp;$C47&amp;"_UnitValues"),MATCH(A$45, INDIRECT("ExtWTP19_Comps_"&amp;C47),0),MATCH("HH",ExtWTP_Group,0))</f>
        <v>174</v>
      </c>
      <c r="F47" s="828">
        <f ca="1">INDEX(INDIRECT("SSW_WTPCore2_"&amp;$B47&amp;"_Levels"),1,MATCH(F$4,WTPCore2_AttLevels,0))</f>
        <v>1.4285714285714285E-2</v>
      </c>
      <c r="G47" s="828">
        <f ca="1">INDEX(INDIRECT("SSW_WTPCore2_"&amp;$B47&amp;"_Levels"),1,MATCH(G$4,WTPCore2_AttLevels,0))</f>
        <v>9.5238095238095247E-3</v>
      </c>
      <c r="H47" s="436">
        <f ca="1">INDEX(INDIRECT("SSW_WTPCore2_"&amp;$B47&amp;"_LevelValues"),1,MATCH("S1 MEAN",WTPCore2_LevelValues,0))</f>
        <v>0.39718669024665654</v>
      </c>
      <c r="I47" s="436">
        <f ca="1">INDEX(INDIRECT("SSW_WTPCore2_"&amp;$B47&amp;"_LevelValues"),1,MATCH("S2 MEAN",WTPCore2_LevelValues,0))</f>
        <v>0.53859352958370721</v>
      </c>
      <c r="J47" s="436">
        <f ca="1">SUM(H47:I47)</f>
        <v>0.93578021983036375</v>
      </c>
      <c r="K47" s="440">
        <f ca="1">E47*(F47-G47)</f>
        <v>0.82857142857142829</v>
      </c>
      <c r="L47" s="117">
        <f ca="1">INDEX(INDIRECT("SSW_WTPCore_DCE_"&amp;$B47&amp;"_UnitValues"),MATCH("COMBINED-HH",WTPCore_Group,0),MATCH("MEAN",LMH,0))</f>
        <v>160.37052631578945</v>
      </c>
      <c r="M47" s="117">
        <f ca="1">L47*($F47-$G47)*(AllProps_SSW/HHProps_SSW)</f>
        <v>0.8148571428571425</v>
      </c>
      <c r="N47" s="117">
        <f ca="1">INDEX(INDIRECT("SSW_WTPCore2_"&amp;$B47&amp;"_UnitValues"),1,MATCH("MEAN",LMH,0))</f>
        <v>184.16917331534088</v>
      </c>
      <c r="O47" s="117">
        <f ca="1">N47*($F47-$G47)*(AllProps_SSW/HHProps_SSW)</f>
        <v>0.93578021983036364</v>
      </c>
      <c r="P47" s="437">
        <f t="shared" ref="P47:P50" ca="1" si="47">K47*N$52/K$51</f>
        <v>0.16975083027489934</v>
      </c>
      <c r="Q47" s="611" t="s">
        <v>369</v>
      </c>
      <c r="R47" s="627">
        <f ca="1">P47*HHProps_SSW/((F47-G47)*AllProps_SSW)</f>
        <v>33.408346766496329</v>
      </c>
      <c r="S47" s="828">
        <f ca="1">INDEX(INDIRECT("CAM_WTPCore2_"&amp;$B47&amp;"_Levels"),1,MATCH(S$4,WTPCore2_AttLevels,0))</f>
        <v>2.5000000000000001E-2</v>
      </c>
      <c r="T47" s="828">
        <f ca="1">INDEX(INDIRECT("CAM_WTPCore2_"&amp;$B47&amp;"_Levels"),1,MATCH(T$4,WTPCore2_AttLevels,0))</f>
        <v>1.6666666666666666E-2</v>
      </c>
      <c r="U47" s="436">
        <f ca="1">INDEX(INDIRECT("CAM_WTPCore2_"&amp;$B47&amp;"_LevelValues"),1,MATCH("S1 MEAN",WTPCore2_LevelValues,0))</f>
        <v>5.3490671066612649E-2</v>
      </c>
      <c r="V47" s="436">
        <f ca="1">INDEX(INDIRECT("CAM_WTPCore2_"&amp;$B47&amp;"_LevelValues"),1,MATCH("S2 MEAN",WTPCore2_LevelValues,0))</f>
        <v>0.33457681646237136</v>
      </c>
      <c r="W47" s="216">
        <f ca="1">SUM(U47:V47)</f>
        <v>0.38806748752898401</v>
      </c>
      <c r="X47" s="286">
        <f ca="1">E47*(S47-T47)</f>
        <v>1.4500000000000002</v>
      </c>
      <c r="Y47" s="117">
        <f ca="1">INDEX(INDIRECT("CAM_WTPCore_"&amp;$B47&amp;"_UnitValues"),MATCH("COMBINED-HH",WTPCore_Group,0),MATCH("MEAN",LMH,0))</f>
        <v>27.921526908635794</v>
      </c>
      <c r="Z47" s="117">
        <f ca="1">Y47*($S47-$T47)*(AllProps_CAM/HHProps_CAM)</f>
        <v>0.25044117647058822</v>
      </c>
      <c r="AA47" s="117">
        <f ca="1">INDEX(INDIRECT("CAM_WTPCore2_"&amp;$B47&amp;"_UnitValues"),1,MATCH("MEAN",LMH,0))</f>
        <v>43.265396481954809</v>
      </c>
      <c r="AB47" s="117">
        <f ca="1">AA47*($S47-$T47)*(AllProps_CAM/HHProps_CAM)</f>
        <v>0.38806748752898401</v>
      </c>
      <c r="AC47" s="767">
        <f t="shared" ref="AC47:AC50" ca="1" si="48">X47*AA$52/X$51</f>
        <v>0.59629737434719265</v>
      </c>
      <c r="AD47" s="517" t="s">
        <v>369</v>
      </c>
      <c r="AE47" s="627">
        <f ca="1">AC47*HHProps_CAM/((S47-T47)*AllProps_CAM)</f>
        <v>66.480813650623162</v>
      </c>
    </row>
    <row r="48" spans="1:31" x14ac:dyDescent="0.25">
      <c r="A48" s="9" t="s">
        <v>615</v>
      </c>
      <c r="B48" s="9" t="s">
        <v>323</v>
      </c>
      <c r="C48" s="9" t="str">
        <f>B48</f>
        <v>Drought</v>
      </c>
      <c r="D48" s="514" t="s">
        <v>369</v>
      </c>
      <c r="E48" s="833">
        <f ca="1">INDEX(INDIRECT("ExtWTP19_"&amp;$C48&amp;"_UnitValues"),MATCH(A$45, INDIRECT("ExtWTP19_Comps_"&amp;C48),0),MATCH("HH",ExtWTP_Group,0))</f>
        <v>172</v>
      </c>
      <c r="F48" s="828">
        <f t="shared" ref="F48" ca="1" si="49">INDEX(INDIRECT("SSW_WTPCore_DCE_"&amp;$B48&amp;"_Levels"),MATCH("COMBINED-HH",WTPCore_Group,0),MATCH(F$4,WTPCore_AttLevels,0))</f>
        <v>1.2500000000000001E-2</v>
      </c>
      <c r="G48" s="828">
        <v>8.3000000000000001E-3</v>
      </c>
      <c r="H48" s="436">
        <f ca="1">INDEX(INDIRECT("SSW_WTPCore_DCE_"&amp;$B48&amp;"_LevelValues"),MATCH("COMBINED-HH",WTPCore_Group,0),MATCH("S1 MEAN",WTPCore_LevelValues,0))</f>
        <v>7.0000000000000007E-2</v>
      </c>
      <c r="I48" s="436">
        <f ca="1">INDEX(INDIRECT("SSW_WTPCore_DCE_"&amp;$B48&amp;"_LevelValues"),MATCH("COMBINED-HH",WTPCore_Group,0),MATCH("S2 MEAN",WTPCore_LevelValues,0))</f>
        <v>0.56999999999999995</v>
      </c>
      <c r="J48" s="20">
        <f ca="1">H48</f>
        <v>7.0000000000000007E-2</v>
      </c>
      <c r="K48" s="440">
        <f ca="1">E48*(F48-G48)</f>
        <v>0.72240000000000015</v>
      </c>
      <c r="L48" s="117">
        <f ca="1">INDEX(INDIRECT("SSW_WTPCore_DCE_"&amp;$B48&amp;"_UnitValues"),MATCH("COMBINED-HH",WTPCore_Group,0),MATCH("MEAN",LMH,0))</f>
        <v>92736</v>
      </c>
      <c r="M48" s="117">
        <f ca="1">L48*(F48-G48)/HHProps_SSW*100</f>
        <v>7.0560000000000012E-2</v>
      </c>
      <c r="N48" s="117">
        <f ca="1">L48</f>
        <v>92736</v>
      </c>
      <c r="O48" s="117">
        <f ca="1">N48*(F48-G48)/HHProps_SSW*100</f>
        <v>7.0560000000000012E-2</v>
      </c>
      <c r="P48" s="437">
        <f t="shared" ca="1" si="47"/>
        <v>0.14799931009208819</v>
      </c>
      <c r="Q48" s="517" t="s">
        <v>422</v>
      </c>
      <c r="R48" s="860">
        <f ca="1">P48*HHProps_SSW/((F48-G48)*100)</f>
        <v>194513.37897817304</v>
      </c>
      <c r="S48" s="837">
        <f t="shared" ref="S48" ca="1" si="50">INDEX(INDIRECT("CAM_WTPCore_"&amp;$B48&amp;"_Levels"),MATCH("COMBINED-HH",WTPCore_Group,0),MATCH(S$4,WTPCore_AttLevels,0))</f>
        <v>1.2500000000000001E-2</v>
      </c>
      <c r="T48" s="828">
        <v>8.3000000000000001E-3</v>
      </c>
      <c r="U48" s="767">
        <f ca="1">INDEX(INDIRECT("CAM_WTPCore_"&amp;$B48&amp;"_LevelValues"),MATCH("COMBINED-HH",WTPCore_Group,0),MATCH("S1 MEAN",WTPCore_LevelValues,0))</f>
        <v>1.5029903774694477</v>
      </c>
      <c r="V48" s="767">
        <f ca="1">INDEX(INDIRECT("CAM_WTPCore_"&amp;$B48&amp;"_LevelValues"),MATCH("COMBINED-HH",WTPCore_Group,0),MATCH("S2 MEAN",WTPCore_LevelValues,0))</f>
        <v>0.31632762130063785</v>
      </c>
      <c r="W48" s="216">
        <f ca="1">U48</f>
        <v>1.5029903774694477</v>
      </c>
      <c r="X48" s="286">
        <f ca="1">E48*(S48-T48)</f>
        <v>0.72240000000000015</v>
      </c>
      <c r="Y48" s="117">
        <f ca="1">INDEX(INDIRECT("CAM_WTPCore_"&amp;$B48&amp;"_UnitValues"),MATCH("COMBINED-HH",WTPCore_Group,0),MATCH("MEAN",LMH,0))</f>
        <v>472540.17467639426</v>
      </c>
      <c r="Z48" s="117">
        <f ca="1">Y48*(S48-T48)/HHProps_CAM*100</f>
        <v>1.5150143004892032</v>
      </c>
      <c r="AA48" s="117">
        <f ca="1">Y48</f>
        <v>472540.17467639426</v>
      </c>
      <c r="AB48" s="117">
        <f ca="1">AA48*(S48-T48)/HHProps_CAM*100</f>
        <v>1.5150143004892032</v>
      </c>
      <c r="AC48" s="767">
        <f t="shared" ca="1" si="48"/>
        <v>0.29707946429545656</v>
      </c>
      <c r="AD48" s="517" t="s">
        <v>422</v>
      </c>
      <c r="AE48" s="627">
        <f ca="1">AC48*HHProps_CAM/((S48-T48)*100)</f>
        <v>92660.499577868584</v>
      </c>
    </row>
    <row r="49" spans="1:31" x14ac:dyDescent="0.25">
      <c r="A49" s="9" t="s">
        <v>3</v>
      </c>
      <c r="B49" s="9" t="s">
        <v>3</v>
      </c>
      <c r="C49" s="9" t="str">
        <f>B49</f>
        <v>Leakage</v>
      </c>
      <c r="D49" s="514" t="s">
        <v>666</v>
      </c>
      <c r="E49" s="431">
        <f ca="1">INDEX(INDIRECT("ExtWTP19_"&amp;$C49&amp;"_UnitValues"),MATCH(A$45, INDIRECT("ExtWTP19_Comps_"&amp;C49),0),MATCH("HH",ExtWTP_Group,0))</f>
        <v>291633</v>
      </c>
      <c r="F49" s="438">
        <f ca="1">INDEX(INDIRECT("SSW_WTPCore2_"&amp;$B49&amp;"_Levels"),1,MATCH(F$4,WTPCore2_AttLevels,0))</f>
        <v>70.5</v>
      </c>
      <c r="G49" s="438">
        <f ca="1">INDEX(INDIRECT("SSW_WTPCore2_"&amp;$B49&amp;"_Levels"),1,MATCH(G$4,WTPCore2_AttLevels,0))</f>
        <v>35.25</v>
      </c>
      <c r="H49" s="436">
        <f ca="1">INDEX(INDIRECT("SSW_WTPCore2_"&amp;$B49&amp;"_LevelValues"),1,MATCH("S1 MEAN",WTPCore2_LevelValues,0))</f>
        <v>1.2301339708448666</v>
      </c>
      <c r="I49" s="436">
        <f ca="1">INDEX(INDIRECT("SSW_WTPCore2_"&amp;$B49&amp;"_LevelValues"),1,MATCH("S2 MEAN",WTPCore2_LevelValues,0))</f>
        <v>0.44133293088857806</v>
      </c>
      <c r="J49" s="436">
        <f ca="1">SUM(H49:I49)</f>
        <v>1.6714669017334447</v>
      </c>
      <c r="K49" s="440">
        <f ca="1">E49*(F49-G49)/AllProps_SSW</f>
        <v>17.453418081494057</v>
      </c>
      <c r="L49" s="117">
        <f ca="1">INDEX(INDIRECT("SSW_WTPCore_DCE_"&amp;$B49&amp;"_UnitValues"),MATCH("COMBINED-HH",WTPCore_Group,0),MATCH("MEAN",LMH,0))</f>
        <v>31319.148936170212</v>
      </c>
      <c r="M49" s="117">
        <f ca="1">L49*(F49-G49)/HHProps_SSW</f>
        <v>2</v>
      </c>
      <c r="N49" s="117">
        <f ca="1">INDEX(INDIRECT("SSW_WTPCore2_"&amp;$B49&amp;"_UnitValues"),1,MATCH("MEAN",LMH,0))</f>
        <v>26174.460418634368</v>
      </c>
      <c r="O49" s="117">
        <f ca="1">N49*(F49-G49)/HHProps_SSW</f>
        <v>1.6714669017334447</v>
      </c>
      <c r="P49" s="437">
        <f t="shared" ca="1" si="47"/>
        <v>3.5757112884965356</v>
      </c>
      <c r="Q49" s="611" t="s">
        <v>666</v>
      </c>
      <c r="R49" s="631">
        <f ca="1">P49*HHProps_SSW/((F49-G49))</f>
        <v>55994.117198584048</v>
      </c>
      <c r="S49" s="438">
        <f ca="1">INDEX(INDIRECT("CAM_WTPCore2_"&amp;$B49&amp;"_Levels"),1,MATCH(S$4,WTPCore2_AttLevels,0))</f>
        <v>13.5</v>
      </c>
      <c r="T49" s="438">
        <f ca="1">INDEX(INDIRECT("CAM_WTPCore2_"&amp;$B49&amp;"_Levels"),1,MATCH(T$4,WTPCore2_AttLevels,0))</f>
        <v>6.75</v>
      </c>
      <c r="U49" s="436">
        <f ca="1">INDEX(INDIRECT("CAM_WTPCore2_"&amp;$B49&amp;"_LevelValues"),1,MATCH("S1 MEAN",WTPCore2_LevelValues,0))</f>
        <v>3.1349723048319831</v>
      </c>
      <c r="V49" s="436">
        <f ca="1">INDEX(INDIRECT("CAM_WTPCore2_"&amp;$B49&amp;"_LevelValues"),1,MATCH("S2 MEAN",WTPCore2_LevelValues,0))</f>
        <v>5.1405797633106154E-3</v>
      </c>
      <c r="W49" s="216">
        <f ca="1">SUM(U49:V49)</f>
        <v>3.1401128845952937</v>
      </c>
      <c r="X49" s="286">
        <f ca="1">E49*(S49-T49)/AllProps_CAM</f>
        <v>13.961154255319149</v>
      </c>
      <c r="Y49" s="117">
        <f ca="1">INDEX(INDIRECT("CAM_WTPCore_"&amp;$B49&amp;"_UnitValues"),MATCH("COMBINED-HH",WTPCore_Group,0),MATCH("MEAN",LMH,0))</f>
        <v>140121.48148148149</v>
      </c>
      <c r="Z49" s="117">
        <f ca="1">Y49*(S49-T49)/HHProps_CAM</f>
        <v>7.22</v>
      </c>
      <c r="AA49" s="117">
        <f ca="1">INDEX(INDIRECT("CAM_WTPCore2_"&amp;$B49&amp;"_UnitValues"),1,MATCH("MEAN",LMH,0))</f>
        <v>60941.450056590147</v>
      </c>
      <c r="AB49" s="117">
        <f ca="1">AA49*(S49-T49)/HHProps_CAM</f>
        <v>3.1401128845952937</v>
      </c>
      <c r="AC49" s="767">
        <f t="shared" ca="1" si="48"/>
        <v>5.7413790519330643</v>
      </c>
      <c r="AD49" s="517" t="s">
        <v>666</v>
      </c>
      <c r="AE49" s="627">
        <f ca="1">AC49*HHProps_CAM/((S49-T49))</f>
        <v>111425.28234121947</v>
      </c>
    </row>
    <row r="50" spans="1:31" x14ac:dyDescent="0.25">
      <c r="A50" s="9" t="s">
        <v>669</v>
      </c>
      <c r="B50" s="9" t="s">
        <v>315</v>
      </c>
      <c r="C50" s="9" t="str">
        <f>B50</f>
        <v>Wildlife</v>
      </c>
      <c r="D50" s="514" t="s">
        <v>397</v>
      </c>
      <c r="E50" s="431">
        <f ca="1">INDEX(INDIRECT("ExtWTP19_"&amp;$C50&amp;"_UnitValues"),MATCH(A$45, INDIRECT("ExtWTP19_Comps_"&amp;C50),0),MATCH("HH",ExtWTP_Group,0))</f>
        <v>9092</v>
      </c>
      <c r="F50" s="438">
        <f ca="1">INDEX(INDIRECT("SSW_WTPCore2_"&amp;$B50&amp;"_Levels"),1,MATCH(F$4,WTPCore2_AttLevels,0))</f>
        <v>0</v>
      </c>
      <c r="G50" s="438">
        <f ca="1">INDEX(INDIRECT("SSW_WTPCore2_"&amp;$B50&amp;"_Levels"),1,MATCH(G$4,WTPCore2_AttLevels,0))</f>
        <v>50</v>
      </c>
      <c r="H50" s="436">
        <f ca="1">INDEX(INDIRECT("SSW_WTPCore2_"&amp;$B50&amp;"_LevelValues"),1,MATCH("S1 MEAN",WTPCore2_LevelValues,0))</f>
        <v>0.31132700138064179</v>
      </c>
      <c r="I50" s="436">
        <f ca="1">INDEX(INDIRECT("SSW_WTPCore2_"&amp;$B50&amp;"_LevelValues"),1,MATCH("S2 MEAN",WTPCore2_LevelValues,0))</f>
        <v>0.13284027031511708</v>
      </c>
      <c r="J50" s="436">
        <f ca="1">SUM(H50:I50)</f>
        <v>0.44416727169575887</v>
      </c>
      <c r="K50" s="440">
        <f ca="1">-E50*(F50-G50)/AllProps_SSW</f>
        <v>0.77181663837011882</v>
      </c>
      <c r="L50" s="117">
        <f ca="1">INDEX(INDIRECT("SSW_WTPCore_DCE_"&amp;$B50&amp;"_UnitValues"),MATCH("COMBINED-HH",WTPCore_Group,0),MATCH("MEAN",LMH,0))</f>
        <v>10488</v>
      </c>
      <c r="M50" s="117">
        <f ca="1">-L50*(F50-G50)/HHProps_SSW</f>
        <v>0.95</v>
      </c>
      <c r="N50" s="117">
        <f ca="1">INDEX(INDIRECT("SSW_WTPCore2_"&amp;$B50&amp;"_UnitValues"),1,MATCH("MEAN",LMH,0))</f>
        <v>4903.6066795211782</v>
      </c>
      <c r="O50" s="117">
        <f ca="1">-N50*(F50-G50)/HHProps_SSW</f>
        <v>0.44416727169575887</v>
      </c>
      <c r="P50" s="437">
        <f t="shared" ca="1" si="47"/>
        <v>0.15812338039364932</v>
      </c>
      <c r="Q50" s="611" t="s">
        <v>397</v>
      </c>
      <c r="R50" s="627">
        <f ca="1">-P50*HHProps_SSW/((F50-G50))</f>
        <v>1745.6821195458886</v>
      </c>
      <c r="S50" s="438">
        <f ca="1">INDEX(INDIRECT("CAM_WTPCore2_"&amp;$B50&amp;"_Levels"),1,MATCH(S$4,WTPCore2_AttLevels,0))</f>
        <v>0</v>
      </c>
      <c r="T50" s="438">
        <f ca="1">INDEX(INDIRECT("CAM_WTPCore2_"&amp;$B50&amp;"_Levels"),1,MATCH(T$4,WTPCore2_AttLevels,0))</f>
        <v>9</v>
      </c>
      <c r="U50" s="436">
        <f ca="1">INDEX(INDIRECT("CAM_WTPCore2_"&amp;$B50&amp;"_LevelValues"),1,MATCH("S1 MEAN",WTPCore2_LevelValues,0))</f>
        <v>0.16524275196632074</v>
      </c>
      <c r="V50" s="436">
        <f ca="1">INDEX(INDIRECT("CAM_WTPCore2_"&amp;$B50&amp;"_LevelValues"),1,MATCH("S2 MEAN",WTPCore2_LevelValues,0))</f>
        <v>2.2165878650139109E-2</v>
      </c>
      <c r="W50" s="216">
        <f ca="1">SUM(U50:V50)</f>
        <v>0.18740863061645985</v>
      </c>
      <c r="X50" s="286">
        <f ca="1">-E50*(S50-T50)/AllProps_CAM</f>
        <v>0.58034042553191489</v>
      </c>
      <c r="Y50" s="117">
        <f ca="1">INDEX(INDIRECT("CAM_WTPCore_"&amp;$B50&amp;"_UnitValues"),MATCH("COMBINED-HH",WTPCore_Group,0),MATCH("MEAN",LMH,0))</f>
        <v>14803.000000000004</v>
      </c>
      <c r="Z50" s="117">
        <f ca="1">-Y50*(S50-T50)/HHProps_CAM</f>
        <v>1.0170000000000001</v>
      </c>
      <c r="AA50" s="117">
        <f ca="1">INDEX(INDIRECT("CAM_WTPCore2_"&amp;$B50&amp;"_UnitValues"),1,MATCH("MEAN",LMH,0))</f>
        <v>2727.836734528471</v>
      </c>
      <c r="AB50" s="117">
        <f ca="1">-AA50*(S50-T50)/HHProps_CAM</f>
        <v>0.18740863061645985</v>
      </c>
      <c r="AC50" s="767">
        <f t="shared" ca="1" si="48"/>
        <v>0.23865894618773331</v>
      </c>
      <c r="AD50" s="517" t="s">
        <v>397</v>
      </c>
      <c r="AE50" s="627">
        <f ca="1">-AC50*HHProps_CAM/((S50-T50))</f>
        <v>3473.8135500658959</v>
      </c>
    </row>
    <row r="51" spans="1:31" x14ac:dyDescent="0.25">
      <c r="D51" s="514"/>
      <c r="E51" s="431"/>
      <c r="F51" s="436"/>
      <c r="G51" s="436"/>
      <c r="H51" s="436"/>
      <c r="I51" s="436"/>
      <c r="J51" s="445">
        <f ca="1">SUM(J46:J50)</f>
        <v>4.0571946130899308</v>
      </c>
      <c r="K51" s="603">
        <f ca="1">SUM(K46:K50)</f>
        <v>21.25239662462608</v>
      </c>
      <c r="L51" s="603"/>
      <c r="M51" s="446">
        <f ca="1">SUM(M46:M50)</f>
        <v>4.6502742857142847</v>
      </c>
      <c r="N51" s="446"/>
      <c r="O51" s="289">
        <f ca="1">SUM(O46:O50)</f>
        <v>4.0577546130899309</v>
      </c>
      <c r="P51" s="497">
        <f ca="1">SUM(P46:P50)</f>
        <v>4.3540144494021087</v>
      </c>
      <c r="Q51" s="612"/>
      <c r="R51" s="628"/>
      <c r="S51" s="767"/>
      <c r="T51" s="767"/>
      <c r="U51" s="767"/>
      <c r="V51" s="767"/>
      <c r="W51" s="52">
        <f ca="1">SUM(W46:W50)</f>
        <v>5.606646867739169</v>
      </c>
      <c r="X51" s="532">
        <f ca="1">SUM(X46:X50)</f>
        <v>19.297228014184398</v>
      </c>
      <c r="Y51" s="603"/>
      <c r="Z51" s="446">
        <f ca="1">SUM(Z46:Z50)</f>
        <v>10.25289665343038</v>
      </c>
      <c r="AA51" s="446"/>
      <c r="AB51" s="446">
        <f ca="1">SUM(AB46:AB50)</f>
        <v>5.6186707907589248</v>
      </c>
      <c r="AC51" s="52">
        <f ca="1">SUM(AC46:AC50)</f>
        <v>7.9357837220946523</v>
      </c>
      <c r="AE51" s="534"/>
    </row>
    <row r="52" spans="1:31" s="60" customFormat="1" x14ac:dyDescent="0.25">
      <c r="D52" s="516"/>
      <c r="E52" s="523"/>
      <c r="F52" s="553"/>
      <c r="G52" s="553"/>
      <c r="H52" s="553"/>
      <c r="I52" s="553"/>
      <c r="J52" s="553"/>
      <c r="K52" s="829"/>
      <c r="L52" s="829"/>
      <c r="M52" s="830" t="s">
        <v>997</v>
      </c>
      <c r="N52" s="737">
        <f ca="1">AVERAGE(M51,O51)</f>
        <v>4.3540144494021078</v>
      </c>
      <c r="O52" s="830"/>
      <c r="P52" s="177"/>
      <c r="Q52" s="617"/>
      <c r="R52" s="629"/>
      <c r="S52" s="197"/>
      <c r="T52" s="197"/>
      <c r="U52" s="197"/>
      <c r="V52" s="197"/>
      <c r="W52" s="17"/>
      <c r="X52" s="829"/>
      <c r="Y52" s="829"/>
      <c r="Z52" s="830" t="s">
        <v>997</v>
      </c>
      <c r="AA52" s="737">
        <f ca="1">AVERAGE(Z51,AB51)</f>
        <v>7.9357837220946523</v>
      </c>
      <c r="AB52" s="830"/>
      <c r="AC52" s="177"/>
      <c r="AE52" s="535"/>
    </row>
    <row r="53" spans="1:31" x14ac:dyDescent="0.25">
      <c r="A53" s="571" t="s">
        <v>166</v>
      </c>
      <c r="B53" s="530"/>
      <c r="D53" s="515"/>
      <c r="E53" s="522"/>
      <c r="F53" s="448"/>
      <c r="G53" s="448"/>
      <c r="H53" s="497"/>
      <c r="I53" s="497"/>
      <c r="J53" s="497"/>
      <c r="K53" s="531"/>
      <c r="L53" s="531"/>
      <c r="M53" s="531"/>
      <c r="N53" s="531"/>
      <c r="O53" s="531"/>
      <c r="P53" s="54"/>
      <c r="Q53" s="614"/>
      <c r="R53" s="630"/>
      <c r="S53" s="54"/>
      <c r="T53" s="54"/>
      <c r="U53" s="53"/>
      <c r="V53" s="53"/>
      <c r="W53" s="53"/>
      <c r="X53" s="531"/>
      <c r="Y53" s="531"/>
      <c r="Z53" s="531"/>
      <c r="AA53" s="531"/>
      <c r="AB53" s="531"/>
      <c r="AC53" s="54"/>
      <c r="AE53" s="536"/>
    </row>
    <row r="54" spans="1:31" x14ac:dyDescent="0.25">
      <c r="A54" s="9" t="s">
        <v>669</v>
      </c>
      <c r="B54" s="9" t="s">
        <v>315</v>
      </c>
      <c r="C54" s="9" t="s">
        <v>315</v>
      </c>
      <c r="D54" s="514" t="s">
        <v>369</v>
      </c>
      <c r="E54" s="431">
        <f ca="1">INDEX(INDIRECT("ExtWTP19_"&amp;$C54&amp;"_UnitValues"),MATCH(A$53, INDIRECT("ExtWTP19_Comps_"&amp;C54),0),MATCH("HH",ExtWTP_Group,0))</f>
        <v>5838</v>
      </c>
      <c r="F54" s="836">
        <f ca="1">INDEX(INDIRECT("SSW_WTPCore2_"&amp;$B54&amp;"_Levels"),1,MATCH(F$4,WTPCore2_AttLevels,0))</f>
        <v>0</v>
      </c>
      <c r="G54" s="836">
        <f ca="1">INDEX(INDIRECT("SSW_WTPCore2_"&amp;$B54&amp;"_Levels"),1,MATCH(G$4,WTPCore2_AttLevels,0))</f>
        <v>50</v>
      </c>
      <c r="H54" s="436">
        <f ca="1">INDEX(INDIRECT("SSW_WTPCore2_"&amp;$B54&amp;"_LevelValues"),1,MATCH("S1 MEAN",WTPCore2_LevelValues,0))</f>
        <v>0.31132700138064179</v>
      </c>
      <c r="I54" s="436">
        <f ca="1">INDEX(INDIRECT("SSW_WTPCore2_"&amp;$B54&amp;"_LevelValues"),1,MATCH("S2 MEAN",WTPCore2_LevelValues,0))</f>
        <v>0.13284027031511708</v>
      </c>
      <c r="J54" s="436">
        <f ca="1">SUM(H54:I54)</f>
        <v>0.44416727169575887</v>
      </c>
      <c r="K54" s="440">
        <f ca="1">-E54*(F54-G54)/AllProps_SSW</f>
        <v>0.49558573853989812</v>
      </c>
      <c r="L54" s="117">
        <f ca="1">INDEX(INDIRECT("SSW_WTPCore_DCE_"&amp;$B54&amp;"_UnitValues"),MATCH("COMBINED-HH",WTPCore_Group,0),MATCH("MEAN",LMH,0))</f>
        <v>10488</v>
      </c>
      <c r="M54" s="117">
        <f ca="1">-L54*(F54-G54)/HHProps_SSW</f>
        <v>0.95</v>
      </c>
      <c r="N54" s="117">
        <f ca="1">INDEX(INDIRECT("SSW_WTPCore2_"&amp;$B54&amp;"_UnitValues"),1,MATCH("MEAN",LMH,0))</f>
        <v>4903.6066795211782</v>
      </c>
      <c r="O54" s="117">
        <f ca="1">-N54*(F54-G54)/HHProps_SSW</f>
        <v>0.44416727169575887</v>
      </c>
      <c r="P54" s="437">
        <f ca="1">K54*N$56/K$55</f>
        <v>0.69708363584787936</v>
      </c>
      <c r="Q54" s="611" t="s">
        <v>397</v>
      </c>
      <c r="R54" s="627">
        <f ca="1">P54*HHProps_SSW/((F54-G54)*AllProps_SSW)</f>
        <v>-1.3065880033549384E-2</v>
      </c>
      <c r="S54" s="836">
        <f ca="1">INDEX(INDIRECT("CAM_WTPCore2_"&amp;$B54&amp;"_Levels"),1,MATCH(S$4,WTPCore2_AttLevels,0))</f>
        <v>0</v>
      </c>
      <c r="T54" s="836">
        <f ca="1">INDEX(INDIRECT("CAM_WTPCore2_"&amp;$B54&amp;"_Levels"),1,MATCH(T$4,WTPCore2_AttLevels,0))</f>
        <v>9</v>
      </c>
      <c r="U54" s="436">
        <f ca="1">INDEX(INDIRECT("CAM_WTPCore2_"&amp;$B54&amp;"_LevelValues"),1,MATCH("S1 MEAN",WTPCore2_LevelValues,0))</f>
        <v>0.16524275196632074</v>
      </c>
      <c r="V54" s="436">
        <f ca="1">INDEX(INDIRECT("CAM_WTPCore2_"&amp;$B54&amp;"_LevelValues"),1,MATCH("S2 MEAN",WTPCore2_LevelValues,0))</f>
        <v>2.2165878650139109E-2</v>
      </c>
      <c r="W54" s="216">
        <f ca="1">SUM(U54:V54)</f>
        <v>0.18740863061645985</v>
      </c>
      <c r="X54" s="286">
        <f ca="1">-E54*(S54-T54)/AllProps_CAM</f>
        <v>0.37263829787234043</v>
      </c>
      <c r="Y54" s="117">
        <f ca="1">INDEX(INDIRECT("CAM_WTPCore_"&amp;$B54&amp;"_UnitValues"),MATCH("COMBINED-HH",WTPCore_Group,0),MATCH("MEAN",LMH,0))</f>
        <v>14803.000000000004</v>
      </c>
      <c r="Z54" s="117">
        <f ca="1">-Y54*(S54-T54)/HHProps_CAM</f>
        <v>1.0170000000000001</v>
      </c>
      <c r="AA54" s="117">
        <f ca="1">INDEX(INDIRECT("CAM_WTPCore2_"&amp;$B54&amp;"_UnitValues"),1,MATCH("MEAN",LMH,0))</f>
        <v>2727.836734528471</v>
      </c>
      <c r="AB54" s="117">
        <f ca="1">-AA54*(S54-T54)/HHProps_CAM</f>
        <v>0.18740863061645985</v>
      </c>
      <c r="AC54" s="767">
        <f ca="1">X54*AA$56/X$55</f>
        <v>0.60220431530822993</v>
      </c>
      <c r="AD54" s="341" t="str">
        <f>Q54</f>
        <v>Hectare</v>
      </c>
      <c r="AE54" s="627">
        <f ca="1">AC54*HHProps_CAM/((S54-T54)*AllProps_CAM)</f>
        <v>-6.2166087711093873E-2</v>
      </c>
    </row>
    <row r="55" spans="1:31" x14ac:dyDescent="0.25">
      <c r="A55" s="530" t="s">
        <v>501</v>
      </c>
      <c r="D55" s="514"/>
      <c r="E55" s="431"/>
      <c r="F55" s="436"/>
      <c r="G55" s="436"/>
      <c r="H55" s="436"/>
      <c r="I55" s="436"/>
      <c r="J55" s="445">
        <f ca="1">SUM(J54:J54)</f>
        <v>0.44416727169575887</v>
      </c>
      <c r="K55" s="603">
        <f ca="1">SUM(K54:K54)</f>
        <v>0.49558573853989812</v>
      </c>
      <c r="L55" s="603"/>
      <c r="M55" s="446">
        <f ca="1">SUM(M54:M54)</f>
        <v>0.95</v>
      </c>
      <c r="N55" s="446"/>
      <c r="O55" s="289">
        <f ca="1">SUM(O54:O54)</f>
        <v>0.44416727169575887</v>
      </c>
      <c r="P55" s="497">
        <f ca="1">SUM(P54:P54)</f>
        <v>0.69708363584787936</v>
      </c>
      <c r="Q55" s="612"/>
      <c r="R55" s="628"/>
      <c r="S55" s="767"/>
      <c r="T55" s="767"/>
      <c r="U55" s="767"/>
      <c r="V55" s="767"/>
      <c r="W55" s="52">
        <f ca="1">SUM(W54:W54)</f>
        <v>0.18740863061645985</v>
      </c>
      <c r="X55" s="532">
        <f ca="1">SUM(X54:X54)</f>
        <v>0.37263829787234043</v>
      </c>
      <c r="Y55" s="603"/>
      <c r="Z55" s="446">
        <f ca="1">SUM(Z54:Z54)</f>
        <v>1.0170000000000001</v>
      </c>
      <c r="AA55" s="446"/>
      <c r="AB55" s="289">
        <f ca="1">SUM(AB54:AB54)</f>
        <v>0.18740863061645985</v>
      </c>
      <c r="AC55" s="52">
        <f ca="1">SUM(AC54:AC54)</f>
        <v>0.60220431530822993</v>
      </c>
      <c r="AE55" s="534"/>
    </row>
    <row r="56" spans="1:31" s="60" customFormat="1" x14ac:dyDescent="0.25">
      <c r="D56" s="516"/>
      <c r="E56" s="523"/>
      <c r="F56" s="553"/>
      <c r="G56" s="553"/>
      <c r="H56" s="553"/>
      <c r="I56" s="553"/>
      <c r="J56" s="553"/>
      <c r="K56" s="829"/>
      <c r="L56" s="829"/>
      <c r="M56" s="830" t="s">
        <v>997</v>
      </c>
      <c r="N56" s="737">
        <f ca="1">AVERAGE(M55,O55)</f>
        <v>0.69708363584787936</v>
      </c>
      <c r="O56" s="830"/>
      <c r="P56" s="177"/>
      <c r="Q56" s="617"/>
      <c r="R56" s="629"/>
      <c r="S56" s="197"/>
      <c r="T56" s="197"/>
      <c r="U56" s="197"/>
      <c r="V56" s="197"/>
      <c r="W56" s="17"/>
      <c r="X56" s="829"/>
      <c r="Y56" s="829"/>
      <c r="Z56" s="830" t="s">
        <v>997</v>
      </c>
      <c r="AA56" s="737">
        <f ca="1">AVERAGE(Z55,AB55)</f>
        <v>0.60220431530822993</v>
      </c>
      <c r="AB56" s="830"/>
      <c r="AC56" s="177"/>
      <c r="AE56" s="535"/>
    </row>
    <row r="57" spans="1:31" x14ac:dyDescent="0.25">
      <c r="A57" s="61" t="s">
        <v>167</v>
      </c>
      <c r="B57" s="237"/>
      <c r="D57" s="515"/>
      <c r="E57" s="522"/>
      <c r="F57" s="448"/>
      <c r="G57" s="448"/>
      <c r="H57" s="497"/>
      <c r="I57" s="497"/>
      <c r="J57" s="497"/>
      <c r="K57" s="531"/>
      <c r="L57" s="531"/>
      <c r="M57" s="531"/>
      <c r="N57" s="531"/>
      <c r="O57" s="531"/>
      <c r="P57" s="54"/>
      <c r="Q57" s="614"/>
      <c r="R57" s="630"/>
      <c r="S57" s="54"/>
      <c r="T57" s="54"/>
      <c r="U57" s="53"/>
      <c r="V57" s="53"/>
      <c r="W57" s="53"/>
      <c r="X57" s="531"/>
      <c r="Y57" s="531"/>
      <c r="Z57" s="531"/>
      <c r="AA57" s="531"/>
      <c r="AB57" s="531"/>
      <c r="AC57" s="54"/>
      <c r="AE57" s="536"/>
    </row>
    <row r="58" spans="1:31" x14ac:dyDescent="0.25">
      <c r="A58" s="9" t="s">
        <v>117</v>
      </c>
      <c r="B58" s="9" t="s">
        <v>265</v>
      </c>
      <c r="C58" s="9" t="str">
        <f>B58</f>
        <v>TasteSmell</v>
      </c>
      <c r="D58" s="514" t="s">
        <v>369</v>
      </c>
      <c r="E58" s="431">
        <f ca="1">INDEX(INDIRECT("ExtWTP19_"&amp;$C58&amp;"_UnitValues"),MATCH(A$57, INDIRECT("ExtWTP19_Comps_"&amp;C58),0),MATCH("HH",ExtWTP_Group,0))</f>
        <v>38235</v>
      </c>
      <c r="F58" s="828">
        <f t="shared" ref="F58:G61" ca="1" si="51">INDEX(INDIRECT("SSW_WTPCore2_"&amp;$B58&amp;"_Levels"),1,MATCH(F$4,WTPCore2_AttLevels,0))</f>
        <v>1.6666666666666666E-2</v>
      </c>
      <c r="G58" s="828">
        <f t="shared" ca="1" si="51"/>
        <v>1.1111111111111112E-2</v>
      </c>
      <c r="H58" s="436">
        <f ca="1">INDEX(INDIRECT("SSW_WTPCore2_"&amp;$B58&amp;"_LevelValues"),1,MATCH("S1 MEAN",WTPCore2_LevelValues,0))</f>
        <v>0.30818609087835352</v>
      </c>
      <c r="I58" s="436">
        <f ca="1">INDEX(INDIRECT("SSW_WTPCore2_"&amp;$B58&amp;"_LevelValues"),1,MATCH("S2 MEAN",WTPCore2_LevelValues,0))</f>
        <v>0.18578205633963885</v>
      </c>
      <c r="J58" s="436">
        <f ca="1">SUM(H58:I58)</f>
        <v>0.49396814721799237</v>
      </c>
      <c r="K58" s="440">
        <f ca="1">E58*(F58-G58)</f>
        <v>212.41666666666663</v>
      </c>
      <c r="L58" s="117">
        <f ca="1">INDEX(INDIRECT("SSW_WTPCore_DCE_"&amp;$B58&amp;"_UnitValues"),MATCH("COMBINED-HH",WTPCore_Group,0),MATCH("MEAN",LMH,0))</f>
        <v>171.97536823750744</v>
      </c>
      <c r="M58" s="117">
        <f ca="1">L58*($F58-$G58)*(AllProps_SSW/HHProps_SSW)</f>
        <v>1.0194594594594593</v>
      </c>
      <c r="N58" s="117">
        <f ca="1">INDEX(INDIRECT("SSW_WTPCore2_"&amp;$B58&amp;"_UnitValues"),1,MATCH("MEAN",LMH,0))</f>
        <v>83.328820216603944</v>
      </c>
      <c r="O58" s="117">
        <f ca="1">N58*($F58-$G58)*(AllProps_SSW/HHProps_SSW)</f>
        <v>0.49396814721799231</v>
      </c>
      <c r="P58" s="437">
        <f ca="1">K58*N$63/K$62</f>
        <v>3.4195577549333778</v>
      </c>
      <c r="Q58" s="611" t="s">
        <v>369</v>
      </c>
      <c r="R58" s="627">
        <f ca="1">P58*HHProps_SSW/((F58-G58)*AllProps_SSW)</f>
        <v>576.85442874393971</v>
      </c>
      <c r="S58" s="828">
        <f t="shared" ref="S58:T61" ca="1" si="52">INDEX(INDIRECT("CAM_WTPCore2_"&amp;$B58&amp;"_Levels"),1,MATCH(S$4,WTPCore2_AttLevels,0))</f>
        <v>1.4285714285714285E-2</v>
      </c>
      <c r="T58" s="828">
        <f t="shared" ca="1" si="52"/>
        <v>0.01</v>
      </c>
      <c r="U58" s="436">
        <f ca="1">INDEX(INDIRECT("CAM_WTPCore2_"&amp;$B58&amp;"_LevelValues"),1,MATCH("S1 MEAN",WTPCore2_LevelValues,0))</f>
        <v>4.7204807663126298E-2</v>
      </c>
      <c r="V58" s="436">
        <f ca="1">INDEX(INDIRECT("CAM_WTPCore2_"&amp;$B58&amp;"_LevelValues"),1,MATCH("S2 MEAN",WTPCore2_LevelValues,0))</f>
        <v>0.1217094578997745</v>
      </c>
      <c r="W58" s="216">
        <f ca="1">SUM(U58:V58)</f>
        <v>0.16891426556290079</v>
      </c>
      <c r="X58" s="286">
        <f ca="1">E58*(S58-T58)</f>
        <v>163.8642857142857</v>
      </c>
      <c r="Y58" s="117">
        <f ca="1">INDEX(INDIRECT("CAM_WTPCore_"&amp;$B58&amp;"_UnitValues"),MATCH("COMBINED-HH",WTPCore_Group,0),MATCH("MEAN",LMH,0))</f>
        <v>205.16697061803447</v>
      </c>
      <c r="Z58" s="117">
        <f ca="1">Y58*($S58-$T58)*(AllProps_CAM/HHProps_CAM)</f>
        <v>0.94640816326530608</v>
      </c>
      <c r="AA58" s="117">
        <f ca="1">INDEX(INDIRECT("CAM_WTPCore2_"&amp;$B58&amp;"_UnitValues"),1,MATCH("MEAN",LMH,0))</f>
        <v>36.618057097205678</v>
      </c>
      <c r="AB58" s="117">
        <f ca="1">AA58*($S58-$T58)*(AllProps_CAM/HHProps_CAM)</f>
        <v>0.16891426556290076</v>
      </c>
      <c r="AC58" s="767">
        <f ca="1">X58*AA$63/X$62</f>
        <v>8.0419436606533097</v>
      </c>
      <c r="AD58" s="517" t="s">
        <v>369</v>
      </c>
      <c r="AE58" s="627">
        <f ca="1">AC58*HHProps_CAM/((S58-T58)*AllProps_CAM)</f>
        <v>1743.3717108319352</v>
      </c>
    </row>
    <row r="59" spans="1:31" x14ac:dyDescent="0.25">
      <c r="A59" s="9" t="s">
        <v>180</v>
      </c>
      <c r="B59" s="9" t="s">
        <v>269</v>
      </c>
      <c r="C59" s="9" t="s">
        <v>331</v>
      </c>
      <c r="D59" s="514" t="s">
        <v>369</v>
      </c>
      <c r="E59" s="431">
        <f ca="1">INDEX(INDIRECT("ExtWTP19_"&amp;$C59&amp;"_UnitValues"),MATCH(A$57, INDIRECT("ExtWTP19_Comps_"&amp;C59),0),MATCH("HH",ExtWTP_Group,0))</f>
        <v>132</v>
      </c>
      <c r="F59" s="828">
        <f t="shared" ca="1" si="51"/>
        <v>1.4285714285714285E-2</v>
      </c>
      <c r="G59" s="828">
        <f t="shared" ca="1" si="51"/>
        <v>9.5238095238095247E-3</v>
      </c>
      <c r="H59" s="436">
        <f ca="1">INDEX(INDIRECT("SSW_WTPCore2_"&amp;$B59&amp;"_LevelValues"),1,MATCH("S1 MEAN",WTPCore2_LevelValues,0))</f>
        <v>0.39718669024665654</v>
      </c>
      <c r="I59" s="436">
        <f ca="1">INDEX(INDIRECT("SSW_WTPCore2_"&amp;$B59&amp;"_LevelValues"),1,MATCH("S2 MEAN",WTPCore2_LevelValues,0))</f>
        <v>0.53859352958370721</v>
      </c>
      <c r="J59" s="436">
        <f ca="1">SUM(H59:I59)</f>
        <v>0.93578021983036375</v>
      </c>
      <c r="K59" s="440">
        <f ca="1">E59*(F59-G59)</f>
        <v>0.62857142857142845</v>
      </c>
      <c r="L59" s="117">
        <f ca="1">INDEX(INDIRECT("SSW_WTPCore_DCE_"&amp;$B59&amp;"_UnitValues"),MATCH("COMBINED-HH",WTPCore_Group,0),MATCH("MEAN",LMH,0))</f>
        <v>160.37052631578945</v>
      </c>
      <c r="M59" s="117">
        <f ca="1">L59*($F59-$G59)*(AllProps_SSW/HHProps_SSW)</f>
        <v>0.8148571428571425</v>
      </c>
      <c r="N59" s="117">
        <f ca="1">INDEX(INDIRECT("SSW_WTPCore2_"&amp;$B59&amp;"_UnitValues"),1,MATCH("MEAN",LMH,0))</f>
        <v>184.16917331534088</v>
      </c>
      <c r="O59" s="117">
        <f ca="1">N59*($F59-$G59)*(AllProps_SSW/HHProps_SSW)</f>
        <v>0.93578021983036364</v>
      </c>
      <c r="P59" s="437">
        <f t="shared" ref="P59:P61" ca="1" si="53">K59*N$63/K$62</f>
        <v>1.0118962588156833E-2</v>
      </c>
      <c r="Q59" s="611" t="s">
        <v>369</v>
      </c>
      <c r="R59" s="627">
        <f ca="1">P59*HHProps_SSW/((F59-G59)*AllProps_SSW)</f>
        <v>1.9914943008813926</v>
      </c>
      <c r="S59" s="828">
        <f t="shared" ca="1" si="52"/>
        <v>2.5000000000000001E-2</v>
      </c>
      <c r="T59" s="828">
        <f t="shared" ca="1" si="52"/>
        <v>1.6666666666666666E-2</v>
      </c>
      <c r="U59" s="436">
        <f ca="1">INDEX(INDIRECT("CAM_WTPCore2_"&amp;$B59&amp;"_LevelValues"),1,MATCH("S1 MEAN",WTPCore2_LevelValues,0))</f>
        <v>5.3490671066612649E-2</v>
      </c>
      <c r="V59" s="436">
        <f ca="1">INDEX(INDIRECT("CAM_WTPCore2_"&amp;$B59&amp;"_LevelValues"),1,MATCH("S2 MEAN",WTPCore2_LevelValues,0))</f>
        <v>0.33457681646237136</v>
      </c>
      <c r="W59" s="216">
        <f ca="1">SUM(U59:V59)</f>
        <v>0.38806748752898401</v>
      </c>
      <c r="X59" s="286">
        <f ca="1">E59*(S59-T59)</f>
        <v>1.1000000000000003</v>
      </c>
      <c r="Y59" s="117">
        <f ca="1">INDEX(INDIRECT("CAM_WTPCore_"&amp;$B59&amp;"_UnitValues"),MATCH("COMBINED-HH",WTPCore_Group,0),MATCH("MEAN",LMH,0))</f>
        <v>27.921526908635794</v>
      </c>
      <c r="Z59" s="117">
        <f ca="1">Y59*($S59-$T59)*(AllProps_CAM/HHProps_CAM)</f>
        <v>0.25044117647058822</v>
      </c>
      <c r="AA59" s="117">
        <f ca="1">INDEX(INDIRECT("CAM_WTPCore2_"&amp;$B59&amp;"_UnitValues"),1,MATCH("MEAN",LMH,0))</f>
        <v>43.265396481954809</v>
      </c>
      <c r="AB59" s="117">
        <f ca="1">AA59*($S59-$T59)*(AllProps_CAM/HHProps_CAM)</f>
        <v>0.38806748752898401</v>
      </c>
      <c r="AC59" s="767">
        <f t="shared" ref="AC59:AC61" ca="1" si="54">X59*AA$63/X$62</f>
        <v>5.3984539633869934E-2</v>
      </c>
      <c r="AD59" s="517" t="s">
        <v>369</v>
      </c>
      <c r="AE59" s="627">
        <f ca="1">AC59*HHProps_CAM/((S59-T59)*AllProps_CAM)</f>
        <v>6.0187018655633704</v>
      </c>
    </row>
    <row r="60" spans="1:31" x14ac:dyDescent="0.25">
      <c r="A60" s="9" t="s">
        <v>330</v>
      </c>
      <c r="B60" s="9" t="s">
        <v>319</v>
      </c>
      <c r="C60" s="9" t="str">
        <f>B60</f>
        <v>TempBan</v>
      </c>
      <c r="D60" s="514" t="s">
        <v>369</v>
      </c>
      <c r="E60" s="431">
        <f ca="1">INDEX(INDIRECT("ExtWTP19_"&amp;$C60&amp;"_UnitValues"),MATCH(A$57, INDIRECT("ExtWTP19_Comps_"&amp;C60),0),MATCH("HH",ExtWTP_Group,0))</f>
        <v>32</v>
      </c>
      <c r="F60" s="828">
        <f t="shared" ca="1" si="51"/>
        <v>2.5000000000000001E-2</v>
      </c>
      <c r="G60" s="828">
        <f t="shared" ca="1" si="51"/>
        <v>1.5384615384615385E-2</v>
      </c>
      <c r="H60" s="436">
        <f ca="1">INDEX(INDIRECT("SSW_WTPCore2_"&amp;$B60&amp;"_LevelValues"),1,MATCH("S1 MEAN",WTPCore2_LevelValues,0))</f>
        <v>0.4084226191643695</v>
      </c>
      <c r="I60" s="436">
        <f ca="1">INDEX(INDIRECT("SSW_WTPCore2_"&amp;$B60&amp;"_LevelValues"),1,MATCH("S2 MEAN",WTPCore2_LevelValues,0))</f>
        <v>0.28250000903457151</v>
      </c>
      <c r="J60" s="436">
        <f ca="1">SUM(H60:I60)</f>
        <v>0.69092262819894101</v>
      </c>
      <c r="K60" s="440">
        <f ca="1">E60*(F60-G60)</f>
        <v>0.30769230769230771</v>
      </c>
      <c r="L60" s="117">
        <f ca="1">INDEX(INDIRECT("SSW_WTPCore_DCE_"&amp;$B60&amp;"_UnitValues"),MATCH("COMBINED-HH",WTPCore_Group,0),MATCH("MEAN",LMH,0))</f>
        <v>251711.99999999994</v>
      </c>
      <c r="M60" s="117">
        <f ca="1">-L60*(F60-G60)/HHProps_SSW</f>
        <v>-4.3846153846153835E-3</v>
      </c>
      <c r="N60" s="117">
        <f ca="1">INDEX(INDIRECT("SSW_WTPCore2_"&amp;$B60&amp;"_UnitValues"),1,MATCH("MEAN",LMH,0))</f>
        <v>396644.86239644804</v>
      </c>
      <c r="O60" s="117">
        <f ca="1">N60*(F60-G60)/HHProps_SSW*100</f>
        <v>0.69092262819894101</v>
      </c>
      <c r="P60" s="437">
        <f t="shared" ca="1" si="53"/>
        <v>4.9533383298669817E-3</v>
      </c>
      <c r="Q60" s="615" t="s">
        <v>422</v>
      </c>
      <c r="R60" s="627">
        <f ca="1">P60*HHProps_SSW/((F60-G60)*100)</f>
        <v>2843.6124684100369</v>
      </c>
      <c r="S60" s="828">
        <f t="shared" ca="1" si="52"/>
        <v>0.05</v>
      </c>
      <c r="T60" s="828">
        <f t="shared" ca="1" si="52"/>
        <v>3.3333333333333333E-2</v>
      </c>
      <c r="U60" s="436">
        <f ca="1">INDEX(INDIRECT("CAM_WTPCore2_"&amp;$B60&amp;"_LevelValues"),1,MATCH("S1 MEAN",WTPCore2_LevelValues,0))</f>
        <v>0.15591350717379643</v>
      </c>
      <c r="V60" s="436">
        <f ca="1">INDEX(INDIRECT("CAM_WTPCore2_"&amp;$B60&amp;"_LevelValues"),1,MATCH("S2 MEAN",WTPCore2_LevelValues,0))</f>
        <v>5.0130987785217407E-2</v>
      </c>
      <c r="W60" s="216">
        <f ca="1">SUM(U60:V60)</f>
        <v>0.20604449495901384</v>
      </c>
      <c r="X60" s="286">
        <f ca="1">E60*(S60-T60)</f>
        <v>0.53333333333333344</v>
      </c>
      <c r="Y60" s="117">
        <f ca="1">INDEX(INDIRECT("CAM_WTPCore_"&amp;$B60&amp;"_UnitValues"),MATCH("COMBINED-HH",WTPCore_Group,0),MATCH("MEAN",LMH,0))</f>
        <v>452735.99999999994</v>
      </c>
      <c r="Z60" s="117">
        <f ca="1">Y60*(S60-T60)/HHProps_CAM*100</f>
        <v>5.7600000000000007</v>
      </c>
      <c r="AA60" s="117">
        <f ca="1">INDEX(INDIRECT("CAM_WTPCore2_"&amp;$B60&amp;"_UnitValues"),1,MATCH("MEAN",LMH,0))</f>
        <v>16195.097303778484</v>
      </c>
      <c r="AB60" s="117">
        <f ca="1">AA60*(S60-T60)/HHProps_CAM*100</f>
        <v>0.20604449495901386</v>
      </c>
      <c r="AC60" s="767">
        <f t="shared" ca="1" si="54"/>
        <v>2.6174322246724818E-2</v>
      </c>
      <c r="AD60" s="911" t="s">
        <v>422</v>
      </c>
      <c r="AE60" s="627">
        <f ca="1">AC60*HHProps_CAM/((S60-T60)*100)</f>
        <v>2057.3017285925703</v>
      </c>
    </row>
    <row r="61" spans="1:31" x14ac:dyDescent="0.25">
      <c r="A61" s="9" t="s">
        <v>3</v>
      </c>
      <c r="B61" s="9" t="s">
        <v>3</v>
      </c>
      <c r="C61" s="9" t="str">
        <f>B61</f>
        <v>Leakage</v>
      </c>
      <c r="D61" s="514" t="s">
        <v>666</v>
      </c>
      <c r="E61" s="431">
        <f ca="1">INDEX(INDIRECT("ExtWTP19_"&amp;$C61&amp;"_UnitValues"),MATCH(A$57, INDIRECT("ExtWTP19_Comps_"&amp;C61),0),MATCH("HH",ExtWTP_Group,0))</f>
        <v>390688</v>
      </c>
      <c r="F61" s="438">
        <f t="shared" ca="1" si="51"/>
        <v>70.5</v>
      </c>
      <c r="G61" s="438">
        <f t="shared" ca="1" si="51"/>
        <v>35.25</v>
      </c>
      <c r="H61" s="436">
        <f ca="1">INDEX(INDIRECT("SSW_WTPCore2_"&amp;$B61&amp;"_LevelValues"),1,MATCH("S1 MEAN",WTPCore2_LevelValues,0))</f>
        <v>1.2301339708448666</v>
      </c>
      <c r="I61" s="436">
        <f ca="1">INDEX(INDIRECT("SSW_WTPCore2_"&amp;$B61&amp;"_LevelValues"),1,MATCH("S2 MEAN",WTPCore2_LevelValues,0))</f>
        <v>0.44133293088857806</v>
      </c>
      <c r="J61" s="436">
        <f ca="1">SUM(H61:I61)</f>
        <v>1.6714669017334447</v>
      </c>
      <c r="K61" s="440">
        <f ca="1">E61*(F61-G61)/AllProps_SSW</f>
        <v>23.381582342954161</v>
      </c>
      <c r="L61" s="117">
        <f ca="1">INDEX(INDIRECT("SSW_WTPCore_DCE_"&amp;$B61&amp;"_UnitValues"),MATCH("COMBINED-HH",WTPCore_Group,0),MATCH("MEAN",LMH,0))</f>
        <v>31319.148936170212</v>
      </c>
      <c r="M61" s="117">
        <f ca="1">L61*(F61-G61)/HHProps_SSW</f>
        <v>2</v>
      </c>
      <c r="N61" s="117">
        <f ca="1">INDEX(INDIRECT("SSW_WTPCore2_"&amp;$B61&amp;"_UnitValues"),1,MATCH("MEAN",LMH,0))</f>
        <v>26174.460418634368</v>
      </c>
      <c r="O61" s="117">
        <f ca="1">N61*(F61-G61)/HHProps_SSW</f>
        <v>1.6714669017334447</v>
      </c>
      <c r="P61" s="437">
        <f t="shared" ca="1" si="53"/>
        <v>0.37640488610496159</v>
      </c>
      <c r="Q61" s="611" t="s">
        <v>666</v>
      </c>
      <c r="R61" s="631">
        <f ca="1">P61*HHProps_SSW/((F61-G61))</f>
        <v>5894.3403441117389</v>
      </c>
      <c r="S61" s="438">
        <f t="shared" ca="1" si="52"/>
        <v>13.5</v>
      </c>
      <c r="T61" s="438">
        <f t="shared" ca="1" si="52"/>
        <v>6.75</v>
      </c>
      <c r="U61" s="436">
        <f ca="1">INDEX(INDIRECT("CAM_WTPCore2_"&amp;$B61&amp;"_LevelValues"),1,MATCH("S1 MEAN",WTPCore2_LevelValues,0))</f>
        <v>3.1349723048319831</v>
      </c>
      <c r="V61" s="436">
        <f ca="1">INDEX(INDIRECT("CAM_WTPCore2_"&amp;$B61&amp;"_LevelValues"),1,MATCH("S2 MEAN",WTPCore2_LevelValues,0))</f>
        <v>5.1405797633106154E-3</v>
      </c>
      <c r="W61" s="216">
        <f ca="1">SUM(U61:V61)</f>
        <v>3.1401128845952937</v>
      </c>
      <c r="X61" s="286">
        <f ca="1">E61*(S61-T61)/AllProps_CAM</f>
        <v>18.703148936170212</v>
      </c>
      <c r="Y61" s="117">
        <f ca="1">INDEX(INDIRECT("CAM_WTPCore_"&amp;$B61&amp;"_UnitValues"),MATCH("COMBINED-HH",WTPCore_Group,0),MATCH("MEAN",LMH,0))</f>
        <v>140121.48148148149</v>
      </c>
      <c r="Z61" s="117">
        <f ca="1">Y61*(S61-T61)/HHProps_CAM</f>
        <v>7.22</v>
      </c>
      <c r="AA61" s="117">
        <f ca="1">INDEX(INDIRECT("CAM_WTPCore2_"&amp;$B61&amp;"_UnitValues"),1,MATCH("MEAN",LMH,0))</f>
        <v>60941.450056590147</v>
      </c>
      <c r="AB61" s="117">
        <f ca="1">AA61*(S61-T61)/HHProps_CAM</f>
        <v>3.1401128845952937</v>
      </c>
      <c r="AC61" s="767">
        <f t="shared" ca="1" si="54"/>
        <v>0.91789171365713906</v>
      </c>
      <c r="AD61" s="517" t="s">
        <v>666</v>
      </c>
      <c r="AE61" s="627">
        <f ca="1">AC61*HHProps_CAM/((S61-T61))</f>
        <v>17813.898442827438</v>
      </c>
    </row>
    <row r="62" spans="1:31" x14ac:dyDescent="0.25">
      <c r="D62" s="514"/>
      <c r="E62" s="431"/>
      <c r="F62" s="436"/>
      <c r="G62" s="436"/>
      <c r="H62" s="436"/>
      <c r="I62" s="436"/>
      <c r="J62" s="445">
        <f ca="1">SUM(J58:J61)</f>
        <v>3.7921378969807416</v>
      </c>
      <c r="K62" s="446">
        <f ca="1">SUM(K58:K61)</f>
        <v>236.73451274588456</v>
      </c>
      <c r="L62" s="446"/>
      <c r="M62" s="446">
        <f ca="1">SUM(M57:M61)</f>
        <v>3.8299319869319861</v>
      </c>
      <c r="N62" s="446"/>
      <c r="O62" s="289">
        <f ca="1">SUM(O57:O61)</f>
        <v>3.7921378969807416</v>
      </c>
      <c r="P62" s="445">
        <f ca="1">SUM(P58:P61)</f>
        <v>3.8110349419563629</v>
      </c>
      <c r="Q62" s="618"/>
      <c r="R62" s="628"/>
      <c r="S62" s="767"/>
      <c r="T62" s="767"/>
      <c r="U62" s="767"/>
      <c r="V62" s="767"/>
      <c r="W62" s="52">
        <f ca="1">SUM(W58:W61)</f>
        <v>3.9031391326461922</v>
      </c>
      <c r="X62" s="532">
        <f ca="1">SUM(X58:X61)</f>
        <v>184.20076798378923</v>
      </c>
      <c r="Y62" s="446"/>
      <c r="Z62" s="446">
        <f ca="1">SUM(Z57:Z61)</f>
        <v>14.176849339735895</v>
      </c>
      <c r="AA62" s="446"/>
      <c r="AB62" s="446">
        <f ca="1">SUM(AB57:AB61)</f>
        <v>3.9031391326461922</v>
      </c>
      <c r="AC62" s="52">
        <f ca="1">SUM(AC58:AC61)</f>
        <v>9.0399942361910437</v>
      </c>
      <c r="AE62" s="534"/>
    </row>
    <row r="63" spans="1:31" s="60" customFormat="1" x14ac:dyDescent="0.25">
      <c r="D63" s="516"/>
      <c r="E63" s="523"/>
      <c r="F63" s="553"/>
      <c r="G63" s="553"/>
      <c r="H63" s="553"/>
      <c r="I63" s="553"/>
      <c r="J63" s="553"/>
      <c r="K63" s="829"/>
      <c r="L63" s="829"/>
      <c r="M63" s="830" t="s">
        <v>997</v>
      </c>
      <c r="N63" s="737">
        <f ca="1">AVERAGE(M62,O62)</f>
        <v>3.8110349419563638</v>
      </c>
      <c r="O63" s="830"/>
      <c r="P63" s="177"/>
      <c r="Q63" s="617"/>
      <c r="R63" s="629"/>
      <c r="S63" s="197"/>
      <c r="T63" s="197"/>
      <c r="U63" s="197"/>
      <c r="V63" s="197"/>
      <c r="W63" s="17"/>
      <c r="X63" s="829"/>
      <c r="Y63" s="829"/>
      <c r="Z63" s="830" t="s">
        <v>997</v>
      </c>
      <c r="AA63" s="737">
        <f ca="1">AVERAGE(Z62,AB62)</f>
        <v>9.0399942361910437</v>
      </c>
      <c r="AB63" s="830"/>
      <c r="AC63" s="177"/>
      <c r="AE63" s="535"/>
    </row>
    <row r="64" spans="1:31" x14ac:dyDescent="0.25">
      <c r="A64" s="61" t="s">
        <v>179</v>
      </c>
      <c r="B64" s="237"/>
      <c r="D64" s="515"/>
      <c r="E64" s="522"/>
      <c r="F64" s="448"/>
      <c r="G64" s="448"/>
      <c r="H64" s="497"/>
      <c r="I64" s="497"/>
      <c r="J64" s="497"/>
      <c r="K64" s="531"/>
      <c r="L64" s="531"/>
      <c r="M64" s="531"/>
      <c r="N64" s="117"/>
      <c r="O64" s="531"/>
      <c r="P64" s="54"/>
      <c r="Q64" s="614"/>
      <c r="R64" s="630"/>
      <c r="S64" s="54"/>
      <c r="T64" s="54"/>
      <c r="U64" s="53"/>
      <c r="V64" s="53"/>
      <c r="W64" s="53"/>
      <c r="X64" s="531"/>
      <c r="Y64" s="531"/>
      <c r="Z64" s="531"/>
      <c r="AA64" s="117"/>
      <c r="AB64" s="531"/>
      <c r="AC64" s="54"/>
      <c r="AE64" s="536"/>
    </row>
    <row r="65" spans="1:31" x14ac:dyDescent="0.25">
      <c r="A65" s="9" t="s">
        <v>180</v>
      </c>
      <c r="B65" s="9" t="s">
        <v>269</v>
      </c>
      <c r="C65" s="9" t="s">
        <v>331</v>
      </c>
      <c r="D65" s="514" t="s">
        <v>369</v>
      </c>
      <c r="E65" s="431">
        <f ca="1">INDEX(INDIRECT("ExtWTP19_"&amp;$C65&amp;"_UnitValues"),MATCH(A$64, INDIRECT("ExtWTP19_Comps_"&amp;C65),0),MATCH("HH",ExtWTP_Group,0))</f>
        <v>1312</v>
      </c>
      <c r="F65" s="828">
        <f t="shared" ref="F65:G68" ca="1" si="55">INDEX(INDIRECT("SSW_WTPCore2_"&amp;$B65&amp;"_Levels"),1,MATCH(F$4,WTPCore2_AttLevels,0))</f>
        <v>1.4285714285714285E-2</v>
      </c>
      <c r="G65" s="828">
        <f t="shared" ca="1" si="55"/>
        <v>9.5238095238095247E-3</v>
      </c>
      <c r="H65" s="436">
        <f ca="1">INDEX(INDIRECT("SSW_WTPCore2_"&amp;$B65&amp;"_LevelValues"),1,MATCH("S1 MEAN",WTPCore2_LevelValues,0))</f>
        <v>0.39718669024665654</v>
      </c>
      <c r="I65" s="436">
        <f ca="1">INDEX(INDIRECT("SSW_WTPCore2_"&amp;$B65&amp;"_LevelValues"),1,MATCH("S2 MEAN",WTPCore2_LevelValues,0))</f>
        <v>0.53859352958370721</v>
      </c>
      <c r="J65" s="436">
        <f ca="1">SUM(H65:I65)</f>
        <v>0.93578021983036375</v>
      </c>
      <c r="K65" s="440">
        <f ca="1">E65*(F65-G65)</f>
        <v>6.2476190476190459</v>
      </c>
      <c r="L65" s="117">
        <f ca="1">INDEX(INDIRECT("SSW_WTPCore_DCE_"&amp;$B65&amp;"_UnitValues"),MATCH("COMBINED-HH",WTPCore_Group,0),MATCH("MEAN",LMH,0))</f>
        <v>160.37052631578945</v>
      </c>
      <c r="M65" s="117">
        <f ca="1">L65*($F65-$G65)*(AllProps_SSW/HHProps_SSW)</f>
        <v>0.8148571428571425</v>
      </c>
      <c r="N65" s="117">
        <f ca="1">INDEX(INDIRECT("SSW_WTPCore2_"&amp;$B65&amp;"_UnitValues"),1,MATCH("MEAN",LMH,0))</f>
        <v>184.16917331534088</v>
      </c>
      <c r="O65" s="117">
        <f ca="1">N65*($F65-$G65)*(AllProps_SSW/HHProps_SSW)</f>
        <v>0.93578021983036364</v>
      </c>
      <c r="P65" s="437">
        <f ca="1">K65*N$70/K$69</f>
        <v>3.7514047744655175</v>
      </c>
      <c r="Q65" s="611" t="s">
        <v>369</v>
      </c>
      <c r="R65" s="627">
        <f ca="1">P65*HHProps_SSW/((F65-G65)*AllProps_SSW)</f>
        <v>738.30703133453801</v>
      </c>
      <c r="S65" s="828">
        <f t="shared" ref="S65:T68" ca="1" si="56">INDEX(INDIRECT("CAM_WTPCore2_"&amp;$B65&amp;"_Levels"),1,MATCH(S$4,WTPCore2_AttLevels,0))</f>
        <v>2.5000000000000001E-2</v>
      </c>
      <c r="T65" s="828">
        <f t="shared" ca="1" si="56"/>
        <v>1.6666666666666666E-2</v>
      </c>
      <c r="U65" s="436">
        <f ca="1">INDEX(INDIRECT("CAM_WTPCore2_"&amp;$B65&amp;"_LevelValues"),1,MATCH("S1 MEAN",WTPCore2_LevelValues,0))</f>
        <v>5.3490671066612649E-2</v>
      </c>
      <c r="V65" s="436">
        <f ca="1">INDEX(INDIRECT("CAM_WTPCore2_"&amp;$B65&amp;"_LevelValues"),1,MATCH("S2 MEAN",WTPCore2_LevelValues,0))</f>
        <v>0.33457681646237136</v>
      </c>
      <c r="W65" s="216">
        <f ca="1">SUM(U65:V65)</f>
        <v>0.38806748752898401</v>
      </c>
      <c r="X65" s="286">
        <f ca="1">E65*(S65-T65)</f>
        <v>10.933333333333335</v>
      </c>
      <c r="Y65" s="117">
        <f ca="1">INDEX(INDIRECT("CAM_WTPCore_"&amp;$B65&amp;"_UnitValues"),MATCH("COMBINED-HH",WTPCore_Group,0),MATCH("MEAN",LMH,0))</f>
        <v>27.921526908635794</v>
      </c>
      <c r="Z65" s="117">
        <f ca="1">Y65*($S65-$T65)*(AllProps_CAM/HHProps_CAM)</f>
        <v>0.25044117647058822</v>
      </c>
      <c r="AA65" s="117">
        <f ca="1">INDEX(INDIRECT("CAM_WTPCore2_"&amp;$B65&amp;"_UnitValues"),1,MATCH("MEAN",LMH,0))</f>
        <v>43.265396481954809</v>
      </c>
      <c r="AB65" s="117">
        <f ca="1">AA65*($S65-$T65)*(AllProps_CAM/HHProps_CAM)</f>
        <v>0.38806748752898401</v>
      </c>
      <c r="AC65" s="767">
        <f ca="1">X65*AA$70/X$69</f>
        <v>1.9506649258002096</v>
      </c>
      <c r="AD65" s="517" t="s">
        <v>369</v>
      </c>
      <c r="AE65" s="627">
        <f ca="1">AC65*HHProps_CAM/((S65-T65)*AllProps_CAM)</f>
        <v>217.47838747219353</v>
      </c>
    </row>
    <row r="66" spans="1:31" x14ac:dyDescent="0.25">
      <c r="A66" s="9" t="s">
        <v>330</v>
      </c>
      <c r="B66" s="9" t="s">
        <v>319</v>
      </c>
      <c r="C66" s="9" t="str">
        <f>B66</f>
        <v>TempBan</v>
      </c>
      <c r="D66" s="514" t="s">
        <v>369</v>
      </c>
      <c r="E66" s="431">
        <f ca="1">INDEX(INDIRECT("ExtWTP19_"&amp;$C66&amp;"_UnitValues"),MATCH(A$64, INDIRECT("ExtWTP19_Comps_"&amp;C66),0),MATCH("HH",ExtWTP_Group,0))</f>
        <v>0</v>
      </c>
      <c r="F66" s="828">
        <f t="shared" ca="1" si="55"/>
        <v>2.5000000000000001E-2</v>
      </c>
      <c r="G66" s="828">
        <f t="shared" ca="1" si="55"/>
        <v>1.5384615384615385E-2</v>
      </c>
      <c r="H66" s="436">
        <f ca="1">INDEX(INDIRECT("SSW_WTPCore2_"&amp;$B66&amp;"_LevelValues"),1,MATCH("S1 MEAN",WTPCore2_LevelValues,0))</f>
        <v>0.4084226191643695</v>
      </c>
      <c r="I66" s="436">
        <f ca="1">INDEX(INDIRECT("SSW_WTPCore2_"&amp;$B66&amp;"_LevelValues"),1,MATCH("S2 MEAN",WTPCore2_LevelValues,0))</f>
        <v>0.28250000903457151</v>
      </c>
      <c r="J66" s="436">
        <f ca="1">SUM(H66:I66)</f>
        <v>0.69092262819894101</v>
      </c>
      <c r="K66" s="440">
        <f ca="1">E66*(F66-G66)</f>
        <v>0</v>
      </c>
      <c r="L66" s="117">
        <f ca="1">INDEX(INDIRECT("SSW_WTPCore_DCE_"&amp;$B66&amp;"_UnitValues"),MATCH("COMBINED-HH",WTPCore_Group,0),MATCH("MEAN",LMH,0))</f>
        <v>251711.99999999994</v>
      </c>
      <c r="M66" s="117">
        <f ca="1">-L66*(F66-G66)/HHProps_SSW</f>
        <v>-4.3846153846153835E-3</v>
      </c>
      <c r="N66" s="117">
        <f ca="1">INDEX(INDIRECT("SSW_WTPCore2_"&amp;$B66&amp;"_UnitValues"),1,MATCH("MEAN",LMH,0))</f>
        <v>396644.86239644804</v>
      </c>
      <c r="O66" s="117">
        <f ca="1">N66*(F66-G66)/HHProps_SSW*100</f>
        <v>0.69092262819894101</v>
      </c>
      <c r="P66" s="437">
        <f t="shared" ref="P66:P68" ca="1" si="57">K66*N$70/K$69</f>
        <v>0</v>
      </c>
      <c r="Q66" s="615" t="s">
        <v>422</v>
      </c>
      <c r="R66" s="627">
        <f ca="1">P66*HHProps_SSW/((F66-G66)*100)</f>
        <v>0</v>
      </c>
      <c r="S66" s="828">
        <f t="shared" ca="1" si="56"/>
        <v>0.05</v>
      </c>
      <c r="T66" s="828">
        <f t="shared" ca="1" si="56"/>
        <v>3.3333333333333333E-2</v>
      </c>
      <c r="U66" s="436">
        <f ca="1">INDEX(INDIRECT("CAM_WTPCore2_"&amp;$B66&amp;"_LevelValues"),1,MATCH("S1 MEAN",WTPCore2_LevelValues,0))</f>
        <v>0.15591350717379643</v>
      </c>
      <c r="V66" s="436">
        <f ca="1">INDEX(INDIRECT("CAM_WTPCore2_"&amp;$B66&amp;"_LevelValues"),1,MATCH("S2 MEAN",WTPCore2_LevelValues,0))</f>
        <v>5.0130987785217407E-2</v>
      </c>
      <c r="W66" s="216">
        <f ca="1">SUM(U66:V66)</f>
        <v>0.20604449495901384</v>
      </c>
      <c r="X66" s="286">
        <f ca="1">E66*(S66-T66)</f>
        <v>0</v>
      </c>
      <c r="Y66" s="117">
        <f ca="1">INDEX(INDIRECT("CAM_WTPCore_"&amp;$B66&amp;"_UnitValues"),MATCH("COMBINED-HH",WTPCore_Group,0),MATCH("MEAN",LMH,0))</f>
        <v>452735.99999999994</v>
      </c>
      <c r="Z66" s="117">
        <f ca="1">Y66*(S66-T66)/HHProps_CAM*100</f>
        <v>5.7600000000000007</v>
      </c>
      <c r="AA66" s="117">
        <f ca="1">INDEX(INDIRECT("CAM_WTPCore2_"&amp;$B66&amp;"_UnitValues"),1,MATCH("MEAN",LMH,0))</f>
        <v>16195.097303778484</v>
      </c>
      <c r="AB66" s="117">
        <f ca="1">AA66*(S66-T66)/HHProps_CAM*100</f>
        <v>0.20604449495901386</v>
      </c>
      <c r="AC66" s="767">
        <f t="shared" ref="AC66:AC68" ca="1" si="58">X66*AA$70/X$69</f>
        <v>0</v>
      </c>
      <c r="AD66" s="911" t="s">
        <v>422</v>
      </c>
      <c r="AE66" s="627">
        <f ca="1">AC66*HHProps_CAM/((S66-T66)*100)</f>
        <v>0</v>
      </c>
    </row>
    <row r="67" spans="1:31" x14ac:dyDescent="0.25">
      <c r="A67" s="9" t="s">
        <v>3</v>
      </c>
      <c r="B67" s="9" t="s">
        <v>3</v>
      </c>
      <c r="C67" s="9" t="str">
        <f>B67</f>
        <v>Leakage</v>
      </c>
      <c r="D67" s="514" t="s">
        <v>666</v>
      </c>
      <c r="E67" s="431">
        <f ca="1">INDEX(INDIRECT("ExtWTP19_"&amp;$C67&amp;"_UnitValues"),MATCH(A$64, INDIRECT("ExtWTP19_Comps_"&amp;C67),0),MATCH("HH",ExtWTP_Group,0))</f>
        <v>753888</v>
      </c>
      <c r="F67" s="438">
        <f t="shared" ca="1" si="55"/>
        <v>70.5</v>
      </c>
      <c r="G67" s="438">
        <f t="shared" ca="1" si="55"/>
        <v>35.25</v>
      </c>
      <c r="H67" s="436">
        <f ca="1">INDEX(INDIRECT("SSW_WTPCore2_"&amp;$B67&amp;"_LevelValues"),1,MATCH("S1 MEAN",WTPCore2_LevelValues,0))</f>
        <v>1.2301339708448666</v>
      </c>
      <c r="I67" s="436">
        <f ca="1">INDEX(INDIRECT("SSW_WTPCore2_"&amp;$B67&amp;"_LevelValues"),1,MATCH("S2 MEAN",WTPCore2_LevelValues,0))</f>
        <v>0.44133293088857806</v>
      </c>
      <c r="J67" s="436">
        <f ca="1">SUM(H67:I67)</f>
        <v>1.6714669017334447</v>
      </c>
      <c r="K67" s="440">
        <f ca="1">E67*(F67-G67)/AllProps_SSW</f>
        <v>45.118084889643463</v>
      </c>
      <c r="L67" s="117">
        <f ca="1">INDEX(INDIRECT("SSW_WTPCore_DCE_"&amp;$B67&amp;"_UnitValues"),MATCH("COMBINED-HH",WTPCore_Group,0),MATCH("MEAN",LMH,0))</f>
        <v>31319.148936170212</v>
      </c>
      <c r="M67" s="117">
        <f ca="1">L67*(F67-G67)/HHProps_SSW</f>
        <v>2</v>
      </c>
      <c r="N67" s="117">
        <f ca="1">INDEX(INDIRECT("SSW_WTPCore2_"&amp;$B67&amp;"_UnitValues"),1,MATCH("MEAN",LMH,0))</f>
        <v>26174.460418634368</v>
      </c>
      <c r="O67" s="117">
        <f ca="1">N67*(F67-G67)/HHProps_SSW</f>
        <v>1.6714669017334447</v>
      </c>
      <c r="P67" s="437">
        <f t="shared" ca="1" si="57"/>
        <v>27.091312351103127</v>
      </c>
      <c r="Q67" s="611" t="s">
        <v>666</v>
      </c>
      <c r="R67" s="627">
        <f ca="1">P67*HHProps_SSW/((F67-G67))</f>
        <v>424238.42320025322</v>
      </c>
      <c r="S67" s="438">
        <f t="shared" ca="1" si="56"/>
        <v>13.5</v>
      </c>
      <c r="T67" s="438">
        <f t="shared" ca="1" si="56"/>
        <v>6.75</v>
      </c>
      <c r="U67" s="436">
        <f ca="1">INDEX(INDIRECT("CAM_WTPCore2_"&amp;$B67&amp;"_LevelValues"),1,MATCH("S1 MEAN",WTPCore2_LevelValues,0))</f>
        <v>3.1349723048319831</v>
      </c>
      <c r="V67" s="436">
        <f ca="1">INDEX(INDIRECT("CAM_WTPCore2_"&amp;$B67&amp;"_LevelValues"),1,MATCH("S2 MEAN",WTPCore2_LevelValues,0))</f>
        <v>5.1405797633106154E-3</v>
      </c>
      <c r="W67" s="216">
        <f ca="1">SUM(U67:V67)</f>
        <v>3.1401128845952937</v>
      </c>
      <c r="X67" s="286">
        <f ca="1">E67*(S67-T67)/AllProps_CAM</f>
        <v>36.090382978723405</v>
      </c>
      <c r="Y67" s="117">
        <f ca="1">INDEX(INDIRECT("CAM_WTPCore_"&amp;$B67&amp;"_UnitValues"),MATCH("COMBINED-HH",WTPCore_Group,0),MATCH("MEAN",LMH,0))</f>
        <v>140121.48148148149</v>
      </c>
      <c r="Z67" s="117">
        <f ca="1">Y67*(S67-T67)/HHProps_CAM</f>
        <v>7.22</v>
      </c>
      <c r="AA67" s="117">
        <f ca="1">INDEX(INDIRECT("CAM_WTPCore2_"&amp;$B67&amp;"_UnitValues"),1,MATCH("MEAN",LMH,0))</f>
        <v>60941.450056590147</v>
      </c>
      <c r="AB67" s="117">
        <f ca="1">AA67*(S67-T67)/HHProps_CAM</f>
        <v>3.1401128845952937</v>
      </c>
      <c r="AC67" s="767">
        <f ca="1">X67*AA$70/X$69</f>
        <v>6.4390467288377407</v>
      </c>
      <c r="AD67" s="517" t="s">
        <v>666</v>
      </c>
      <c r="AE67" s="627">
        <f ca="1">AC67*HHProps_CAM/((S67-T67))</f>
        <v>124965.20318188801</v>
      </c>
    </row>
    <row r="68" spans="1:31" x14ac:dyDescent="0.25">
      <c r="A68" s="9" t="s">
        <v>669</v>
      </c>
      <c r="B68" s="9" t="s">
        <v>315</v>
      </c>
      <c r="C68" s="9" t="str">
        <f>B68</f>
        <v>Wildlife</v>
      </c>
      <c r="D68" s="514" t="s">
        <v>397</v>
      </c>
      <c r="E68" s="431">
        <f ca="1">INDEX(INDIRECT("ExtWTP19_"&amp;$C68&amp;"_UnitValues"),MATCH(A$64, INDIRECT("ExtWTP19_Comps_"&amp;C68),0),MATCH("HH",ExtWTP_Group,0))</f>
        <v>61013</v>
      </c>
      <c r="F68" s="438">
        <f t="shared" ca="1" si="55"/>
        <v>0</v>
      </c>
      <c r="G68" s="438">
        <f t="shared" ca="1" si="55"/>
        <v>50</v>
      </c>
      <c r="H68" s="436">
        <f ca="1">INDEX(INDIRECT("SSW_WTPCore2_"&amp;$B68&amp;"_LevelValues"),1,MATCH("S1 MEAN",WTPCore2_LevelValues,0))</f>
        <v>0.31132700138064179</v>
      </c>
      <c r="I68" s="436">
        <f ca="1">INDEX(INDIRECT("SSW_WTPCore2_"&amp;$B68&amp;"_LevelValues"),1,MATCH("S2 MEAN",WTPCore2_LevelValues,0))</f>
        <v>0.13284027031511708</v>
      </c>
      <c r="J68" s="436">
        <f ca="1">SUM(H68:I68)</f>
        <v>0.44416727169575887</v>
      </c>
      <c r="K68" s="440">
        <f ca="1">-E68*(F68-G68)/AllProps_SSW</f>
        <v>5.17937181663837</v>
      </c>
      <c r="L68" s="117">
        <f ca="1">INDEX(INDIRECT("SSW_WTPCore_DCE_"&amp;$B68&amp;"_UnitValues"),MATCH("COMBINED-HH",WTPCore_Group,0),MATCH("MEAN",LMH,0))</f>
        <v>10488</v>
      </c>
      <c r="M68" s="117">
        <f ca="1">-L68*(F68-G68)/HHProps_SSW</f>
        <v>0.95</v>
      </c>
      <c r="N68" s="117">
        <f ca="1">INDEX(INDIRECT("SSW_WTPCore2_"&amp;$B68&amp;"_UnitValues"),1,MATCH("MEAN",LMH,0))</f>
        <v>4903.6066795211782</v>
      </c>
      <c r="O68" s="117">
        <f ca="1">-N68*(F68-G68)/HHProps_SSW</f>
        <v>0.44416727169575887</v>
      </c>
      <c r="P68" s="437">
        <f t="shared" ca="1" si="57"/>
        <v>3.1099719770964627</v>
      </c>
      <c r="Q68" s="611" t="s">
        <v>397</v>
      </c>
      <c r="R68" s="627">
        <f ca="1">-P68*HHProps_SSW/((F68-G68))</f>
        <v>34334.090627144949</v>
      </c>
      <c r="S68" s="438">
        <f t="shared" ca="1" si="56"/>
        <v>0</v>
      </c>
      <c r="T68" s="438">
        <f t="shared" ca="1" si="56"/>
        <v>9</v>
      </c>
      <c r="U68" s="436">
        <f ca="1">INDEX(INDIRECT("CAM_WTPCore2_"&amp;$B68&amp;"_LevelValues"),1,MATCH("S1 MEAN",WTPCore2_LevelValues,0))</f>
        <v>0.16524275196632074</v>
      </c>
      <c r="V68" s="436">
        <f ca="1">INDEX(INDIRECT("CAM_WTPCore2_"&amp;$B68&amp;"_LevelValues"),1,MATCH("S2 MEAN",WTPCore2_LevelValues,0))</f>
        <v>2.2165878650139109E-2</v>
      </c>
      <c r="W68" s="216">
        <f ca="1">SUM(U68:V68)</f>
        <v>0.18740863061645985</v>
      </c>
      <c r="X68" s="286">
        <f ca="1">-E68*(S68-T68)/AllProps_CAM</f>
        <v>3.8944468085106383</v>
      </c>
      <c r="Y68" s="117">
        <f ca="1">INDEX(INDIRECT("CAM_WTPCore_"&amp;$B68&amp;"_UnitValues"),MATCH("COMBINED-HH",WTPCore_Group,0),MATCH("MEAN",LMH,0))</f>
        <v>14803.000000000004</v>
      </c>
      <c r="Z68" s="117">
        <f ca="1">-Y68*(S68-T68)/HHProps_CAM</f>
        <v>1.0170000000000001</v>
      </c>
      <c r="AA68" s="117">
        <f ca="1">INDEX(INDIRECT("CAM_WTPCore2_"&amp;$B68&amp;"_UnitValues"),1,MATCH("MEAN",LMH,0))</f>
        <v>2727.836734528471</v>
      </c>
      <c r="AB68" s="117">
        <f ca="1">-AA68*(S68-T68)/HHProps_CAM</f>
        <v>0.18740863061645985</v>
      </c>
      <c r="AC68" s="767">
        <f t="shared" ca="1" si="58"/>
        <v>0.69482568244721943</v>
      </c>
      <c r="AD68" s="517" t="s">
        <v>397</v>
      </c>
      <c r="AE68" s="627">
        <f ca="1">-AC68*HHProps_CAM/((S68-T68))</f>
        <v>10113.573822287304</v>
      </c>
    </row>
    <row r="69" spans="1:31" x14ac:dyDescent="0.25">
      <c r="D69" s="514"/>
      <c r="E69" s="431"/>
      <c r="F69" s="828"/>
      <c r="G69" s="828"/>
      <c r="H69" s="436"/>
      <c r="I69" s="436"/>
      <c r="J69" s="445">
        <f ca="1">SUM(J65:J68)</f>
        <v>3.7423370214585083</v>
      </c>
      <c r="K69" s="603">
        <f ca="1">SUM(K65:K66)</f>
        <v>6.2476190476190459</v>
      </c>
      <c r="L69" s="603"/>
      <c r="M69" s="446">
        <f ca="1">SUM(M64:M68)</f>
        <v>3.760472527472527</v>
      </c>
      <c r="N69" s="446"/>
      <c r="O69" s="289">
        <f ca="1">SUM(O64:O68)</f>
        <v>3.7423370214585083</v>
      </c>
      <c r="P69" s="497">
        <f ca="1">SUM(P65:P66)</f>
        <v>3.7514047744655175</v>
      </c>
      <c r="Q69" s="618"/>
      <c r="R69" s="631"/>
      <c r="S69" s="837"/>
      <c r="T69" s="837"/>
      <c r="U69" s="767"/>
      <c r="V69" s="767"/>
      <c r="W69" s="52">
        <f ca="1">SUM(W65:W68)</f>
        <v>3.9216334976997516</v>
      </c>
      <c r="X69" s="532">
        <f ca="1">SUM(X65:X68)</f>
        <v>50.918163120567378</v>
      </c>
      <c r="Y69" s="603"/>
      <c r="Z69" s="446">
        <f ca="1">SUM(Z64:Z68)</f>
        <v>14.247441176470588</v>
      </c>
      <c r="AA69" s="446"/>
      <c r="AB69" s="446">
        <f ca="1">SUM(AB64:AB68)</f>
        <v>3.9216334976997516</v>
      </c>
      <c r="AC69" s="52">
        <f ca="1">SUM(AC65:AC68)</f>
        <v>9.0845373370851696</v>
      </c>
      <c r="AE69" s="534"/>
    </row>
    <row r="70" spans="1:31" s="60" customFormat="1" x14ac:dyDescent="0.25">
      <c r="D70" s="516"/>
      <c r="E70" s="523"/>
      <c r="F70" s="553"/>
      <c r="G70" s="553"/>
      <c r="H70" s="553"/>
      <c r="I70" s="553"/>
      <c r="J70" s="553"/>
      <c r="K70" s="829"/>
      <c r="L70" s="829"/>
      <c r="M70" s="830" t="s">
        <v>997</v>
      </c>
      <c r="N70" s="737">
        <f ca="1">AVERAGE(M69,O69)</f>
        <v>3.7514047744655175</v>
      </c>
      <c r="O70" s="830"/>
      <c r="P70" s="177"/>
      <c r="Q70" s="617"/>
      <c r="R70" s="629"/>
      <c r="S70" s="197"/>
      <c r="T70" s="197"/>
      <c r="U70" s="197"/>
      <c r="V70" s="197"/>
      <c r="W70" s="17"/>
      <c r="X70" s="829"/>
      <c r="Y70" s="829"/>
      <c r="Z70" s="830" t="s">
        <v>997</v>
      </c>
      <c r="AA70" s="737">
        <f ca="1">AVERAGE(Z69,AB69)</f>
        <v>9.0845373370851696</v>
      </c>
      <c r="AB70" s="830"/>
      <c r="AC70" s="177"/>
      <c r="AE70" s="535"/>
    </row>
    <row r="71" spans="1:31" x14ac:dyDescent="0.25">
      <c r="A71" s="61" t="s">
        <v>174</v>
      </c>
      <c r="B71" s="237"/>
      <c r="D71" s="515"/>
      <c r="E71" s="522"/>
      <c r="F71" s="448"/>
      <c r="G71" s="448"/>
      <c r="H71" s="497"/>
      <c r="I71" s="497"/>
      <c r="J71" s="497"/>
      <c r="K71" s="531"/>
      <c r="L71" s="531"/>
      <c r="M71" s="531"/>
      <c r="N71" s="531"/>
      <c r="O71" s="531"/>
      <c r="P71" s="54"/>
      <c r="Q71" s="614"/>
      <c r="R71" s="630"/>
      <c r="S71" s="54"/>
      <c r="T71" s="54"/>
      <c r="U71" s="53"/>
      <c r="V71" s="53"/>
      <c r="W71" s="53"/>
      <c r="X71" s="531"/>
      <c r="Y71" s="531"/>
      <c r="Z71" s="531"/>
      <c r="AA71" s="531"/>
      <c r="AB71" s="531"/>
      <c r="AC71" s="54"/>
      <c r="AE71" s="536"/>
    </row>
    <row r="72" spans="1:31" x14ac:dyDescent="0.25">
      <c r="A72" s="9" t="s">
        <v>117</v>
      </c>
      <c r="B72" s="9" t="s">
        <v>265</v>
      </c>
      <c r="C72" s="9" t="str">
        <f>B72</f>
        <v>TasteSmell</v>
      </c>
      <c r="D72" s="514" t="s">
        <v>369</v>
      </c>
      <c r="E72" s="431">
        <f ca="1">INDEX(INDIRECT("ExtWTP19_"&amp;$C72&amp;"_UnitValues"),MATCH(A$71, INDIRECT("ExtWTP19_Comps_"&amp;C72),0),MATCH("HH",ExtWTP_Group,0))</f>
        <v>1455</v>
      </c>
      <c r="F72" s="828">
        <f t="shared" ref="F72:G75" ca="1" si="59">INDEX(INDIRECT("SSW_WTPCore2_"&amp;$B72&amp;"_Levels"),1,MATCH(F$4,WTPCore2_AttLevels,0))</f>
        <v>1.6666666666666666E-2</v>
      </c>
      <c r="G72" s="828">
        <f t="shared" ca="1" si="59"/>
        <v>1.1111111111111112E-2</v>
      </c>
      <c r="H72" s="436">
        <f ca="1">INDEX(INDIRECT("SSW_WTPCore2_"&amp;$B72&amp;"_LevelValues"),1,MATCH("S1 MEAN",WTPCore2_LevelValues,0))</f>
        <v>0.30818609087835352</v>
      </c>
      <c r="I72" s="436">
        <f ca="1">INDEX(INDIRECT("SSW_WTPCore2_"&amp;$B72&amp;"_LevelValues"),1,MATCH("S2 MEAN",WTPCore2_LevelValues,0))</f>
        <v>0.18578205633963885</v>
      </c>
      <c r="J72" s="436">
        <f ca="1">SUM(H72:I72)</f>
        <v>0.49396814721799237</v>
      </c>
      <c r="K72" s="440">
        <f ca="1">E72*(F72-G72)</f>
        <v>8.0833333333333321</v>
      </c>
      <c r="L72" s="117">
        <f ca="1">INDEX(INDIRECT("SSW_WTPCore_DCE_"&amp;$B72&amp;"_UnitValues"),MATCH("COMBINED-HH",WTPCore_Group,0),MATCH("MEAN",LMH,0))</f>
        <v>171.97536823750744</v>
      </c>
      <c r="M72" s="117">
        <f ca="1">L72*($F72-$G72)*(AllProps_SSW/HHProps_SSW)</f>
        <v>1.0194594594594593</v>
      </c>
      <c r="N72" s="117">
        <f ca="1">INDEX(INDIRECT("SSW_WTPCore2_"&amp;$B72&amp;"_UnitValues"),1,MATCH("MEAN",LMH,0))</f>
        <v>83.328820216603944</v>
      </c>
      <c r="O72" s="117">
        <f ca="1">N72*($F72-$G72)*(AllProps_SSW/HHProps_SSW)</f>
        <v>0.49396814721799231</v>
      </c>
      <c r="P72" s="437">
        <f ca="1">K72*N$77/K$76</f>
        <v>1.4035030796042891</v>
      </c>
      <c r="Q72" s="616" t="s">
        <v>369</v>
      </c>
      <c r="R72" s="627">
        <f ca="1">P72*HHProps_SSW/((F72-G72)*AllProps_SSW)</f>
        <v>236.76072324190525</v>
      </c>
      <c r="S72" s="828">
        <f t="shared" ref="S72:T75" ca="1" si="60">INDEX(INDIRECT("CAM_WTPCore2_"&amp;$B72&amp;"_Levels"),1,MATCH(S$4,WTPCore2_AttLevels,0))</f>
        <v>1.4285714285714285E-2</v>
      </c>
      <c r="T72" s="828">
        <f t="shared" ca="1" si="60"/>
        <v>0.01</v>
      </c>
      <c r="U72" s="436">
        <f ca="1">INDEX(INDIRECT("CAM_WTPCore2_"&amp;$B72&amp;"_LevelValues"),1,MATCH("S1 MEAN",WTPCore2_LevelValues,0))</f>
        <v>4.7204807663126298E-2</v>
      </c>
      <c r="V72" s="436">
        <f ca="1">INDEX(INDIRECT("CAM_WTPCore2_"&amp;$B72&amp;"_LevelValues"),1,MATCH("S2 MEAN",WTPCore2_LevelValues,0))</f>
        <v>0.1217094578997745</v>
      </c>
      <c r="W72" s="216">
        <f ca="1">SUM(U72:V72)</f>
        <v>0.16891426556290079</v>
      </c>
      <c r="X72" s="286">
        <f ca="1">E72*(S72-T72)</f>
        <v>6.2357142857142849</v>
      </c>
      <c r="Y72" s="117">
        <f ca="1">INDEX(INDIRECT("CAM_WTPCore_"&amp;$B72&amp;"_UnitValues"),MATCH("COMBINED-HH",WTPCore_Group,0),MATCH("MEAN",LMH,0))</f>
        <v>205.16697061803447</v>
      </c>
      <c r="Z72" s="117">
        <f ca="1">Y72*($S72-$T72)*(AllProps_CAM/HHProps_CAM)</f>
        <v>0.94640816326530608</v>
      </c>
      <c r="AA72" s="117">
        <f ca="1">INDEX(INDIRECT("CAM_WTPCore2_"&amp;$B72&amp;"_UnitValues"),1,MATCH("MEAN",LMH,0))</f>
        <v>36.618057097205678</v>
      </c>
      <c r="AB72" s="117">
        <f ca="1">AA72*($S72-$T72)*(AllProps_CAM/HHProps_CAM)</f>
        <v>0.16891426556290076</v>
      </c>
      <c r="AC72" s="767">
        <f ca="1">X72*AA$77/X$76</f>
        <v>1.2547637484482681</v>
      </c>
      <c r="AD72" s="514" t="s">
        <v>369</v>
      </c>
      <c r="AE72" s="627">
        <f ca="1">AC72*HHProps_CAM/((S72-T72)*AllProps_CAM)</f>
        <v>272.01379605840708</v>
      </c>
    </row>
    <row r="73" spans="1:31" x14ac:dyDescent="0.25">
      <c r="A73" s="9" t="s">
        <v>672</v>
      </c>
      <c r="B73" s="9" t="s">
        <v>269</v>
      </c>
      <c r="C73" s="9" t="s">
        <v>328</v>
      </c>
      <c r="D73" s="514" t="s">
        <v>369</v>
      </c>
      <c r="E73" s="431">
        <f ca="1">INDEX(INDIRECT("ExtWTP19_"&amp;$C73&amp;"_UnitValues"),MATCH(A$71, INDIRECT("ExtWTP19_Comps_"&amp;C73),0),MATCH("HH",ExtWTP_Group,0))</f>
        <v>515</v>
      </c>
      <c r="F73" s="828">
        <f t="shared" ca="1" si="59"/>
        <v>1.4285714285714285E-2</v>
      </c>
      <c r="G73" s="828">
        <f t="shared" ca="1" si="59"/>
        <v>9.5238095238095247E-3</v>
      </c>
      <c r="H73" s="436">
        <f ca="1">INDEX(INDIRECT("SSW_WTPCore2_"&amp;$B73&amp;"_LevelValues"),1,MATCH("S1 MEAN",WTPCore2_LevelValues,0))</f>
        <v>0.39718669024665654</v>
      </c>
      <c r="I73" s="436">
        <f ca="1">INDEX(INDIRECT("SSW_WTPCore2_"&amp;$B73&amp;"_LevelValues"),1,MATCH("S2 MEAN",WTPCore2_LevelValues,0))</f>
        <v>0.53859352958370721</v>
      </c>
      <c r="J73" s="436">
        <f ca="1">SUM(H73:I73)</f>
        <v>0.93578021983036375</v>
      </c>
      <c r="K73" s="440">
        <f ca="1">E73*(F73-G73)</f>
        <v>2.4523809523809517</v>
      </c>
      <c r="L73" s="117">
        <f ca="1">INDEX(INDIRECT("SSW_WTPCore_DCE_"&amp;$B73&amp;"_UnitValues"),MATCH("COMBINED-HH",WTPCore_Group,0),MATCH("MEAN",LMH,0))</f>
        <v>160.37052631578945</v>
      </c>
      <c r="M73" s="117">
        <f ca="1">L73*($F73-$G73)*(AllProps_SSW/HHProps_SSW)</f>
        <v>0.8148571428571425</v>
      </c>
      <c r="N73" s="117">
        <f ca="1">INDEX(INDIRECT("SSW_WTPCore2_"&amp;$B73&amp;"_UnitValues"),1,MATCH("MEAN",LMH,0))</f>
        <v>184.16917331534088</v>
      </c>
      <c r="O73" s="117">
        <f ca="1">N73*($F73-$G73)*(AllProps_SSW/HHProps_SSW)</f>
        <v>0.93578021983036364</v>
      </c>
      <c r="P73" s="437">
        <f t="shared" ref="P73:P75" ca="1" si="61">K73*N$77/K$76</f>
        <v>0.42580505802427615</v>
      </c>
      <c r="Q73" s="611" t="s">
        <v>369</v>
      </c>
      <c r="R73" s="627">
        <f ca="1">P73*HHProps_SSW/((F73-G73)*AllProps_SSW)</f>
        <v>83.801905477375385</v>
      </c>
      <c r="S73" s="828">
        <f t="shared" ca="1" si="60"/>
        <v>2.5000000000000001E-2</v>
      </c>
      <c r="T73" s="828">
        <f t="shared" ca="1" si="60"/>
        <v>1.6666666666666666E-2</v>
      </c>
      <c r="U73" s="436">
        <f ca="1">INDEX(INDIRECT("CAM_WTPCore2_"&amp;$B73&amp;"_LevelValues"),1,MATCH("S1 MEAN",WTPCore2_LevelValues,0))</f>
        <v>5.3490671066612649E-2</v>
      </c>
      <c r="V73" s="436">
        <f ca="1">INDEX(INDIRECT("CAM_WTPCore2_"&amp;$B73&amp;"_LevelValues"),1,MATCH("S2 MEAN",WTPCore2_LevelValues,0))</f>
        <v>0.33457681646237136</v>
      </c>
      <c r="W73" s="216">
        <f ca="1">SUM(U73:V73)</f>
        <v>0.38806748752898401</v>
      </c>
      <c r="X73" s="286">
        <f ca="1">E73*(S73-T73)</f>
        <v>4.2916666666666679</v>
      </c>
      <c r="Y73" s="117">
        <f ca="1">INDEX(INDIRECT("CAM_WTPCore_"&amp;$B73&amp;"_UnitValues"),MATCH("COMBINED-HH",WTPCore_Group,0),MATCH("MEAN",LMH,0))</f>
        <v>27.921526908635794</v>
      </c>
      <c r="Z73" s="117">
        <f ca="1">Y73*($S73-$T73)*(AllProps_CAM/HHProps_CAM)</f>
        <v>0.25044117647058822</v>
      </c>
      <c r="AA73" s="117">
        <f ca="1">INDEX(INDIRECT("CAM_WTPCore2_"&amp;$B73&amp;"_UnitValues"),1,MATCH("MEAN",LMH,0))</f>
        <v>43.265396481954809</v>
      </c>
      <c r="AB73" s="117">
        <f ca="1">AA73*($S73-$T73)*(AllProps_CAM/HHProps_CAM)</f>
        <v>0.38806748752898401</v>
      </c>
      <c r="AC73" s="767">
        <f t="shared" ref="AC73:AC75" ca="1" si="62">X73*AA$77/X$76</f>
        <v>0.86357833393585504</v>
      </c>
      <c r="AD73" s="517" t="s">
        <v>369</v>
      </c>
      <c r="AE73" s="627">
        <f ca="1">AC73*HHProps_CAM/((S73-T73)*AllProps_CAM)</f>
        <v>96.279797230295301</v>
      </c>
    </row>
    <row r="74" spans="1:31" x14ac:dyDescent="0.25">
      <c r="A74" s="9" t="s">
        <v>673</v>
      </c>
      <c r="B74" s="9" t="s">
        <v>269</v>
      </c>
      <c r="C74" s="9" t="s">
        <v>326</v>
      </c>
      <c r="D74" s="514" t="s">
        <v>369</v>
      </c>
      <c r="E74" s="431">
        <f ca="1">INDEX(INDIRECT("ExtWTP19_"&amp;$C74&amp;"_UnitValues"),MATCH(A$71, INDIRECT("ExtWTP19_Comps_"&amp;C74),0),MATCH("HH",ExtWTP_Group,0))</f>
        <v>579</v>
      </c>
      <c r="F74" s="828">
        <f t="shared" ca="1" si="59"/>
        <v>1.4285714285714285E-2</v>
      </c>
      <c r="G74" s="828">
        <f t="shared" ca="1" si="59"/>
        <v>9.5238095238095247E-3</v>
      </c>
      <c r="H74" s="436">
        <f ca="1">INDEX(INDIRECT("SSW_WTPCore2_"&amp;$B74&amp;"_LevelValues"),1,MATCH("S1 MEAN",WTPCore2_LevelValues,0))</f>
        <v>0.39718669024665654</v>
      </c>
      <c r="I74" s="436">
        <f ca="1">INDEX(INDIRECT("SSW_WTPCore2_"&amp;$B74&amp;"_LevelValues"),1,MATCH("S2 MEAN",WTPCore2_LevelValues,0))</f>
        <v>0.53859352958370721</v>
      </c>
      <c r="J74" s="436">
        <f ca="1">SUM(H74:I74)</f>
        <v>0.93578021983036375</v>
      </c>
      <c r="K74" s="440">
        <f ca="1">E74*(F74-G74)</f>
        <v>2.7571428571428562</v>
      </c>
      <c r="L74" s="117">
        <f ca="1">INDEX(INDIRECT("SSW_WTPCore_DCE_"&amp;$B74&amp;"_UnitValues"),MATCH("COMBINED-HH",WTPCore_Group,0),MATCH("MEAN",LMH,0))</f>
        <v>160.37052631578945</v>
      </c>
      <c r="M74" s="117">
        <f ca="1">L74*($F74-$G74)*(AllProps_SSW/HHProps_SSW)</f>
        <v>0.8148571428571425</v>
      </c>
      <c r="N74" s="117">
        <f ca="1">INDEX(INDIRECT("SSW_WTPCore2_"&amp;$B74&amp;"_UnitValues"),1,MATCH("MEAN",LMH,0))</f>
        <v>184.16917331534088</v>
      </c>
      <c r="O74" s="117">
        <f ca="1">N74*($F74-$G74)*(AllProps_SSW/HHProps_SSW)</f>
        <v>0.93578021983036364</v>
      </c>
      <c r="P74" s="437">
        <f t="shared" ca="1" si="61"/>
        <v>0.47872063805059395</v>
      </c>
      <c r="Q74" s="611" t="s">
        <v>369</v>
      </c>
      <c r="R74" s="627">
        <f ca="1">P74*HHProps_SSW/((F74-G74)*AllProps_SSW)</f>
        <v>94.216122857088052</v>
      </c>
      <c r="S74" s="828">
        <f t="shared" ca="1" si="60"/>
        <v>2.5000000000000001E-2</v>
      </c>
      <c r="T74" s="828">
        <f t="shared" ca="1" si="60"/>
        <v>1.6666666666666666E-2</v>
      </c>
      <c r="U74" s="436">
        <f ca="1">INDEX(INDIRECT("CAM_WTPCore2_"&amp;$B74&amp;"_LevelValues"),1,MATCH("S1 MEAN",WTPCore2_LevelValues,0))</f>
        <v>5.3490671066612649E-2</v>
      </c>
      <c r="V74" s="436">
        <f ca="1">INDEX(INDIRECT("CAM_WTPCore2_"&amp;$B74&amp;"_LevelValues"),1,MATCH("S2 MEAN",WTPCore2_LevelValues,0))</f>
        <v>0.33457681646237136</v>
      </c>
      <c r="W74" s="216">
        <f ca="1">SUM(U74:V74)</f>
        <v>0.38806748752898401</v>
      </c>
      <c r="X74" s="286">
        <f ca="1">E74*(S74-T74)</f>
        <v>4.8250000000000011</v>
      </c>
      <c r="Y74" s="117">
        <f ca="1">INDEX(INDIRECT("CAM_WTPCore_"&amp;$B74&amp;"_UnitValues"),MATCH("COMBINED-HH",WTPCore_Group,0),MATCH("MEAN",LMH,0))</f>
        <v>27.921526908635794</v>
      </c>
      <c r="Z74" s="117">
        <f ca="1">Y74*($S74-$T74)*(AllProps_CAM/HHProps_CAM)</f>
        <v>0.25044117647058822</v>
      </c>
      <c r="AA74" s="117">
        <f ca="1">INDEX(INDIRECT("CAM_WTPCore2_"&amp;$B74&amp;"_UnitValues"),1,MATCH("MEAN",LMH,0))</f>
        <v>43.265396481954809</v>
      </c>
      <c r="AB74" s="117">
        <f ca="1">AA74*($S74-$T74)*(AllProps_CAM/HHProps_CAM)</f>
        <v>0.38806748752898401</v>
      </c>
      <c r="AC74" s="767">
        <f t="shared" ca="1" si="62"/>
        <v>0.97089680650264087</v>
      </c>
      <c r="AD74" s="517" t="s">
        <v>369</v>
      </c>
      <c r="AE74" s="627">
        <f ca="1">AC74*HHProps_CAM/((S74-T74)*AllProps_CAM)</f>
        <v>108.24466523561355</v>
      </c>
    </row>
    <row r="75" spans="1:31" x14ac:dyDescent="0.25">
      <c r="A75" s="9" t="s">
        <v>330</v>
      </c>
      <c r="B75" s="9" t="s">
        <v>319</v>
      </c>
      <c r="C75" s="9" t="str">
        <f>B75</f>
        <v>TempBan</v>
      </c>
      <c r="D75" s="514" t="s">
        <v>369</v>
      </c>
      <c r="E75" s="431">
        <f ca="1">INDEX(INDIRECT("ExtWTP19_"&amp;$C75&amp;"_UnitValues"),MATCH(A$71, INDIRECT("ExtWTP19_Comps_"&amp;C75),0),MATCH("HH",ExtWTP_Group,0))</f>
        <v>325</v>
      </c>
      <c r="F75" s="828">
        <f t="shared" ca="1" si="59"/>
        <v>2.5000000000000001E-2</v>
      </c>
      <c r="G75" s="828">
        <f t="shared" ca="1" si="59"/>
        <v>1.5384615384615385E-2</v>
      </c>
      <c r="H75" s="436">
        <f ca="1">INDEX(INDIRECT("SSW_WTPCore2_"&amp;$B75&amp;"_LevelValues"),1,MATCH("S1 MEAN",WTPCore2_LevelValues,0))</f>
        <v>0.4084226191643695</v>
      </c>
      <c r="I75" s="436">
        <f ca="1">INDEX(INDIRECT("SSW_WTPCore2_"&amp;$B75&amp;"_LevelValues"),1,MATCH("S2 MEAN",WTPCore2_LevelValues,0))</f>
        <v>0.28250000903457151</v>
      </c>
      <c r="J75" s="436">
        <f ca="1">SUM(H75:I75)</f>
        <v>0.69092262819894101</v>
      </c>
      <c r="K75" s="440">
        <f ca="1">E75*(F75-G75)</f>
        <v>3.125</v>
      </c>
      <c r="L75" s="117">
        <f ca="1">INDEX(INDIRECT("SSW_WTPCore_DCE_"&amp;$B75&amp;"_UnitValues"),MATCH("COMBINED-HH",WTPCore_Group,0),MATCH("MEAN",LMH,0))</f>
        <v>251711.99999999994</v>
      </c>
      <c r="M75" s="117">
        <f ca="1">-L75*(F75-G75)/HHProps_SSW</f>
        <v>-4.3846153846153835E-3</v>
      </c>
      <c r="N75" s="117">
        <f ca="1">INDEX(INDIRECT("SSW_WTPCore2_"&amp;$B75&amp;"_UnitValues"),1,MATCH("MEAN",LMH,0))</f>
        <v>396644.86239644804</v>
      </c>
      <c r="O75" s="117">
        <f ca="1">N75*(F75-G75)/HHProps_SSW*100</f>
        <v>0.69092262819894101</v>
      </c>
      <c r="P75" s="437">
        <f t="shared" ca="1" si="61"/>
        <v>0.54259139675423551</v>
      </c>
      <c r="Q75" s="615" t="s">
        <v>422</v>
      </c>
      <c r="R75" s="627">
        <f ca="1">P75*HHProps_SSW/((F75-G75)*100)</f>
        <v>311490.86904867151</v>
      </c>
      <c r="S75" s="828">
        <f t="shared" ca="1" si="60"/>
        <v>0.05</v>
      </c>
      <c r="T75" s="828">
        <f t="shared" ca="1" si="60"/>
        <v>3.3333333333333333E-2</v>
      </c>
      <c r="U75" s="436">
        <f ca="1">INDEX(INDIRECT("CAM_WTPCore2_"&amp;$B75&amp;"_LevelValues"),1,MATCH("S1 MEAN",WTPCore2_LevelValues,0))</f>
        <v>0.15591350717379643</v>
      </c>
      <c r="V75" s="436">
        <f ca="1">INDEX(INDIRECT("CAM_WTPCore2_"&amp;$B75&amp;"_LevelValues"),1,MATCH("S2 MEAN",WTPCore2_LevelValues,0))</f>
        <v>5.0130987785217407E-2</v>
      </c>
      <c r="W75" s="216">
        <f ca="1">SUM(U75:V75)</f>
        <v>0.20604449495901384</v>
      </c>
      <c r="X75" s="286">
        <f ca="1">E75*(S75-T75)</f>
        <v>5.4166666666666679</v>
      </c>
      <c r="Y75" s="117">
        <f ca="1">INDEX(INDIRECT("CAM_WTPCore_"&amp;$B75&amp;"_UnitValues"),MATCH("COMBINED-HH",WTPCore_Group,0),MATCH("MEAN",LMH,0))</f>
        <v>452735.99999999994</v>
      </c>
      <c r="Z75" s="117">
        <f ca="1">Y75*(S75-T75)/HHProps_CAM*100</f>
        <v>5.7600000000000007</v>
      </c>
      <c r="AA75" s="117">
        <f ca="1">INDEX(INDIRECT("CAM_WTPCore2_"&amp;$B75&amp;"_UnitValues"),1,MATCH("MEAN",LMH,0))</f>
        <v>16195.097303778484</v>
      </c>
      <c r="AB75" s="117">
        <f ca="1">AA75*(S75-T75)/HHProps_CAM*100</f>
        <v>0.20604449495901386</v>
      </c>
      <c r="AC75" s="767">
        <f t="shared" ca="1" si="62"/>
        <v>1.0899532370064189</v>
      </c>
      <c r="AD75" s="911" t="s">
        <v>422</v>
      </c>
      <c r="AE75" s="627">
        <f ca="1">AC75*HHProps_CAM/((S75-T75)*100)</f>
        <v>85670.324428704524</v>
      </c>
    </row>
    <row r="76" spans="1:31" x14ac:dyDescent="0.25">
      <c r="D76" s="514"/>
      <c r="E76" s="431"/>
      <c r="F76" s="828"/>
      <c r="G76" s="828"/>
      <c r="H76" s="436"/>
      <c r="I76" s="436"/>
      <c r="J76" s="445">
        <f ca="1">SUM(J72:J75)</f>
        <v>3.056451215077661</v>
      </c>
      <c r="K76" s="603">
        <f ca="1">SUM(K72:K75)</f>
        <v>16.417857142857141</v>
      </c>
      <c r="L76" s="603"/>
      <c r="M76" s="446">
        <f ca="1">SUM(M71:M75)</f>
        <v>2.6447891297891291</v>
      </c>
      <c r="N76" s="446"/>
      <c r="O76" s="289">
        <f ca="1">SUM(O71:O75)</f>
        <v>3.0564512150776606</v>
      </c>
      <c r="P76" s="497">
        <f ca="1">SUM(P72:P75)</f>
        <v>2.8506201724333948</v>
      </c>
      <c r="Q76" s="618"/>
      <c r="R76" s="631"/>
      <c r="S76" s="837"/>
      <c r="T76" s="837"/>
      <c r="U76" s="767"/>
      <c r="V76" s="767"/>
      <c r="W76" s="52">
        <f ca="1">SUM(W72:W75)</f>
        <v>1.1510937355798827</v>
      </c>
      <c r="X76" s="532">
        <f ca="1">SUM(X72:X75)</f>
        <v>20.769047619047619</v>
      </c>
      <c r="Y76" s="603"/>
      <c r="Z76" s="446">
        <f ca="1">SUM(Z71:Z75)</f>
        <v>7.2072905162064833</v>
      </c>
      <c r="AA76" s="446"/>
      <c r="AB76" s="289">
        <f ca="1">SUM(AB71:AB75)</f>
        <v>1.1510937355798827</v>
      </c>
      <c r="AC76" s="52">
        <f ca="1">SUM(AC72:AC75)</f>
        <v>4.1791921258931826</v>
      </c>
      <c r="AE76" s="534"/>
    </row>
    <row r="77" spans="1:31" s="60" customFormat="1" x14ac:dyDescent="0.25">
      <c r="D77" s="516"/>
      <c r="E77" s="523"/>
      <c r="F77" s="553"/>
      <c r="G77" s="553"/>
      <c r="H77" s="553"/>
      <c r="I77" s="553"/>
      <c r="J77" s="553"/>
      <c r="K77" s="829"/>
      <c r="L77" s="829"/>
      <c r="M77" s="830" t="s">
        <v>997</v>
      </c>
      <c r="N77" s="737">
        <f ca="1">AVERAGE(M76,O76)</f>
        <v>2.8506201724333948</v>
      </c>
      <c r="O77" s="830"/>
      <c r="P77" s="177"/>
      <c r="Q77" s="617"/>
      <c r="R77" s="629"/>
      <c r="S77" s="197"/>
      <c r="T77" s="197"/>
      <c r="U77" s="197"/>
      <c r="V77" s="197"/>
      <c r="W77" s="17"/>
      <c r="X77" s="829"/>
      <c r="Y77" s="829"/>
      <c r="Z77" s="830" t="s">
        <v>997</v>
      </c>
      <c r="AA77" s="737">
        <f ca="1">AVERAGE(Z76,AB76)</f>
        <v>4.1791921258931826</v>
      </c>
      <c r="AB77" s="830"/>
      <c r="AC77" s="177"/>
      <c r="AE77" s="535"/>
    </row>
    <row r="78" spans="1:31" s="64" customFormat="1" x14ac:dyDescent="0.25">
      <c r="A78" s="165" t="s">
        <v>168</v>
      </c>
      <c r="D78" s="517"/>
      <c r="E78" s="526"/>
      <c r="F78" s="437"/>
      <c r="G78" s="437"/>
      <c r="H78" s="437"/>
      <c r="I78" s="437"/>
      <c r="J78" s="437"/>
      <c r="K78" s="840"/>
      <c r="L78" s="840"/>
      <c r="M78" s="840"/>
      <c r="N78" s="840"/>
      <c r="O78" s="840"/>
      <c r="P78" s="175"/>
      <c r="Q78" s="619"/>
      <c r="R78" s="628"/>
      <c r="S78" s="839"/>
      <c r="T78" s="839"/>
      <c r="U78" s="839"/>
      <c r="V78" s="839"/>
      <c r="W78" s="14"/>
      <c r="X78" s="840"/>
      <c r="Y78" s="840"/>
      <c r="Z78" s="840"/>
      <c r="AA78" s="840"/>
      <c r="AB78" s="840"/>
      <c r="AC78" s="175"/>
      <c r="AE78" s="627"/>
    </row>
    <row r="79" spans="1:31" s="64" customFormat="1" x14ac:dyDescent="0.25">
      <c r="A79" s="9" t="s">
        <v>25</v>
      </c>
      <c r="B79" s="9" t="s">
        <v>266</v>
      </c>
      <c r="C79" s="9" t="str">
        <f>B79</f>
        <v>Discolour</v>
      </c>
      <c r="D79" s="514" t="s">
        <v>369</v>
      </c>
      <c r="E79" s="431">
        <f t="shared" ref="E79:E86" ca="1" si="63">INDEX(INDIRECT("ExtWTP19_"&amp;$C79&amp;"_UnitValues"),MATCH(A$78, INDIRECT("ExtWTP19_Comps_"&amp;C79),0),MATCH("HH",ExtWTP_Group,0))</f>
        <v>60</v>
      </c>
      <c r="F79" s="828">
        <f t="shared" ref="F79:G85" ca="1" si="64">INDEX(INDIRECT("SSW_WTPCore2_"&amp;$B79&amp;"_Levels"),1,MATCH(F$4,WTPCore2_AttLevels,0))</f>
        <v>6.6666666666666666E-2</v>
      </c>
      <c r="G79" s="828">
        <f t="shared" ca="1" si="64"/>
        <v>0.04</v>
      </c>
      <c r="H79" s="436">
        <f t="shared" ref="H79:H85" ca="1" si="65">INDEX(INDIRECT("SSW_WTPCore2_"&amp;$B79&amp;"_LevelValues"),1,MATCH("S1 MEAN",WTPCore2_LevelValues,0))</f>
        <v>3.3679929677046498</v>
      </c>
      <c r="I79" s="436">
        <f t="shared" ref="I79:I85" ca="1" si="66">INDEX(INDIRECT("SSW_WTPCore2_"&amp;$B79&amp;"_LevelValues"),1,MATCH("S2 MEAN",WTPCore2_LevelValues,0))</f>
        <v>0.60669022375558512</v>
      </c>
      <c r="J79" s="436">
        <f t="shared" ref="J79:J86" ca="1" si="67">SUM(H79:I79)</f>
        <v>3.974683191460235</v>
      </c>
      <c r="K79" s="440">
        <f t="shared" ref="K79:K85" ca="1" si="68">E79*(F79-G79)</f>
        <v>1.5999999999999999</v>
      </c>
      <c r="L79" s="117">
        <f t="shared" ref="L79:L86" ca="1" si="69">INDEX(INDIRECT("SSW_WTPCore_DCE_"&amp;$B79&amp;"_UnitValues"),MATCH("COMBINED-HH",WTPCore_Group,0),MATCH("MEAN",LMH,0))</f>
        <v>27.809917858229387</v>
      </c>
      <c r="M79" s="117">
        <f ca="1">L79*($F79-$G79)*(AllProps_SSW/HHProps_SSW)</f>
        <v>0.79130635838150276</v>
      </c>
      <c r="N79" s="117">
        <f t="shared" ref="N79:N85" ca="1" si="70">INDEX(INDIRECT("SSW_WTPCore2_"&amp;$B79&amp;"_UnitValues"),1,MATCH("MEAN",LMH,0))</f>
        <v>139.68750774741403</v>
      </c>
      <c r="O79" s="117">
        <f ca="1">N79*($F79-$G79)*(AllProps_SSW/HHProps_SSW)</f>
        <v>3.974683191460235</v>
      </c>
      <c r="P79" s="437">
        <f ca="1">K79*N$88/K$87</f>
        <v>1.4251345572481684</v>
      </c>
      <c r="Q79" s="611" t="s">
        <v>369</v>
      </c>
      <c r="R79" s="627">
        <f ca="1">P79*HHProps_SSW/((F79-G79)*AllProps_SSW)</f>
        <v>50.08537408325482</v>
      </c>
      <c r="S79" s="828">
        <f t="shared" ref="S79:T85" ca="1" si="71">INDEX(INDIRECT("CAM_WTPCore2_"&amp;$B79&amp;"_Levels"),1,MATCH(S$4,WTPCore2_AttLevels,0))</f>
        <v>2.2222222222222223E-2</v>
      </c>
      <c r="T79" s="828">
        <f t="shared" ca="1" si="71"/>
        <v>1.5384615384615385E-2</v>
      </c>
      <c r="U79" s="436">
        <f t="shared" ref="U79:U85" ca="1" si="72">INDEX(INDIRECT("CAM_WTPCore2_"&amp;$B79&amp;"_LevelValues"),1,MATCH("S1 MEAN",WTPCore2_LevelValues,0))</f>
        <v>3.1155463151224057</v>
      </c>
      <c r="V79" s="436">
        <f t="shared" ref="V79:V85" ca="1" si="73">INDEX(INDIRECT("CAM_WTPCore2_"&amp;$B79&amp;"_LevelValues"),1,MATCH("S2 MEAN",WTPCore2_LevelValues,0))</f>
        <v>1.3419840000849801</v>
      </c>
      <c r="W79" s="767">
        <f t="shared" ref="W79:W86" ca="1" si="74">SUM(U79:V79)</f>
        <v>4.4575303152073857</v>
      </c>
      <c r="X79" s="286">
        <f t="shared" ref="X79:X85" ca="1" si="75">E79*(S79-T79)</f>
        <v>0.41025641025641024</v>
      </c>
      <c r="Y79" s="117">
        <f t="shared" ref="Y79:Y86" ca="1" si="76">INDEX(INDIRECT("CAM_WTPCore_"&amp;$B79&amp;"_UnitValues"),MATCH("COMBINED-HH",WTPCore_Group,0),MATCH("MEAN",LMH,0))</f>
        <v>305.14240121580548</v>
      </c>
      <c r="Z79" s="117">
        <f ca="1">Y79*($S79-$T79)*(AllProps_CAM/HHProps_CAM)</f>
        <v>2.2457142857142856</v>
      </c>
      <c r="AA79" s="117">
        <f t="shared" ref="AA79:AA85" ca="1" si="77">INDEX(INDIRECT("CAM_WTPCore2_"&amp;$B79&amp;"_UnitValues"),1,MATCH("MEAN",LMH,0))</f>
        <v>605.67878671262065</v>
      </c>
      <c r="AB79" s="117">
        <f ca="1">AA79*($S79-$T79)*(AllProps_CAM/HHProps_CAM)</f>
        <v>4.4575303152073857</v>
      </c>
      <c r="AC79" s="767">
        <f ca="1">X79*AA$88/X$87</f>
        <v>0.43587602751483639</v>
      </c>
      <c r="AD79" s="517" t="s">
        <v>369</v>
      </c>
      <c r="AE79" s="627">
        <f ca="1">AC79*HHProps_CAM/((S79-T79)*AllProps_CAM)</f>
        <v>59.225814483332428</v>
      </c>
    </row>
    <row r="80" spans="1:31" s="64" customFormat="1" x14ac:dyDescent="0.25">
      <c r="A80" s="9" t="s">
        <v>117</v>
      </c>
      <c r="B80" s="9" t="s">
        <v>265</v>
      </c>
      <c r="C80" s="9" t="str">
        <f>B80</f>
        <v>TasteSmell</v>
      </c>
      <c r="D80" s="514" t="s">
        <v>369</v>
      </c>
      <c r="E80" s="431">
        <f t="shared" ca="1" si="63"/>
        <v>147</v>
      </c>
      <c r="F80" s="828">
        <f t="shared" ca="1" si="64"/>
        <v>1.6666666666666666E-2</v>
      </c>
      <c r="G80" s="828">
        <f t="shared" ca="1" si="64"/>
        <v>1.1111111111111112E-2</v>
      </c>
      <c r="H80" s="436">
        <f t="shared" ca="1" si="65"/>
        <v>0.30818609087835352</v>
      </c>
      <c r="I80" s="436">
        <f t="shared" ca="1" si="66"/>
        <v>0.18578205633963885</v>
      </c>
      <c r="J80" s="436">
        <f t="shared" ca="1" si="67"/>
        <v>0.49396814721799237</v>
      </c>
      <c r="K80" s="440">
        <f t="shared" ca="1" si="68"/>
        <v>0.81666666666666654</v>
      </c>
      <c r="L80" s="117">
        <f t="shared" ca="1" si="69"/>
        <v>171.97536823750744</v>
      </c>
      <c r="M80" s="117">
        <f ca="1">L80*($F80-$G80)*(AllProps_SSW/HHProps_SSW)</f>
        <v>1.0194594594594593</v>
      </c>
      <c r="N80" s="117">
        <f t="shared" ca="1" si="70"/>
        <v>83.328820216603944</v>
      </c>
      <c r="O80" s="117">
        <f ca="1">N80*($F80-$G80)*(AllProps_SSW/HHProps_SSW)</f>
        <v>0.49396814721799231</v>
      </c>
      <c r="P80" s="437">
        <f t="shared" ref="P80:P86" ca="1" si="78">K80*N$88/K$87</f>
        <v>0.72741243026208591</v>
      </c>
      <c r="Q80" s="611" t="s">
        <v>369</v>
      </c>
      <c r="R80" s="627">
        <f ca="1">P80*HHProps_SSW/((F80-G80)*AllProps_SSW)</f>
        <v>122.70916650397432</v>
      </c>
      <c r="S80" s="828">
        <f t="shared" ca="1" si="71"/>
        <v>1.4285714285714285E-2</v>
      </c>
      <c r="T80" s="828">
        <f t="shared" ca="1" si="71"/>
        <v>0.01</v>
      </c>
      <c r="U80" s="436">
        <f t="shared" ca="1" si="72"/>
        <v>4.7204807663126298E-2</v>
      </c>
      <c r="V80" s="436">
        <f t="shared" ca="1" si="73"/>
        <v>0.1217094578997745</v>
      </c>
      <c r="W80" s="767">
        <f t="shared" ca="1" si="74"/>
        <v>0.16891426556290079</v>
      </c>
      <c r="X80" s="286">
        <f t="shared" ca="1" si="75"/>
        <v>0.62999999999999989</v>
      </c>
      <c r="Y80" s="117">
        <f t="shared" ca="1" si="76"/>
        <v>205.16697061803447</v>
      </c>
      <c r="Z80" s="117">
        <f ca="1">Y80*($S80-$T80)*(AllProps_CAM/HHProps_CAM)</f>
        <v>0.94640816326530608</v>
      </c>
      <c r="AA80" s="117">
        <f t="shared" ca="1" si="77"/>
        <v>36.618057097205678</v>
      </c>
      <c r="AB80" s="117">
        <f ca="1">AA80*($S80-$T80)*(AllProps_CAM/HHProps_CAM)</f>
        <v>0.16891426556290076</v>
      </c>
      <c r="AC80" s="767">
        <f t="shared" ref="AC80:AC86" ca="1" si="79">X80*AA$88/X$87</f>
        <v>0.66934212475247046</v>
      </c>
      <c r="AD80" s="517" t="s">
        <v>369</v>
      </c>
      <c r="AE80" s="627">
        <f ca="1">AC80*HHProps_CAM/((S80-T80)*AllProps_CAM)</f>
        <v>145.10324548416443</v>
      </c>
    </row>
    <row r="81" spans="1:31" s="64" customFormat="1" x14ac:dyDescent="0.25">
      <c r="A81" s="9" t="s">
        <v>181</v>
      </c>
      <c r="B81" s="9" t="s">
        <v>269</v>
      </c>
      <c r="C81" s="9" t="s">
        <v>328</v>
      </c>
      <c r="D81" s="514" t="s">
        <v>369</v>
      </c>
      <c r="E81" s="431">
        <f t="shared" ca="1" si="63"/>
        <v>136</v>
      </c>
      <c r="F81" s="828">
        <f t="shared" ca="1" si="64"/>
        <v>1.4285714285714285E-2</v>
      </c>
      <c r="G81" s="828">
        <f t="shared" ca="1" si="64"/>
        <v>9.5238095238095247E-3</v>
      </c>
      <c r="H81" s="436">
        <f t="shared" ca="1" si="65"/>
        <v>0.39718669024665654</v>
      </c>
      <c r="I81" s="436">
        <f t="shared" ca="1" si="66"/>
        <v>0.53859352958370721</v>
      </c>
      <c r="J81" s="436">
        <f t="shared" ca="1" si="67"/>
        <v>0.93578021983036375</v>
      </c>
      <c r="K81" s="440">
        <f t="shared" ca="1" si="68"/>
        <v>0.64761904761904743</v>
      </c>
      <c r="L81" s="117">
        <f t="shared" ca="1" si="69"/>
        <v>160.37052631578945</v>
      </c>
      <c r="M81" s="117">
        <f ca="1">L81*($F81-$G81)*(AllProps_SSW/HHProps_SSW)</f>
        <v>0.8148571428571425</v>
      </c>
      <c r="N81" s="117">
        <f t="shared" ca="1" si="70"/>
        <v>184.16917331534088</v>
      </c>
      <c r="O81" s="117">
        <f ca="1">N81*($F81-$G81)*(AllProps_SSW/HHProps_SSW)</f>
        <v>0.93578021983036364</v>
      </c>
      <c r="P81" s="437">
        <f t="shared" ca="1" si="78"/>
        <v>0.57684017793378228</v>
      </c>
      <c r="Q81" s="611" t="s">
        <v>369</v>
      </c>
      <c r="R81" s="627">
        <f ca="1">P81*HHProps_SSW/((F81-G81)*AllProps_SSW)</f>
        <v>113.52684792204424</v>
      </c>
      <c r="S81" s="828">
        <f t="shared" ca="1" si="71"/>
        <v>2.5000000000000001E-2</v>
      </c>
      <c r="T81" s="828">
        <f t="shared" ca="1" si="71"/>
        <v>1.6666666666666666E-2</v>
      </c>
      <c r="U81" s="436">
        <f t="shared" ca="1" si="72"/>
        <v>5.3490671066612649E-2</v>
      </c>
      <c r="V81" s="436">
        <f t="shared" ca="1" si="73"/>
        <v>0.33457681646237136</v>
      </c>
      <c r="W81" s="767">
        <f t="shared" ca="1" si="74"/>
        <v>0.38806748752898401</v>
      </c>
      <c r="X81" s="286">
        <f t="shared" ca="1" si="75"/>
        <v>1.1333333333333335</v>
      </c>
      <c r="Y81" s="117">
        <f t="shared" ca="1" si="76"/>
        <v>27.921526908635794</v>
      </c>
      <c r="Z81" s="117">
        <f ca="1">Y81*($S81-$T81)*(AllProps_CAM/HHProps_CAM)</f>
        <v>0.25044117647058822</v>
      </c>
      <c r="AA81" s="117">
        <f t="shared" ca="1" si="77"/>
        <v>43.265396481954809</v>
      </c>
      <c r="AB81" s="117">
        <f ca="1">AA81*($S81-$T81)*(AllProps_CAM/HHProps_CAM)</f>
        <v>0.38806748752898401</v>
      </c>
      <c r="AC81" s="767">
        <f t="shared" ca="1" si="79"/>
        <v>1.2041075260097358</v>
      </c>
      <c r="AD81" s="517" t="s">
        <v>369</v>
      </c>
      <c r="AE81" s="627">
        <f ca="1">AC81*HHProps_CAM/((S81-T81)*AllProps_CAM)</f>
        <v>134.24517949555349</v>
      </c>
    </row>
    <row r="82" spans="1:31" s="64" customFormat="1" x14ac:dyDescent="0.25">
      <c r="A82" s="9" t="s">
        <v>674</v>
      </c>
      <c r="B82" s="9" t="s">
        <v>269</v>
      </c>
      <c r="C82" s="9" t="s">
        <v>326</v>
      </c>
      <c r="D82" s="514" t="s">
        <v>369</v>
      </c>
      <c r="E82" s="431">
        <f t="shared" ca="1" si="63"/>
        <v>287</v>
      </c>
      <c r="F82" s="828">
        <f t="shared" ca="1" si="64"/>
        <v>1.4285714285714285E-2</v>
      </c>
      <c r="G82" s="828">
        <f t="shared" ca="1" si="64"/>
        <v>9.5238095238095247E-3</v>
      </c>
      <c r="H82" s="436">
        <f t="shared" ca="1" si="65"/>
        <v>0.39718669024665654</v>
      </c>
      <c r="I82" s="436">
        <f t="shared" ca="1" si="66"/>
        <v>0.53859352958370721</v>
      </c>
      <c r="J82" s="436">
        <f t="shared" ca="1" si="67"/>
        <v>0.93578021983036375</v>
      </c>
      <c r="K82" s="440">
        <f t="shared" ca="1" si="68"/>
        <v>1.3666666666666663</v>
      </c>
      <c r="L82" s="117">
        <f t="shared" ca="1" si="69"/>
        <v>160.37052631578945</v>
      </c>
      <c r="M82" s="117">
        <f ca="1">L82*($F82-$G82)*(AllProps_SSW/HHProps_SSW)</f>
        <v>0.8148571428571425</v>
      </c>
      <c r="N82" s="117">
        <f t="shared" ca="1" si="70"/>
        <v>184.16917331534088</v>
      </c>
      <c r="O82" s="117">
        <f ca="1">N82*($F82-$G82)*(AllProps_SSW/HHProps_SSW)</f>
        <v>0.93578021983036364</v>
      </c>
      <c r="P82" s="437">
        <f t="shared" ca="1" si="78"/>
        <v>1.2173024343161436</v>
      </c>
      <c r="Q82" s="611" t="s">
        <v>369</v>
      </c>
      <c r="R82" s="627">
        <f ca="1">P82*HHProps_SSW/((F82-G82)*AllProps_SSW)</f>
        <v>239.57503936490218</v>
      </c>
      <c r="S82" s="828">
        <f t="shared" ca="1" si="71"/>
        <v>2.5000000000000001E-2</v>
      </c>
      <c r="T82" s="828">
        <f t="shared" ca="1" si="71"/>
        <v>1.6666666666666666E-2</v>
      </c>
      <c r="U82" s="436">
        <f t="shared" ca="1" si="72"/>
        <v>5.3490671066612649E-2</v>
      </c>
      <c r="V82" s="436">
        <f t="shared" ca="1" si="73"/>
        <v>0.33457681646237136</v>
      </c>
      <c r="W82" s="767">
        <f t="shared" ca="1" si="74"/>
        <v>0.38806748752898401</v>
      </c>
      <c r="X82" s="286">
        <f t="shared" ca="1" si="75"/>
        <v>2.3916666666666671</v>
      </c>
      <c r="Y82" s="117">
        <f t="shared" ca="1" si="76"/>
        <v>27.921526908635794</v>
      </c>
      <c r="Z82" s="117">
        <f ca="1">Y82*($S82-$T82)*(AllProps_CAM/HHProps_CAM)</f>
        <v>0.25044117647058822</v>
      </c>
      <c r="AA82" s="117">
        <f t="shared" ca="1" si="77"/>
        <v>43.265396481954809</v>
      </c>
      <c r="AB82" s="117">
        <f ca="1">AA82*($S82-$T82)*(AllProps_CAM/HHProps_CAM)</f>
        <v>0.38806748752898401</v>
      </c>
      <c r="AC82" s="767">
        <f t="shared" ca="1" si="79"/>
        <v>2.5410210291528981</v>
      </c>
      <c r="AD82" s="517" t="s">
        <v>369</v>
      </c>
      <c r="AE82" s="627">
        <f ca="1">AC82*HHProps_CAM/((S82-T82)*AllProps_CAM)</f>
        <v>283.29681261194008</v>
      </c>
    </row>
    <row r="83" spans="1:31" s="64" customFormat="1" x14ac:dyDescent="0.25">
      <c r="A83" s="9" t="s">
        <v>675</v>
      </c>
      <c r="B83" s="9" t="s">
        <v>269</v>
      </c>
      <c r="C83" s="9" t="s">
        <v>332</v>
      </c>
      <c r="D83" s="514" t="s">
        <v>369</v>
      </c>
      <c r="E83" s="431">
        <f t="shared" ca="1" si="63"/>
        <v>293</v>
      </c>
      <c r="F83" s="828">
        <f t="shared" ca="1" si="64"/>
        <v>1.4285714285714285E-2</v>
      </c>
      <c r="G83" s="828">
        <f t="shared" ca="1" si="64"/>
        <v>9.5238095238095247E-3</v>
      </c>
      <c r="H83" s="436">
        <f t="shared" ca="1" si="65"/>
        <v>0.39718669024665654</v>
      </c>
      <c r="I83" s="436">
        <f t="shared" ca="1" si="66"/>
        <v>0.53859352958370721</v>
      </c>
      <c r="J83" s="436">
        <f t="shared" ca="1" si="67"/>
        <v>0.93578021983036375</v>
      </c>
      <c r="K83" s="440">
        <f t="shared" ca="1" si="68"/>
        <v>1.3952380952380949</v>
      </c>
      <c r="L83" s="117">
        <f t="shared" ca="1" si="69"/>
        <v>160.37052631578945</v>
      </c>
      <c r="M83" s="117">
        <f ca="1">L83*($F83-$G83)*(AllProps_SSW/HHProps_SSW)</f>
        <v>0.8148571428571425</v>
      </c>
      <c r="N83" s="117">
        <f t="shared" ca="1" si="70"/>
        <v>184.16917331534088</v>
      </c>
      <c r="O83" s="117">
        <f ca="1">N83*($F83-$G83)*(AllProps_SSW/HHProps_SSW)</f>
        <v>0.93578021983036364</v>
      </c>
      <c r="P83" s="437">
        <f t="shared" ca="1" si="78"/>
        <v>1.2427512656955753</v>
      </c>
      <c r="Q83" s="611" t="s">
        <v>369</v>
      </c>
      <c r="R83" s="627">
        <f ca="1">P83*HHProps_SSW/((F83-G83)*AllProps_SSW)</f>
        <v>244.58357677322769</v>
      </c>
      <c r="S83" s="828">
        <f t="shared" ca="1" si="71"/>
        <v>2.5000000000000001E-2</v>
      </c>
      <c r="T83" s="828">
        <f t="shared" ca="1" si="71"/>
        <v>1.6666666666666666E-2</v>
      </c>
      <c r="U83" s="436">
        <f t="shared" ca="1" si="72"/>
        <v>5.3490671066612649E-2</v>
      </c>
      <c r="V83" s="436">
        <f t="shared" ca="1" si="73"/>
        <v>0.33457681646237136</v>
      </c>
      <c r="W83" s="767">
        <f t="shared" ca="1" si="74"/>
        <v>0.38806748752898401</v>
      </c>
      <c r="X83" s="286">
        <f t="shared" ca="1" si="75"/>
        <v>2.4416666666666673</v>
      </c>
      <c r="Y83" s="117">
        <f t="shared" ca="1" si="76"/>
        <v>27.921526908635794</v>
      </c>
      <c r="Z83" s="117">
        <f ca="1">Y83*($S83-$T83)*(AllProps_CAM/HHProps_CAM)</f>
        <v>0.25044117647058822</v>
      </c>
      <c r="AA83" s="117">
        <f t="shared" ca="1" si="77"/>
        <v>43.265396481954809</v>
      </c>
      <c r="AB83" s="117">
        <f ca="1">AA83*($S83-$T83)*(AllProps_CAM/HHProps_CAM)</f>
        <v>0.38806748752898401</v>
      </c>
      <c r="AC83" s="767">
        <f t="shared" ca="1" si="79"/>
        <v>2.5941434200062692</v>
      </c>
      <c r="AD83" s="517" t="s">
        <v>369</v>
      </c>
      <c r="AE83" s="627">
        <f ca="1">AC83*HHProps_CAM/((S83-T83)*AllProps_CAM)</f>
        <v>289.21939406027337</v>
      </c>
    </row>
    <row r="84" spans="1:31" s="64" customFormat="1" x14ac:dyDescent="0.25">
      <c r="A84" s="9" t="s">
        <v>330</v>
      </c>
      <c r="B84" s="9" t="s">
        <v>319</v>
      </c>
      <c r="C84" s="9" t="str">
        <f>B84</f>
        <v>TempBan</v>
      </c>
      <c r="D84" s="514" t="s">
        <v>369</v>
      </c>
      <c r="E84" s="431">
        <f t="shared" ca="1" si="63"/>
        <v>38</v>
      </c>
      <c r="F84" s="828">
        <f t="shared" ca="1" si="64"/>
        <v>2.5000000000000001E-2</v>
      </c>
      <c r="G84" s="828">
        <f t="shared" ca="1" si="64"/>
        <v>1.5384615384615385E-2</v>
      </c>
      <c r="H84" s="436">
        <f t="shared" ca="1" si="65"/>
        <v>0.4084226191643695</v>
      </c>
      <c r="I84" s="436">
        <f t="shared" ca="1" si="66"/>
        <v>0.28250000903457151</v>
      </c>
      <c r="J84" s="436">
        <f t="shared" ca="1" si="67"/>
        <v>0.69092262819894101</v>
      </c>
      <c r="K84" s="440">
        <f t="shared" ca="1" si="68"/>
        <v>0.36538461538461542</v>
      </c>
      <c r="L84" s="117">
        <f t="shared" ca="1" si="69"/>
        <v>251711.99999999994</v>
      </c>
      <c r="M84" s="117">
        <f ca="1">-L84*(F84-G84)/HHProps_SSW</f>
        <v>-4.3846153846153835E-3</v>
      </c>
      <c r="N84" s="117">
        <f t="shared" ca="1" si="70"/>
        <v>396644.86239644804</v>
      </c>
      <c r="O84" s="117">
        <f ca="1">N84*(F84-G84)/HHProps_SSW*100</f>
        <v>0.69092262819894101</v>
      </c>
      <c r="P84" s="437">
        <f t="shared" ca="1" si="78"/>
        <v>0.32545140129465389</v>
      </c>
      <c r="Q84" s="615" t="s">
        <v>422</v>
      </c>
      <c r="R84" s="627">
        <f ca="1">P84*HHProps_SSW/((F84-G84)*100)</f>
        <v>186835.14045523491</v>
      </c>
      <c r="S84" s="828">
        <f t="shared" ca="1" si="71"/>
        <v>0.05</v>
      </c>
      <c r="T84" s="828">
        <f t="shared" ca="1" si="71"/>
        <v>3.3333333333333333E-2</v>
      </c>
      <c r="U84" s="436">
        <f t="shared" ca="1" si="72"/>
        <v>0.15591350717379643</v>
      </c>
      <c r="V84" s="436">
        <f t="shared" ca="1" si="73"/>
        <v>5.0130987785217407E-2</v>
      </c>
      <c r="W84" s="767">
        <f t="shared" ca="1" si="74"/>
        <v>0.20604449495901384</v>
      </c>
      <c r="X84" s="286">
        <f t="shared" ca="1" si="75"/>
        <v>0.63333333333333341</v>
      </c>
      <c r="Y84" s="117">
        <f t="shared" ca="1" si="76"/>
        <v>452735.99999999994</v>
      </c>
      <c r="Z84" s="117">
        <f ca="1">Y84*(S84-T84)/HHProps_CAM*100</f>
        <v>5.7600000000000007</v>
      </c>
      <c r="AA84" s="117">
        <f t="shared" ca="1" si="77"/>
        <v>16195.097303778484</v>
      </c>
      <c r="AB84" s="117">
        <f ca="1">AA84*(S84-T84)/HHProps_CAM*100</f>
        <v>0.20604449495901386</v>
      </c>
      <c r="AC84" s="767">
        <f t="shared" ca="1" si="79"/>
        <v>0.67288361747602876</v>
      </c>
      <c r="AD84" s="911" t="s">
        <v>422</v>
      </c>
      <c r="AE84" s="627">
        <f ca="1">AC84*HHProps_CAM/((S84-T84)*100)</f>
        <v>52888.65233361585</v>
      </c>
    </row>
    <row r="85" spans="1:31" s="64" customFormat="1" x14ac:dyDescent="0.25">
      <c r="A85" s="9" t="s">
        <v>185</v>
      </c>
      <c r="B85" s="9" t="s">
        <v>270</v>
      </c>
      <c r="C85" s="9" t="str">
        <f>B85</f>
        <v>LowPressure</v>
      </c>
      <c r="D85" s="514" t="s">
        <v>369</v>
      </c>
      <c r="E85" s="431">
        <f t="shared" ca="1" si="63"/>
        <v>80</v>
      </c>
      <c r="F85" s="828">
        <f t="shared" ca="1" si="64"/>
        <v>0.1</v>
      </c>
      <c r="G85" s="828">
        <f t="shared" ca="1" si="64"/>
        <v>6.6666666666666666E-2</v>
      </c>
      <c r="H85" s="436">
        <f t="shared" ca="1" si="65"/>
        <v>0.78010561855806027</v>
      </c>
      <c r="I85" s="436">
        <f t="shared" ca="1" si="66"/>
        <v>0.37050953266002729</v>
      </c>
      <c r="J85" s="436">
        <f t="shared" ca="1" si="67"/>
        <v>1.1506151512180876</v>
      </c>
      <c r="K85" s="440">
        <f t="shared" ca="1" si="68"/>
        <v>2.666666666666667</v>
      </c>
      <c r="L85" s="117">
        <f t="shared" ca="1" si="69"/>
        <v>40.646907591559547</v>
      </c>
      <c r="M85" s="117">
        <f ca="1">L85*($F85-$G85)*(AllProps_SSW/HHProps_SSW)</f>
        <v>1.445714285714286</v>
      </c>
      <c r="N85" s="117">
        <f t="shared" ca="1" si="70"/>
        <v>32.35006265563927</v>
      </c>
      <c r="O85" s="117">
        <f ca="1">N85*($F85-$G85)*(AllProps_SSW/HHProps_SSW)</f>
        <v>1.1506151512180878</v>
      </c>
      <c r="P85" s="437">
        <f t="shared" ca="1" si="78"/>
        <v>2.3752242620802813</v>
      </c>
      <c r="Q85" s="611" t="s">
        <v>369</v>
      </c>
      <c r="R85" s="627">
        <f ca="1">P85*HHProps_SSW/((F85-G85)*AllProps_SSW)</f>
        <v>66.780498777673102</v>
      </c>
      <c r="S85" s="828">
        <f t="shared" ca="1" si="71"/>
        <v>9.0909090909090912E-2</v>
      </c>
      <c r="T85" s="828">
        <f t="shared" ca="1" si="71"/>
        <v>6.6666666666666666E-2</v>
      </c>
      <c r="U85" s="436">
        <f t="shared" ca="1" si="72"/>
        <v>2.1416418362159599</v>
      </c>
      <c r="V85" s="436">
        <f t="shared" ca="1" si="73"/>
        <v>0.84070533256091329</v>
      </c>
      <c r="W85" s="767">
        <f t="shared" ca="1" si="74"/>
        <v>2.9823471687768732</v>
      </c>
      <c r="X85" s="286">
        <f t="shared" ca="1" si="75"/>
        <v>1.9393939393939397</v>
      </c>
      <c r="Y85" s="117">
        <f t="shared" ca="1" si="76"/>
        <v>18.356144634344844</v>
      </c>
      <c r="Z85" s="117">
        <f ca="1">Y85*($S85-$T85)*(AllProps_CAM/HHProps_CAM)</f>
        <v>0.47896671634376553</v>
      </c>
      <c r="AA85" s="117">
        <f t="shared" ca="1" si="77"/>
        <v>114.29686888849665</v>
      </c>
      <c r="AB85" s="117">
        <f ca="1">AA85*($S85-$T85)*(AllProps_CAM/HHProps_CAM)</f>
        <v>2.9823471687768732</v>
      </c>
      <c r="AC85" s="767">
        <f t="shared" ca="1" si="79"/>
        <v>2.0605048573428633</v>
      </c>
      <c r="AD85" s="517" t="s">
        <v>369</v>
      </c>
      <c r="AE85" s="627">
        <f ca="1">AC85*HHProps_CAM/((S85-T85)*AllProps_CAM)</f>
        <v>78.967752644443223</v>
      </c>
    </row>
    <row r="86" spans="1:31" s="64" customFormat="1" x14ac:dyDescent="0.25">
      <c r="A86" s="9" t="s">
        <v>111</v>
      </c>
      <c r="B86" s="9" t="s">
        <v>271</v>
      </c>
      <c r="C86" s="9" t="str">
        <f>B86</f>
        <v>Traffic</v>
      </c>
      <c r="D86" s="514" t="s">
        <v>369</v>
      </c>
      <c r="E86" s="833">
        <f t="shared" ca="1" si="63"/>
        <v>67</v>
      </c>
      <c r="F86" s="836">
        <f t="shared" ref="F86:G86" ca="1" si="80">INDEX(INDIRECT("SSW_WTPCore_DCE_"&amp;$B86&amp;"_Levels"),MATCH("COMBINED-HH",WTPCore_Group,0),MATCH(F$4,WTPCore_AttLevels,0))</f>
        <v>608.33333333333337</v>
      </c>
      <c r="G86" s="836">
        <f t="shared" ca="1" si="80"/>
        <v>243.33333333333334</v>
      </c>
      <c r="H86" s="436">
        <f t="shared" ref="H86" ca="1" si="81">INDEX(INDIRECT("SSW_WTPCore_DCE_"&amp;$B86&amp;"_LevelValues"),MATCH("COMBINED-HH",WTPCore_Group,0),MATCH("S1 MEAN",WTPCore_LevelValues,0))</f>
        <v>0.06</v>
      </c>
      <c r="I86" s="436">
        <f t="shared" ref="I86" ca="1" si="82">INDEX(INDIRECT("SSW_WTPCore_DCE_"&amp;$B86&amp;"_LevelValues"),MATCH("COMBINED-HH",WTPCore_Group,0),MATCH("S2 MEAN",WTPCore_LevelValues,0))</f>
        <v>0.46</v>
      </c>
      <c r="J86" s="436">
        <f t="shared" ca="1" si="67"/>
        <v>0.52</v>
      </c>
      <c r="K86" s="440">
        <f ca="1">E86*(F86-G86)/AllProps_SSW</f>
        <v>4.1519524617996607E-2</v>
      </c>
      <c r="L86" s="117">
        <f t="shared" ca="1" si="69"/>
        <v>786.41095890410963</v>
      </c>
      <c r="M86" s="117">
        <f ca="1">L86*(F86-G86)/HHProps_SSW</f>
        <v>0.52</v>
      </c>
      <c r="N86" s="117">
        <f ca="1">L86</f>
        <v>786.41095890410963</v>
      </c>
      <c r="O86" s="117">
        <f ca="1">N86*(F86-G86)/HHProps_SSW</f>
        <v>0.52</v>
      </c>
      <c r="P86" s="437">
        <f t="shared" ca="1" si="78"/>
        <v>3.6981818333514396E-2</v>
      </c>
      <c r="Q86" s="517" t="s">
        <v>398</v>
      </c>
      <c r="R86" s="631">
        <f ca="1">P86*HHProps_SSW/((F86-G86))</f>
        <v>55.928667726301221</v>
      </c>
      <c r="S86" s="838">
        <f t="shared" ref="S86:T86" ca="1" si="83">INDEX(INDIRECT("CAM_WTPCore_"&amp;$B86&amp;"_Levels"),MATCH("COMBINED-HH",WTPCore_Group,0),MATCH(S$4,WTPCore_AttLevels,0))</f>
        <v>365</v>
      </c>
      <c r="T86" s="838">
        <f t="shared" ca="1" si="83"/>
        <v>121.66666666666667</v>
      </c>
      <c r="U86" s="767">
        <f t="shared" ref="U86" ca="1" si="84">INDEX(INDIRECT("CAM_WTPCore_"&amp;$B86&amp;"_LevelValues"),MATCH("COMBINED-HH",WTPCore_Group,0),MATCH("S1 MEAN",WTPCore_LevelValues,0))</f>
        <v>0.21</v>
      </c>
      <c r="V86" s="767">
        <f t="shared" ref="V86" ca="1" si="85">INDEX(INDIRECT("CAM_WTPCore_"&amp;$B86&amp;"_LevelValues"),MATCH("COMBINED-HH",WTPCore_Group,0),MATCH("S2 MEAN",WTPCore_LevelValues,0))</f>
        <v>0.51</v>
      </c>
      <c r="W86" s="767">
        <f t="shared" ca="1" si="74"/>
        <v>0.72</v>
      </c>
      <c r="X86" s="286">
        <f ca="1">E86*(S86-T86)/AllProps_CAM</f>
        <v>0.11562647754137115</v>
      </c>
      <c r="Y86" s="117">
        <f t="shared" ca="1" si="76"/>
        <v>387.61643835616439</v>
      </c>
      <c r="Z86" s="117">
        <f ca="1">Y86*(S86-T86)/HHProps_CAM</f>
        <v>0.72</v>
      </c>
      <c r="AA86" s="117">
        <f ca="1">Y86</f>
        <v>387.61643835616439</v>
      </c>
      <c r="AB86" s="117">
        <f ca="1">AA86*(S86-T86)/HHProps_CAM</f>
        <v>0.72</v>
      </c>
      <c r="AC86" s="767">
        <f t="shared" ca="1" si="79"/>
        <v>0.12284709865902411</v>
      </c>
      <c r="AD86" s="517" t="s">
        <v>398</v>
      </c>
      <c r="AE86" s="627">
        <f ca="1">AC86*HHProps_CAM/((S86-T86))</f>
        <v>66.135492839721209</v>
      </c>
    </row>
    <row r="87" spans="1:31" s="64" customFormat="1" x14ac:dyDescent="0.25">
      <c r="D87" s="517"/>
      <c r="E87" s="526"/>
      <c r="F87" s="437"/>
      <c r="G87" s="437"/>
      <c r="H87" s="437"/>
      <c r="I87" s="437"/>
      <c r="J87" s="445">
        <f ca="1">SUM(J79:J86)</f>
        <v>9.637529777586348</v>
      </c>
      <c r="K87" s="603">
        <f ca="1">SUM(K79:K86)</f>
        <v>8.8997612828597532</v>
      </c>
      <c r="L87" s="603"/>
      <c r="M87" s="446">
        <f ca="1">SUM(M79:M86)</f>
        <v>6.2166669167420601</v>
      </c>
      <c r="N87" s="446"/>
      <c r="O87" s="289">
        <f ca="1">SUM(O79:O86)</f>
        <v>9.637529777586348</v>
      </c>
      <c r="P87" s="497">
        <f ca="1">SUM(P79:P86)</f>
        <v>7.9270983471642049</v>
      </c>
      <c r="Q87" s="619"/>
      <c r="R87" s="628"/>
      <c r="S87" s="839"/>
      <c r="T87" s="839"/>
      <c r="U87" s="839"/>
      <c r="V87" s="839"/>
      <c r="W87" s="52">
        <f ca="1">SUM(W79:W86)</f>
        <v>9.6990387070931252</v>
      </c>
      <c r="X87" s="532">
        <f ca="1">SUM(X79:X86)</f>
        <v>9.6952768271917211</v>
      </c>
      <c r="Y87" s="603"/>
      <c r="Z87" s="446">
        <f ca="1">SUM(Z79:Z86)</f>
        <v>10.902412694735125</v>
      </c>
      <c r="AA87" s="446"/>
      <c r="AB87" s="446">
        <f ca="1">SUM(AB79:AB86)</f>
        <v>9.6990387070931252</v>
      </c>
      <c r="AC87" s="52">
        <f ca="1">SUM(AC79:AC86)</f>
        <v>10.300725700914125</v>
      </c>
      <c r="AE87" s="627"/>
    </row>
    <row r="88" spans="1:31" s="60" customFormat="1" x14ac:dyDescent="0.25">
      <c r="D88" s="516"/>
      <c r="E88" s="523"/>
      <c r="F88" s="553"/>
      <c r="G88" s="553"/>
      <c r="H88" s="553"/>
      <c r="I88" s="553"/>
      <c r="J88" s="553"/>
      <c r="K88" s="829"/>
      <c r="L88" s="829"/>
      <c r="M88" s="830" t="s">
        <v>997</v>
      </c>
      <c r="N88" s="737">
        <f ca="1">AVERAGE(M87,O87)</f>
        <v>7.927098347164204</v>
      </c>
      <c r="O88" s="830"/>
      <c r="P88" s="177"/>
      <c r="Q88" s="617"/>
      <c r="R88" s="629"/>
      <c r="S88" s="197"/>
      <c r="T88" s="197"/>
      <c r="U88" s="197"/>
      <c r="V88" s="197"/>
      <c r="W88" s="197"/>
      <c r="X88" s="829"/>
      <c r="Y88" s="829"/>
      <c r="Z88" s="830" t="s">
        <v>997</v>
      </c>
      <c r="AA88" s="737">
        <f ca="1">AVERAGE(Z87,AB87)</f>
        <v>10.300725700914125</v>
      </c>
      <c r="AB88" s="830"/>
      <c r="AC88" s="177"/>
      <c r="AE88" s="535"/>
    </row>
    <row r="89" spans="1:31" x14ac:dyDescent="0.25">
      <c r="A89" s="61" t="s">
        <v>165</v>
      </c>
      <c r="B89" s="237"/>
      <c r="D89" s="515"/>
      <c r="E89" s="522"/>
      <c r="F89" s="448"/>
      <c r="G89" s="448"/>
      <c r="H89" s="497"/>
      <c r="I89" s="497"/>
      <c r="J89" s="497"/>
      <c r="K89" s="531"/>
      <c r="L89" s="531"/>
      <c r="M89" s="531"/>
      <c r="N89" s="531"/>
      <c r="O89" s="531"/>
      <c r="P89" s="54"/>
      <c r="Q89" s="614"/>
      <c r="R89" s="630"/>
      <c r="S89" s="54"/>
      <c r="T89" s="54"/>
      <c r="U89" s="53"/>
      <c r="V89" s="53"/>
      <c r="W89" s="53"/>
      <c r="X89" s="531"/>
      <c r="Y89" s="531"/>
      <c r="Z89" s="531"/>
      <c r="AA89" s="531"/>
      <c r="AB89" s="531"/>
      <c r="AC89" s="54"/>
      <c r="AE89" s="536"/>
    </row>
    <row r="90" spans="1:31" x14ac:dyDescent="0.25">
      <c r="A90" s="9" t="s">
        <v>25</v>
      </c>
      <c r="B90" s="9" t="s">
        <v>266</v>
      </c>
      <c r="C90" s="9" t="str">
        <f>B90</f>
        <v>Discolour</v>
      </c>
      <c r="D90" s="514" t="s">
        <v>369</v>
      </c>
      <c r="E90" s="431">
        <f ca="1">INDEX(INDIRECT("ExtWTP19_"&amp;$C90&amp;"_UnitValues"),MATCH(A$89, INDIRECT("ExtWTP19_Comps_"&amp;C90),0),MATCH("HH",ExtWTP_Group,0))</f>
        <v>139</v>
      </c>
      <c r="F90" s="828">
        <f t="shared" ref="F90:G94" ca="1" si="86">INDEX(INDIRECT("SSW_WTPCore2_"&amp;$B90&amp;"_Levels"),1,MATCH(F$4,WTPCore2_AttLevels,0))</f>
        <v>6.6666666666666666E-2</v>
      </c>
      <c r="G90" s="828">
        <f t="shared" ca="1" si="86"/>
        <v>0.04</v>
      </c>
      <c r="H90" s="436">
        <f ca="1">INDEX(INDIRECT("SSW_WTPCore2_"&amp;$B90&amp;"_LevelValues"),1,MATCH("S1 MEAN",WTPCore2_LevelValues,0))</f>
        <v>3.3679929677046498</v>
      </c>
      <c r="I90" s="436">
        <f ca="1">INDEX(INDIRECT("SSW_WTPCore2_"&amp;$B90&amp;"_LevelValues"),1,MATCH("S2 MEAN",WTPCore2_LevelValues,0))</f>
        <v>0.60669022375558512</v>
      </c>
      <c r="J90" s="436">
        <f ca="1">SUM(H90:I90)</f>
        <v>3.974683191460235</v>
      </c>
      <c r="K90" s="440">
        <f ca="1">E90*(F90-G90)</f>
        <v>3.7066666666666666</v>
      </c>
      <c r="L90" s="117">
        <f ca="1">INDEX(INDIRECT("SSW_WTPCore_DCE_"&amp;$B90&amp;"_UnitValues"),MATCH("COMBINED-HH",WTPCore_Group,0),MATCH("MEAN",LMH,0))</f>
        <v>27.809917858229387</v>
      </c>
      <c r="M90" s="117">
        <f ca="1">L90*($F90-$G90)*(AllProps_SSW/HHProps_SSW)</f>
        <v>0.79130635838150276</v>
      </c>
      <c r="N90" s="117">
        <f ca="1">INDEX(INDIRECT("SSW_WTPCore2_"&amp;$B90&amp;"_UnitValues"),1,MATCH("MEAN",LMH,0))</f>
        <v>139.68750774741403</v>
      </c>
      <c r="O90" s="117">
        <f ca="1">N90*($F90-$G90)*(AllProps_SSW/HHProps_SSW)</f>
        <v>3.974683191460235</v>
      </c>
      <c r="P90" s="437">
        <f ca="1">K90*N$96/K$95</f>
        <v>1.9587151089590511</v>
      </c>
      <c r="Q90" s="611" t="s">
        <v>369</v>
      </c>
      <c r="R90" s="627">
        <f ca="1">P90*HHProps_SSW/((F90-G90)*AllProps_SSW)</f>
        <v>68.837695679885158</v>
      </c>
      <c r="S90" s="828">
        <f t="shared" ref="S90:T94" ca="1" si="87">INDEX(INDIRECT("CAM_WTPCore2_"&amp;$B90&amp;"_Levels"),1,MATCH(S$4,WTPCore2_AttLevels,0))</f>
        <v>2.2222222222222223E-2</v>
      </c>
      <c r="T90" s="828">
        <f t="shared" ca="1" si="87"/>
        <v>1.5384615384615385E-2</v>
      </c>
      <c r="U90" s="436">
        <f ca="1">INDEX(INDIRECT("CAM_WTPCore2_"&amp;$B90&amp;"_LevelValues"),1,MATCH("S1 MEAN",WTPCore2_LevelValues,0))</f>
        <v>3.1155463151224057</v>
      </c>
      <c r="V90" s="436">
        <f ca="1">INDEX(INDIRECT("CAM_WTPCore2_"&amp;$B90&amp;"_LevelValues"),1,MATCH("S2 MEAN",WTPCore2_LevelValues,0))</f>
        <v>1.3419840000849801</v>
      </c>
      <c r="W90" s="767">
        <f ca="1">SUM(U90:V90)</f>
        <v>4.4575303152073857</v>
      </c>
      <c r="X90" s="286">
        <f ca="1">E90*(S90-T90)</f>
        <v>0.95042735042735038</v>
      </c>
      <c r="Y90" s="117">
        <f ca="1">INDEX(INDIRECT("CAM_WTPCore_"&amp;$B90&amp;"_UnitValues"),MATCH("COMBINED-HH",WTPCore_Group,0),MATCH("MEAN",LMH,0))</f>
        <v>305.14240121580548</v>
      </c>
      <c r="Z90" s="117">
        <f ca="1">Y90*($S90-$T90)*(AllProps_CAM/HHProps_CAM)</f>
        <v>2.2457142857142856</v>
      </c>
      <c r="AA90" s="117">
        <f ca="1">INDEX(INDIRECT("CAM_WTPCore2_"&amp;$B90&amp;"_UnitValues"),1,MATCH("MEAN",LMH,0))</f>
        <v>605.67878671262065</v>
      </c>
      <c r="AB90" s="117">
        <f ca="1">AA90*($S90-$T90)*(AllProps_CAM/HHProps_CAM)</f>
        <v>4.4575303152073857</v>
      </c>
      <c r="AC90" s="767">
        <f ca="1">X90*AA$96/X$95</f>
        <v>0.42977450886853508</v>
      </c>
      <c r="AD90" s="517" t="s">
        <v>369</v>
      </c>
      <c r="AE90" s="627">
        <f ca="1">AC90*HHProps_CAM/((S90-T90)*AllProps_CAM)</f>
        <v>58.396754409823025</v>
      </c>
    </row>
    <row r="91" spans="1:31" x14ac:dyDescent="0.25">
      <c r="A91" s="9" t="s">
        <v>117</v>
      </c>
      <c r="B91" s="9" t="s">
        <v>265</v>
      </c>
      <c r="C91" s="9" t="str">
        <f>B91</f>
        <v>TasteSmell</v>
      </c>
      <c r="D91" s="514" t="s">
        <v>369</v>
      </c>
      <c r="E91" s="431">
        <f ca="1">INDEX(INDIRECT("ExtWTP19_"&amp;$C91&amp;"_UnitValues"),MATCH(A$89, INDIRECT("ExtWTP19_Comps_"&amp;C91),0),MATCH("HH",ExtWTP_Group,0))</f>
        <v>266</v>
      </c>
      <c r="F91" s="828">
        <f t="shared" ca="1" si="86"/>
        <v>1.6666666666666666E-2</v>
      </c>
      <c r="G91" s="828">
        <f t="shared" ca="1" si="86"/>
        <v>1.1111111111111112E-2</v>
      </c>
      <c r="H91" s="436">
        <f ca="1">INDEX(INDIRECT("SSW_WTPCore2_"&amp;$B91&amp;"_LevelValues"),1,MATCH("S1 MEAN",WTPCore2_LevelValues,0))</f>
        <v>0.30818609087835352</v>
      </c>
      <c r="I91" s="436">
        <f ca="1">INDEX(INDIRECT("SSW_WTPCore2_"&amp;$B91&amp;"_LevelValues"),1,MATCH("S2 MEAN",WTPCore2_LevelValues,0))</f>
        <v>0.18578205633963885</v>
      </c>
      <c r="J91" s="436">
        <f ca="1">SUM(H91:I91)</f>
        <v>0.49396814721799237</v>
      </c>
      <c r="K91" s="440">
        <f ca="1">E91*(F91-G91)</f>
        <v>1.4777777777777776</v>
      </c>
      <c r="L91" s="117">
        <f ca="1">INDEX(INDIRECT("SSW_WTPCore_DCE_"&amp;$B91&amp;"_UnitValues"),MATCH("COMBINED-HH",WTPCore_Group,0),MATCH("MEAN",LMH,0))</f>
        <v>171.97536823750744</v>
      </c>
      <c r="M91" s="117">
        <f ca="1">L91*($F91-$G91)*(AllProps_SSW/HHProps_SSW)</f>
        <v>1.0194594594594593</v>
      </c>
      <c r="N91" s="117">
        <f ca="1">INDEX(INDIRECT("SSW_WTPCore2_"&amp;$B91&amp;"_UnitValues"),1,MATCH("MEAN",LMH,0))</f>
        <v>83.328820216603944</v>
      </c>
      <c r="O91" s="117">
        <f ca="1">N91*($F91-$G91)*(AllProps_SSW/HHProps_SSW)</f>
        <v>0.49396814721799231</v>
      </c>
      <c r="P91" s="437">
        <f t="shared" ref="P91:P94" ca="1" si="88">K91*N$96/K$95</f>
        <v>0.78090260638954967</v>
      </c>
      <c r="Q91" s="611" t="s">
        <v>369</v>
      </c>
      <c r="R91" s="627">
        <f ca="1">P91*HHProps_SSW/((F91-G91)*AllProps_SSW)</f>
        <v>131.73256871114714</v>
      </c>
      <c r="S91" s="828">
        <f t="shared" ca="1" si="87"/>
        <v>1.4285714285714285E-2</v>
      </c>
      <c r="T91" s="828">
        <f t="shared" ca="1" si="87"/>
        <v>0.01</v>
      </c>
      <c r="U91" s="436">
        <f ca="1">INDEX(INDIRECT("CAM_WTPCore2_"&amp;$B91&amp;"_LevelValues"),1,MATCH("S1 MEAN",WTPCore2_LevelValues,0))</f>
        <v>4.7204807663126298E-2</v>
      </c>
      <c r="V91" s="436">
        <f ca="1">INDEX(INDIRECT("CAM_WTPCore2_"&amp;$B91&amp;"_LevelValues"),1,MATCH("S2 MEAN",WTPCore2_LevelValues,0))</f>
        <v>0.1217094578997745</v>
      </c>
      <c r="W91" s="767">
        <f ca="1">SUM(U91:V91)</f>
        <v>0.16891426556290079</v>
      </c>
      <c r="X91" s="286">
        <f ca="1">E91*(S91-T91)</f>
        <v>1.1399999999999999</v>
      </c>
      <c r="Y91" s="117">
        <f ca="1">INDEX(INDIRECT("CAM_WTPCore_"&amp;$B91&amp;"_UnitValues"),MATCH("COMBINED-HH",WTPCore_Group,0),MATCH("MEAN",LMH,0))</f>
        <v>205.16697061803447</v>
      </c>
      <c r="Z91" s="117">
        <f ca="1">Y91*($S91-$T91)*(AllProps_CAM/HHProps_CAM)</f>
        <v>0.94640816326530608</v>
      </c>
      <c r="AA91" s="117">
        <f ca="1">INDEX(INDIRECT("CAM_WTPCore2_"&amp;$B91&amp;"_UnitValues"),1,MATCH("MEAN",LMH,0))</f>
        <v>36.618057097205678</v>
      </c>
      <c r="AB91" s="117">
        <f ca="1">AA91*($S91-$T91)*(AllProps_CAM/HHProps_CAM)</f>
        <v>0.16891426556290076</v>
      </c>
      <c r="AC91" s="767">
        <f t="shared" ref="AC91:AC94" ca="1" si="89">X91*AA$96/X$95</f>
        <v>0.51549751792162957</v>
      </c>
      <c r="AD91" s="517" t="s">
        <v>369</v>
      </c>
      <c r="AE91" s="627">
        <f ca="1">AC91*HHProps_CAM/((S91-T91)*AllProps_CAM)</f>
        <v>111.75206239577645</v>
      </c>
    </row>
    <row r="92" spans="1:31" x14ac:dyDescent="0.25">
      <c r="A92" s="9" t="s">
        <v>181</v>
      </c>
      <c r="B92" s="9" t="s">
        <v>269</v>
      </c>
      <c r="C92" s="9" t="s">
        <v>328</v>
      </c>
      <c r="D92" s="514" t="s">
        <v>369</v>
      </c>
      <c r="E92" s="431">
        <f ca="1">INDEX(INDIRECT("ExtWTP19_"&amp;$C92&amp;"_UnitValues"),MATCH(A$89, INDIRECT("ExtWTP19_Comps_"&amp;C92),0),MATCH("HH",ExtWTP_Group,0))</f>
        <v>282</v>
      </c>
      <c r="F92" s="828">
        <f t="shared" ca="1" si="86"/>
        <v>1.4285714285714285E-2</v>
      </c>
      <c r="G92" s="828">
        <f t="shared" ca="1" si="86"/>
        <v>9.5238095238095247E-3</v>
      </c>
      <c r="H92" s="436">
        <f ca="1">INDEX(INDIRECT("SSW_WTPCore2_"&amp;$B92&amp;"_LevelValues"),1,MATCH("S1 MEAN",WTPCore2_LevelValues,0))</f>
        <v>0.39718669024665654</v>
      </c>
      <c r="I92" s="436">
        <f ca="1">INDEX(INDIRECT("SSW_WTPCore2_"&amp;$B92&amp;"_LevelValues"),1,MATCH("S2 MEAN",WTPCore2_LevelValues,0))</f>
        <v>0.53859352958370721</v>
      </c>
      <c r="J92" s="436">
        <f ca="1">SUM(H92:I92)</f>
        <v>0.93578021983036375</v>
      </c>
      <c r="K92" s="440">
        <f ca="1">E92*(F92-G92)</f>
        <v>1.3428571428571425</v>
      </c>
      <c r="L92" s="117">
        <f ca="1">INDEX(INDIRECT("SSW_WTPCore_DCE_"&amp;$B92&amp;"_UnitValues"),MATCH("COMBINED-HH",WTPCore_Group,0),MATCH("MEAN",LMH,0))</f>
        <v>160.37052631578945</v>
      </c>
      <c r="M92" s="117">
        <f ca="1">L92*($F92-$G92)*(AllProps_SSW/HHProps_SSW)</f>
        <v>0.8148571428571425</v>
      </c>
      <c r="N92" s="117">
        <f ca="1">INDEX(INDIRECT("SSW_WTPCore2_"&amp;$B92&amp;"_UnitValues"),1,MATCH("MEAN",LMH,0))</f>
        <v>184.16917331534088</v>
      </c>
      <c r="O92" s="117">
        <f ca="1">N92*($F92-$G92)*(AllProps_SSW/HHProps_SSW)</f>
        <v>0.93578021983036364</v>
      </c>
      <c r="P92" s="437">
        <f t="shared" ca="1" si="88"/>
        <v>0.7096064500596766</v>
      </c>
      <c r="Q92" s="611" t="s">
        <v>369</v>
      </c>
      <c r="R92" s="627">
        <f ca="1">P92*HHProps_SSW/((F92-G92)*AllProps_SSW)</f>
        <v>139.65633224264471</v>
      </c>
      <c r="S92" s="828">
        <f t="shared" ca="1" si="87"/>
        <v>2.5000000000000001E-2</v>
      </c>
      <c r="T92" s="828">
        <f t="shared" ca="1" si="87"/>
        <v>1.6666666666666666E-2</v>
      </c>
      <c r="U92" s="436">
        <f ca="1">INDEX(INDIRECT("CAM_WTPCore2_"&amp;$B92&amp;"_LevelValues"),1,MATCH("S1 MEAN",WTPCore2_LevelValues,0))</f>
        <v>5.3490671066612649E-2</v>
      </c>
      <c r="V92" s="436">
        <f ca="1">INDEX(INDIRECT("CAM_WTPCore2_"&amp;$B92&amp;"_LevelValues"),1,MATCH("S2 MEAN",WTPCore2_LevelValues,0))</f>
        <v>0.33457681646237136</v>
      </c>
      <c r="W92" s="767">
        <f ca="1">SUM(U92:V92)</f>
        <v>0.38806748752898401</v>
      </c>
      <c r="X92" s="286">
        <f ca="1">E92*(S92-T92)</f>
        <v>2.3500000000000005</v>
      </c>
      <c r="Y92" s="117">
        <f ca="1">INDEX(INDIRECT("CAM_WTPCore_"&amp;$B92&amp;"_UnitValues"),MATCH("COMBINED-HH",WTPCore_Group,0),MATCH("MEAN",LMH,0))</f>
        <v>27.921526908635794</v>
      </c>
      <c r="Z92" s="117">
        <f ca="1">Y92*($S92-$T92)*(AllProps_CAM/HHProps_CAM)</f>
        <v>0.25044117647058822</v>
      </c>
      <c r="AA92" s="117">
        <f ca="1">INDEX(INDIRECT("CAM_WTPCore2_"&amp;$B92&amp;"_UnitValues"),1,MATCH("MEAN",LMH,0))</f>
        <v>43.265396481954809</v>
      </c>
      <c r="AB92" s="117">
        <f ca="1">AA92*($S92-$T92)*(AllProps_CAM/HHProps_CAM)</f>
        <v>0.38806748752898401</v>
      </c>
      <c r="AC92" s="767">
        <f t="shared" ca="1" si="89"/>
        <v>1.0626483922068684</v>
      </c>
      <c r="AD92" s="517" t="s">
        <v>369</v>
      </c>
      <c r="AE92" s="627">
        <f ca="1">AC92*HHProps_CAM/((S92-T92)*AllProps_CAM)</f>
        <v>118.47399096093594</v>
      </c>
    </row>
    <row r="93" spans="1:31" x14ac:dyDescent="0.25">
      <c r="A93" s="9" t="s">
        <v>674</v>
      </c>
      <c r="B93" s="9" t="s">
        <v>269</v>
      </c>
      <c r="C93" s="9" t="s">
        <v>326</v>
      </c>
      <c r="D93" s="514" t="s">
        <v>369</v>
      </c>
      <c r="E93" s="431">
        <f ca="1">INDEX(INDIRECT("ExtWTP19_"&amp;$C93&amp;"_UnitValues"),MATCH(A$89, INDIRECT("ExtWTP19_Comps_"&amp;C93),0),MATCH("HH",ExtWTP_Group,0))</f>
        <v>515</v>
      </c>
      <c r="F93" s="828">
        <f t="shared" ca="1" si="86"/>
        <v>1.4285714285714285E-2</v>
      </c>
      <c r="G93" s="828">
        <f t="shared" ca="1" si="86"/>
        <v>9.5238095238095247E-3</v>
      </c>
      <c r="H93" s="436">
        <f ca="1">INDEX(INDIRECT("SSW_WTPCore2_"&amp;$B93&amp;"_LevelValues"),1,MATCH("S1 MEAN",WTPCore2_LevelValues,0))</f>
        <v>0.39718669024665654</v>
      </c>
      <c r="I93" s="436">
        <f ca="1">INDEX(INDIRECT("SSW_WTPCore2_"&amp;$B93&amp;"_LevelValues"),1,MATCH("S2 MEAN",WTPCore2_LevelValues,0))</f>
        <v>0.53859352958370721</v>
      </c>
      <c r="J93" s="436">
        <f ca="1">SUM(H93:I93)</f>
        <v>0.93578021983036375</v>
      </c>
      <c r="K93" s="440">
        <f ca="1">E93*(F93-G93)</f>
        <v>2.4523809523809517</v>
      </c>
      <c r="L93" s="117">
        <f ca="1">INDEX(INDIRECT("SSW_WTPCore_DCE_"&amp;$B93&amp;"_UnitValues"),MATCH("COMBINED-HH",WTPCore_Group,0),MATCH("MEAN",LMH,0))</f>
        <v>160.37052631578945</v>
      </c>
      <c r="M93" s="117">
        <f ca="1">L93*($F93-$G93)*(AllProps_SSW/HHProps_SSW)</f>
        <v>0.8148571428571425</v>
      </c>
      <c r="N93" s="117">
        <f ca="1">INDEX(INDIRECT("SSW_WTPCore2_"&amp;$B93&amp;"_UnitValues"),1,MATCH("MEAN",LMH,0))</f>
        <v>184.16917331534088</v>
      </c>
      <c r="O93" s="117">
        <f ca="1">N93*($F93-$G93)*(AllProps_SSW/HHProps_SSW)</f>
        <v>0.93578021983036364</v>
      </c>
      <c r="P93" s="437">
        <f t="shared" ca="1" si="88"/>
        <v>1.2959124885841611</v>
      </c>
      <c r="Q93" s="611" t="s">
        <v>369</v>
      </c>
      <c r="R93" s="627">
        <f ca="1">P93*HHProps_SSW/((F93-G93)*AllProps_SSW)</f>
        <v>255.04613867007805</v>
      </c>
      <c r="S93" s="828">
        <f t="shared" ca="1" si="87"/>
        <v>2.5000000000000001E-2</v>
      </c>
      <c r="T93" s="828">
        <f t="shared" ca="1" si="87"/>
        <v>1.6666666666666666E-2</v>
      </c>
      <c r="U93" s="436">
        <f ca="1">INDEX(INDIRECT("CAM_WTPCore2_"&amp;$B93&amp;"_LevelValues"),1,MATCH("S1 MEAN",WTPCore2_LevelValues,0))</f>
        <v>5.3490671066612649E-2</v>
      </c>
      <c r="V93" s="436">
        <f ca="1">INDEX(INDIRECT("CAM_WTPCore2_"&amp;$B93&amp;"_LevelValues"),1,MATCH("S2 MEAN",WTPCore2_LevelValues,0))</f>
        <v>0.33457681646237136</v>
      </c>
      <c r="W93" s="767">
        <f ca="1">SUM(U93:V93)</f>
        <v>0.38806748752898401</v>
      </c>
      <c r="X93" s="286">
        <f ca="1">E93*(S93-T93)</f>
        <v>4.2916666666666679</v>
      </c>
      <c r="Y93" s="117">
        <f ca="1">INDEX(INDIRECT("CAM_WTPCore_"&amp;$B93&amp;"_UnitValues"),MATCH("COMBINED-HH",WTPCore_Group,0),MATCH("MEAN",LMH,0))</f>
        <v>27.921526908635794</v>
      </c>
      <c r="Z93" s="117">
        <f ca="1">Y93*($S93-$T93)*(AllProps_CAM/HHProps_CAM)</f>
        <v>0.25044117647058822</v>
      </c>
      <c r="AA93" s="117">
        <f ca="1">INDEX(INDIRECT("CAM_WTPCore2_"&amp;$B93&amp;"_UnitValues"),1,MATCH("MEAN",LMH,0))</f>
        <v>43.265396481954809</v>
      </c>
      <c r="AB93" s="117">
        <f ca="1">AA93*($S93-$T93)*(AllProps_CAM/HHProps_CAM)</f>
        <v>0.38806748752898401</v>
      </c>
      <c r="AC93" s="767">
        <f t="shared" ca="1" si="89"/>
        <v>1.9406522056260187</v>
      </c>
      <c r="AD93" s="517" t="s">
        <v>369</v>
      </c>
      <c r="AE93" s="627">
        <f ca="1">AC93*HHProps_CAM/((S93-T93)*AllProps_CAM)</f>
        <v>216.36207569107097</v>
      </c>
    </row>
    <row r="94" spans="1:31" x14ac:dyDescent="0.25">
      <c r="A94" s="9" t="s">
        <v>330</v>
      </c>
      <c r="B94" s="9" t="s">
        <v>319</v>
      </c>
      <c r="C94" s="9" t="str">
        <f>B94</f>
        <v>TempBan</v>
      </c>
      <c r="D94" s="514" t="s">
        <v>369</v>
      </c>
      <c r="E94" s="431">
        <f ca="1">INDEX(INDIRECT("ExtWTP19_"&amp;$C94&amp;"_UnitValues"),MATCH(A$89, INDIRECT("ExtWTP19_Comps_"&amp;C94),0),MATCH("HH",ExtWTP_Group,0))</f>
        <v>97</v>
      </c>
      <c r="F94" s="828">
        <f t="shared" ca="1" si="86"/>
        <v>2.5000000000000001E-2</v>
      </c>
      <c r="G94" s="828">
        <f t="shared" ca="1" si="86"/>
        <v>1.5384615384615385E-2</v>
      </c>
      <c r="H94" s="436">
        <f ca="1">INDEX(INDIRECT("SSW_WTPCore2_"&amp;$B94&amp;"_LevelValues"),1,MATCH("S1 MEAN",WTPCore2_LevelValues,0))</f>
        <v>0.4084226191643695</v>
      </c>
      <c r="I94" s="436">
        <f ca="1">INDEX(INDIRECT("SSW_WTPCore2_"&amp;$B94&amp;"_LevelValues"),1,MATCH("S2 MEAN",WTPCore2_LevelValues,0))</f>
        <v>0.28250000903457151</v>
      </c>
      <c r="J94" s="436">
        <f ca="1">SUM(H94:I94)</f>
        <v>0.69092262819894101</v>
      </c>
      <c r="K94" s="440">
        <f ca="1">E94*(F94-G94)</f>
        <v>0.93269230769230771</v>
      </c>
      <c r="L94" s="117">
        <f ca="1">INDEX(INDIRECT("SSW_WTPCore_DCE_"&amp;$B94&amp;"_UnitValues"),MATCH("COMBINED-HH",WTPCore_Group,0),MATCH("MEAN",LMH,0))</f>
        <v>251711.99999999994</v>
      </c>
      <c r="M94" s="117">
        <f ca="1">L94*(F94-G94)/HHProps_SSW</f>
        <v>4.3846153846153835E-3</v>
      </c>
      <c r="N94" s="117">
        <f ca="1">INDEX(INDIRECT("SSW_WTPCore2_"&amp;$B94&amp;"_UnitValues"),1,MATCH("MEAN",LMH,0))</f>
        <v>396644.86239644804</v>
      </c>
      <c r="O94" s="117">
        <f ca="1">N94*(F94-G94)/HHProps_SSW*100</f>
        <v>0.69092262819894101</v>
      </c>
      <c r="P94" s="437">
        <f t="shared" ca="1" si="88"/>
        <v>0.49286290874644084</v>
      </c>
      <c r="Q94" s="615" t="s">
        <v>422</v>
      </c>
      <c r="R94" s="627">
        <f ca="1">P94*HHProps_SSW/((F94-G94)*100)</f>
        <v>282942.73865315673</v>
      </c>
      <c r="S94" s="828">
        <f t="shared" ca="1" si="87"/>
        <v>0.05</v>
      </c>
      <c r="T94" s="828">
        <f t="shared" ca="1" si="87"/>
        <v>3.3333333333333333E-2</v>
      </c>
      <c r="U94" s="436">
        <f ca="1">INDEX(INDIRECT("CAM_WTPCore2_"&amp;$B94&amp;"_LevelValues"),1,MATCH("S1 MEAN",WTPCore2_LevelValues,0))</f>
        <v>0.15591350717379643</v>
      </c>
      <c r="V94" s="436">
        <f ca="1">INDEX(INDIRECT("CAM_WTPCore2_"&amp;$B94&amp;"_LevelValues"),1,MATCH("S2 MEAN",WTPCore2_LevelValues,0))</f>
        <v>5.0130987785217407E-2</v>
      </c>
      <c r="W94" s="216">
        <f ca="1">SUM(U94:V94)</f>
        <v>0.20604449495901384</v>
      </c>
      <c r="X94" s="286">
        <f ca="1">E94*(S94-T94)</f>
        <v>1.6166666666666669</v>
      </c>
      <c r="Y94" s="117">
        <f ca="1">INDEX(INDIRECT("CAM_WTPCore_"&amp;$B94&amp;"_UnitValues"),MATCH("COMBINED-HH",WTPCore_Group,0),MATCH("MEAN",LMH,0))</f>
        <v>452735.99999999994</v>
      </c>
      <c r="Z94" s="117">
        <f ca="1">Y94*(S94-T94)/HHProps_CAM</f>
        <v>5.7600000000000005E-2</v>
      </c>
      <c r="AA94" s="117">
        <f ca="1">INDEX(INDIRECT("CAM_WTPCore2_"&amp;$B94&amp;"_UnitValues"),1,MATCH("MEAN",LMH,0))</f>
        <v>16195.097303778484</v>
      </c>
      <c r="AB94" s="117">
        <f ca="1">AA94*(S94-T94)/HHProps_CAM*100</f>
        <v>0.20604449495901386</v>
      </c>
      <c r="AC94" s="767">
        <f t="shared" ca="1" si="89"/>
        <v>0.73104180173096611</v>
      </c>
      <c r="AD94" s="911" t="s">
        <v>422</v>
      </c>
      <c r="AE94" s="627">
        <f ca="1">AC94*HHProps_CAM/((S94-T94)*100)</f>
        <v>57459.885616053922</v>
      </c>
    </row>
    <row r="95" spans="1:31" x14ac:dyDescent="0.25">
      <c r="D95" s="514"/>
      <c r="E95" s="431"/>
      <c r="F95" s="436"/>
      <c r="G95" s="436"/>
      <c r="H95" s="436"/>
      <c r="I95" s="436"/>
      <c r="J95" s="445">
        <f ca="1">SUM(J90:J94)</f>
        <v>7.0311344065378965</v>
      </c>
      <c r="K95" s="603">
        <f ca="1">SUM(K90:K94)</f>
        <v>9.9123748473748474</v>
      </c>
      <c r="L95" s="603"/>
      <c r="M95" s="446">
        <f ca="1">SUM(M90:M94)</f>
        <v>3.4448647189398622</v>
      </c>
      <c r="N95" s="446"/>
      <c r="O95" s="289">
        <f ca="1">SUM(O90:O94)</f>
        <v>7.0311344065378965</v>
      </c>
      <c r="P95" s="497">
        <f ca="1">SUM(P90:P94)</f>
        <v>5.2379995627388789</v>
      </c>
      <c r="R95" s="628"/>
      <c r="S95" s="118"/>
      <c r="T95" s="118"/>
      <c r="U95" s="118"/>
      <c r="V95" s="118"/>
      <c r="W95" s="52">
        <f ca="1">SUM(W90:W94)</f>
        <v>5.6086240507872676</v>
      </c>
      <c r="X95" s="532">
        <f ca="1">SUM(X90:X94)</f>
        <v>10.348760683760686</v>
      </c>
      <c r="Y95" s="603"/>
      <c r="Z95" s="446">
        <f ca="1">SUM(Z90:Z94)</f>
        <v>3.7506048019207681</v>
      </c>
      <c r="AA95" s="446"/>
      <c r="AB95" s="289">
        <f ca="1">SUM(AB90:AB94)</f>
        <v>5.6086240507872676</v>
      </c>
      <c r="AC95" s="52">
        <f ca="1">SUM(AC90:AC94)</f>
        <v>4.6796144263540178</v>
      </c>
      <c r="AE95" s="534"/>
    </row>
    <row r="96" spans="1:31" s="60" customFormat="1" x14ac:dyDescent="0.25">
      <c r="D96" s="516"/>
      <c r="E96" s="523"/>
      <c r="F96" s="553"/>
      <c r="G96" s="553"/>
      <c r="H96" s="553"/>
      <c r="I96" s="553"/>
      <c r="J96" s="553"/>
      <c r="K96" s="829"/>
      <c r="L96" s="829"/>
      <c r="M96" s="830" t="s">
        <v>997</v>
      </c>
      <c r="N96" s="737">
        <f ca="1">AVERAGE(M95,O95)</f>
        <v>5.2379995627388798</v>
      </c>
      <c r="O96" s="830"/>
      <c r="P96" s="177"/>
      <c r="Q96" s="617"/>
      <c r="R96" s="629"/>
      <c r="S96" s="197"/>
      <c r="T96" s="197"/>
      <c r="U96" s="197"/>
      <c r="V96" s="197"/>
      <c r="W96" s="197"/>
      <c r="X96" s="829"/>
      <c r="Y96" s="829"/>
      <c r="Z96" s="830" t="s">
        <v>997</v>
      </c>
      <c r="AA96" s="737">
        <f ca="1">AVERAGE(Z95,AB95)</f>
        <v>4.6796144263540178</v>
      </c>
      <c r="AB96" s="830"/>
      <c r="AC96" s="177"/>
      <c r="AE96" s="535"/>
    </row>
    <row r="97" spans="1:31" s="64" customFormat="1" x14ac:dyDescent="0.25">
      <c r="A97" s="165" t="s">
        <v>602</v>
      </c>
      <c r="D97" s="151"/>
      <c r="E97" s="151"/>
      <c r="F97" s="839"/>
      <c r="G97" s="839"/>
      <c r="H97" s="839"/>
      <c r="I97" s="839"/>
      <c r="J97" s="839"/>
      <c r="K97" s="175"/>
      <c r="L97" s="175"/>
      <c r="M97" s="175"/>
      <c r="N97" s="175"/>
      <c r="O97" s="175"/>
      <c r="P97" s="175"/>
      <c r="Q97" s="619"/>
      <c r="R97" s="628"/>
      <c r="S97" s="839"/>
      <c r="T97" s="839"/>
      <c r="U97" s="839"/>
      <c r="V97" s="839"/>
      <c r="W97" s="839"/>
      <c r="X97" s="839"/>
      <c r="Y97" s="175"/>
      <c r="Z97" s="175"/>
      <c r="AA97" s="175"/>
      <c r="AB97" s="175"/>
      <c r="AC97" s="175"/>
      <c r="AE97" s="628"/>
    </row>
    <row r="98" spans="1:31" x14ac:dyDescent="0.25">
      <c r="A98" s="9" t="s">
        <v>330</v>
      </c>
      <c r="B98" s="9" t="s">
        <v>319</v>
      </c>
      <c r="C98" s="9" t="str">
        <f>B98</f>
        <v>TempBan</v>
      </c>
      <c r="D98" s="514" t="s">
        <v>369</v>
      </c>
      <c r="E98" s="431">
        <f ca="1">INDEX(INDIRECT("ExtWTP19_"&amp;$C98&amp;"_UnitValues"),MATCH(A$78, INDIRECT("ExtWTP19_Comps_"&amp;C98),0),MATCH("HH",ExtWTP_Group,0))</f>
        <v>38</v>
      </c>
      <c r="F98" s="828">
        <f t="shared" ref="F98:G100" ca="1" si="90">INDEX(INDIRECT("SSW_WTPCore2_"&amp;$B98&amp;"_Levels"),1,MATCH(F$4,WTPCore2_AttLevels,0))</f>
        <v>2.5000000000000001E-2</v>
      </c>
      <c r="G98" s="828">
        <f t="shared" ca="1" si="90"/>
        <v>1.5384615384615385E-2</v>
      </c>
      <c r="H98" s="436">
        <f ca="1">INDEX(INDIRECT("SSW_WTPCore2_"&amp;$B98&amp;"_LevelValues"),1,MATCH("S1 MEAN",WTPCore2_LevelValues,0))</f>
        <v>0.4084226191643695</v>
      </c>
      <c r="I98" s="436">
        <f ca="1">INDEX(INDIRECT("SSW_WTPCore2_"&amp;$B98&amp;"_LevelValues"),1,MATCH("S2 MEAN",WTPCore2_LevelValues,0))</f>
        <v>0.28250000903457151</v>
      </c>
      <c r="J98" s="436">
        <f ca="1">SUM(H98:I98)</f>
        <v>0.69092262819894101</v>
      </c>
      <c r="K98" s="440">
        <f ca="1">E98*(F98-G98)</f>
        <v>0.36538461538461542</v>
      </c>
      <c r="L98" s="117">
        <f ca="1">INDEX(INDIRECT("SSW_WTPCore_DCE_"&amp;$B98&amp;"_UnitValues"),MATCH("COMBINED-HH",WTPCore_Group,0),MATCH("MEAN",LMH,0))</f>
        <v>251711.99999999994</v>
      </c>
      <c r="M98" s="117">
        <f ca="1">L98*(F98-G98)/HHProps_SSW</f>
        <v>4.3846153846153835E-3</v>
      </c>
      <c r="N98" s="117">
        <f ca="1">INDEX(INDIRECT("SSW_WTPCore2_"&amp;$B98&amp;"_UnitValues"),1,MATCH("MEAN",LMH,0))</f>
        <v>396644.86239644804</v>
      </c>
      <c r="O98" s="117">
        <f ca="1">N98*(F98-G98)/HHProps_SSW*100</f>
        <v>0.69092262819894101</v>
      </c>
      <c r="P98" s="437">
        <f ca="1">K98*N$102/K$101</f>
        <v>3.4489266653964491E-2</v>
      </c>
      <c r="Q98" s="615" t="s">
        <v>422</v>
      </c>
      <c r="R98" s="627">
        <f ca="1">P98*HHProps_SSW/((F98-G98)*100)</f>
        <v>19799.598200707933</v>
      </c>
      <c r="S98" s="828">
        <f t="shared" ref="S98:T100" ca="1" si="91">INDEX(INDIRECT("CAM_WTPCore2_"&amp;$B98&amp;"_Levels"),1,MATCH(S$4,WTPCore2_AttLevels,0))</f>
        <v>0.05</v>
      </c>
      <c r="T98" s="828">
        <f t="shared" ca="1" si="91"/>
        <v>3.3333333333333333E-2</v>
      </c>
      <c r="U98" s="436">
        <f ca="1">INDEX(INDIRECT("CAM_WTPCore2_"&amp;$B98&amp;"_LevelValues"),1,MATCH("S1 MEAN",WTPCore2_LevelValues,0))</f>
        <v>0.15591350717379643</v>
      </c>
      <c r="V98" s="436">
        <f ca="1">INDEX(INDIRECT("CAM_WTPCore2_"&amp;$B98&amp;"_LevelValues"),1,MATCH("S2 MEAN",WTPCore2_LevelValues,0))</f>
        <v>5.0130987785217407E-2</v>
      </c>
      <c r="W98" s="767">
        <f ca="1">SUM(U98:V98)</f>
        <v>0.20604449495901384</v>
      </c>
      <c r="X98" s="286">
        <f ca="1">E98*(S98-T98)</f>
        <v>0.63333333333333341</v>
      </c>
      <c r="Y98" s="117">
        <f ca="1">INDEX(INDIRECT("CAM_WTPCore_"&amp;$B98&amp;"_UnitValues"),MATCH("COMBINED-HH",WTPCore_Group,0),MATCH("MEAN",LMH,0))</f>
        <v>452735.99999999994</v>
      </c>
      <c r="Z98" s="117">
        <f ca="1">Y98*(S98-T98)/HHProps_CAM</f>
        <v>5.7600000000000005E-2</v>
      </c>
      <c r="AA98" s="117">
        <f ca="1">INDEX(INDIRECT("CAM_WTPCore2_"&amp;$B98&amp;"_UnitValues"),1,MATCH("MEAN",LMH,0))</f>
        <v>16195.097303778484</v>
      </c>
      <c r="AB98" s="117">
        <f ca="1">AA98*(S98-T98)/HHProps_CAM*100</f>
        <v>0.20604449495901386</v>
      </c>
      <c r="AC98" s="767">
        <f ca="1">X98*AA$102/X$101</f>
        <v>0.13315509985788096</v>
      </c>
      <c r="AD98" s="911" t="s">
        <v>422</v>
      </c>
      <c r="AE98" s="627">
        <f ca="1">AC98*HHProps_CAM/((S98-T98)*100)</f>
        <v>10465.990848829442</v>
      </c>
    </row>
    <row r="99" spans="1:31" x14ac:dyDescent="0.25">
      <c r="A99" s="9" t="s">
        <v>3</v>
      </c>
      <c r="B99" s="9" t="s">
        <v>3</v>
      </c>
      <c r="C99" s="9" t="str">
        <f>B99</f>
        <v>Leakage</v>
      </c>
      <c r="D99" s="514" t="s">
        <v>666</v>
      </c>
      <c r="E99" s="431">
        <f ca="1">INDEX(INDIRECT("ExtWTP19_"&amp;$B99&amp;"_UnitValues"),8,1)</f>
        <v>655153</v>
      </c>
      <c r="F99" s="438">
        <f t="shared" ca="1" si="90"/>
        <v>70.5</v>
      </c>
      <c r="G99" s="438">
        <f t="shared" ca="1" si="90"/>
        <v>35.25</v>
      </c>
      <c r="H99" s="436">
        <f ca="1">INDEX(INDIRECT("SSW_WTPCore2_"&amp;$B99&amp;"_LevelValues"),1,MATCH("S1 MEAN",WTPCore2_LevelValues,0))</f>
        <v>1.2301339708448666</v>
      </c>
      <c r="I99" s="436">
        <f ca="1">INDEX(INDIRECT("SSW_WTPCore2_"&amp;$B99&amp;"_LevelValues"),1,MATCH("S2 MEAN",WTPCore2_LevelValues,0))</f>
        <v>0.44133293088857806</v>
      </c>
      <c r="J99" s="436">
        <f ca="1">SUM(H99:I99)</f>
        <v>1.6714669017334447</v>
      </c>
      <c r="K99" s="440">
        <f ca="1">E99*(F99-G99)/AllProps_SSW</f>
        <v>39.209071731748729</v>
      </c>
      <c r="L99" s="117">
        <f ca="1">INDEX(INDIRECT("SSW_WTPCore_DCE_"&amp;$B99&amp;"_UnitValues"),MATCH("COMBINED-HH",WTPCore_Group,0),MATCH("MEAN",LMH,0))</f>
        <v>31319.148936170212</v>
      </c>
      <c r="M99" s="117">
        <f ca="1">L99*(F99-G99)/HHProps_SSW</f>
        <v>2</v>
      </c>
      <c r="N99" s="117">
        <f ca="1">INDEX(INDIRECT("SSW_WTPCore2_"&amp;$B99&amp;"_UnitValues"),1,MATCH("MEAN",LMH,0))</f>
        <v>26174.460418634368</v>
      </c>
      <c r="O99" s="117">
        <f ca="1">N99*(F99-G99)/HHProps_SSW</f>
        <v>1.6714669017334447</v>
      </c>
      <c r="P99" s="437">
        <f t="shared" ref="P99:P100" ca="1" si="92">K99*N$102/K$101</f>
        <v>3.7010100405766608</v>
      </c>
      <c r="Q99" s="611" t="s">
        <v>666</v>
      </c>
      <c r="R99" s="631">
        <f ca="1">P99*HHProps_SSW/((F99-G99))</f>
        <v>57956.242337540905</v>
      </c>
      <c r="S99" s="438">
        <f t="shared" ca="1" si="91"/>
        <v>13.5</v>
      </c>
      <c r="T99" s="438">
        <f t="shared" ca="1" si="91"/>
        <v>6.75</v>
      </c>
      <c r="U99" s="436">
        <f ca="1">INDEX(INDIRECT("CAM_WTPCore2_"&amp;$B99&amp;"_LevelValues"),1,MATCH("S1 MEAN",WTPCore2_LevelValues,0))</f>
        <v>3.1349723048319831</v>
      </c>
      <c r="V99" s="436">
        <f ca="1">INDEX(INDIRECT("CAM_WTPCore2_"&amp;$B99&amp;"_LevelValues"),1,MATCH("S2 MEAN",WTPCore2_LevelValues,0))</f>
        <v>5.1405797633106154E-3</v>
      </c>
      <c r="W99" s="767">
        <f ca="1">SUM(U99:V99)</f>
        <v>3.1401128845952937</v>
      </c>
      <c r="X99" s="286">
        <f ca="1">E99*(S99-T99)/AllProps_CAM</f>
        <v>31.363707446808512</v>
      </c>
      <c r="Y99" s="117">
        <f ca="1">INDEX(INDIRECT("CAM_WTPCore_"&amp;$B99&amp;"_UnitValues"),MATCH("COMBINED-HH",WTPCore_Group,0),MATCH("MEAN",LMH,0))</f>
        <v>140121.48148148149</v>
      </c>
      <c r="Z99" s="117">
        <f ca="1">Y99*(S99-T99)/HHProps_CAM</f>
        <v>7.22</v>
      </c>
      <c r="AA99" s="117">
        <f ca="1">INDEX(INDIRECT("CAM_WTPCore2_"&amp;$B99&amp;"_UnitValues"),1,MATCH("MEAN",LMH,0))</f>
        <v>60941.450056590147</v>
      </c>
      <c r="AB99" s="117">
        <f ca="1">AA99*(S99-T99)/HHProps_CAM</f>
        <v>3.1401128845952937</v>
      </c>
      <c r="AC99" s="767">
        <f t="shared" ref="AC99:AC100" ca="1" si="93">X99*AA$102/X$101</f>
        <v>6.5940593636733977</v>
      </c>
      <c r="AD99" s="517" t="s">
        <v>666</v>
      </c>
      <c r="AE99" s="627">
        <f ca="1">AC99*HHProps_CAM/((S99-T99))</f>
        <v>127973.59653943927</v>
      </c>
    </row>
    <row r="100" spans="1:31" x14ac:dyDescent="0.25">
      <c r="A100" s="9" t="s">
        <v>324</v>
      </c>
      <c r="B100" s="9" t="s">
        <v>318</v>
      </c>
      <c r="C100" s="9" t="str">
        <f>B100</f>
        <v>Metering</v>
      </c>
      <c r="D100" s="514" t="s">
        <v>670</v>
      </c>
      <c r="E100" s="431">
        <f ca="1">INDEX(INDIRECT("ExtWTP19_"&amp;$B100&amp;"_UnitValues"),3,1)</f>
        <v>53</v>
      </c>
      <c r="F100" s="828">
        <f t="shared" ca="1" si="90"/>
        <v>0.33</v>
      </c>
      <c r="G100" s="828">
        <f t="shared" ca="1" si="90"/>
        <v>0.5</v>
      </c>
      <c r="H100" s="436">
        <f ca="1">INDEX(INDIRECT("SSW_WTPCore2_"&amp;$B100&amp;"_LevelValues"),1,MATCH("S1 MEAN",WTPCore2_LevelValues,0))</f>
        <v>3.9796847923577343</v>
      </c>
      <c r="I100" s="436">
        <f ca="1">INDEX(INDIRECT("SSW_WTPCore2_"&amp;$B100&amp;"_LevelValues"),1,MATCH("S2 MEAN",WTPCore2_LevelValues,0))</f>
        <v>0.52424962900217631</v>
      </c>
      <c r="J100" s="436">
        <f ca="1">SUM(H100:I100)</f>
        <v>4.5039344213599106</v>
      </c>
      <c r="K100" s="440">
        <f ca="1">-E100*(F100-G100)</f>
        <v>9.01</v>
      </c>
      <c r="L100" s="117">
        <f ca="1">INDEX(INDIRECT("SSW_WTPCore_DCE_"&amp;$B100&amp;"_UnitValues"),MATCH("COMBINED-HH",WTPCore_Group,0),MATCH("MEAN",LMH,0))</f>
        <v>1.7719298245614032</v>
      </c>
      <c r="M100" s="117">
        <f ca="1">-L100*($F100-$G100)</f>
        <v>0.30122807017543851</v>
      </c>
      <c r="N100" s="117">
        <f ca="1">INDEX(INDIRECT("SSW_WTPCore2_"&amp;$B100&amp;"_UnitValues"),1,MATCH("MEAN",LMH,0))</f>
        <v>26.493731890352418</v>
      </c>
      <c r="O100" s="117">
        <f ca="1">-N100*($F100-$G100)</f>
        <v>4.5039344213599106</v>
      </c>
      <c r="P100" s="437">
        <f t="shared" ca="1" si="92"/>
        <v>0.85046901119554952</v>
      </c>
      <c r="Q100" s="616" t="s">
        <v>676</v>
      </c>
      <c r="R100" s="627">
        <f ca="1">-P100*HHProps_SSW/((F100-G100)*AllProps_SSW)</f>
        <v>4.6884938997297851</v>
      </c>
      <c r="S100" s="828">
        <f t="shared" ca="1" si="91"/>
        <v>0.7</v>
      </c>
      <c r="T100" s="828">
        <f t="shared" ca="1" si="91"/>
        <v>0.95</v>
      </c>
      <c r="U100" s="436">
        <f ca="1">INDEX(INDIRECT("CAM_WTPCore2_"&amp;$B100&amp;"_LevelValues"),1,MATCH("S1 MEAN",WTPCore2_LevelValues,0))</f>
        <v>1.4360208416640492</v>
      </c>
      <c r="V100" s="436">
        <f ca="1">INDEX(INDIRECT("CAM_WTPCore2_"&amp;$B100&amp;"_LevelValues"),1,MATCH("S2 MEAN",WTPCore2_LevelValues,0))</f>
        <v>0.918140410423955</v>
      </c>
      <c r="W100" s="767">
        <f ca="1">SUM(U100:V100)</f>
        <v>2.3541612520880042</v>
      </c>
      <c r="X100" s="286">
        <f ca="1">-E100*(S100-T100)</f>
        <v>13.25</v>
      </c>
      <c r="Y100" s="117">
        <f ca="1">INDEX(INDIRECT("CAM_WTPCore_"&amp;$B100&amp;"_UnitValues"),MATCH("COMBINED-HH",WTPCore_Group,0),MATCH("MEAN",LMH,0))</f>
        <v>8.64</v>
      </c>
      <c r="Z100" s="117">
        <f ca="1">Y100*($S100-TG100)</f>
        <v>6.048</v>
      </c>
      <c r="AA100" s="117">
        <f ca="1">INDEX(INDIRECT("CAM_WTPCore2_"&amp;$B100&amp;"_UnitValues"),1,MATCH("MEAN",LMH,0))</f>
        <v>9.4166450083520168</v>
      </c>
      <c r="AB100" s="117">
        <f ca="1">-AA100*($S100-T100)</f>
        <v>2.3541612520880042</v>
      </c>
      <c r="AC100" s="767">
        <f t="shared" ca="1" si="93"/>
        <v>2.785744852289878</v>
      </c>
      <c r="AD100" s="514" t="s">
        <v>676</v>
      </c>
      <c r="AE100" s="627">
        <f ca="1">-AC100*HHProps_CAM/((S100-T100)*AllProps_CAM)</f>
        <v>10.352697181559545</v>
      </c>
    </row>
    <row r="101" spans="1:31" x14ac:dyDescent="0.25">
      <c r="D101" s="514"/>
      <c r="E101" s="431"/>
      <c r="F101" s="191"/>
      <c r="G101" s="191"/>
      <c r="H101" s="436"/>
      <c r="I101" s="436"/>
      <c r="J101" s="297">
        <f ca="1">SUM(J98:J100)</f>
        <v>6.866323951292296</v>
      </c>
      <c r="K101" s="603">
        <f ca="1">SUM(K98:K100)</f>
        <v>48.58445634713334</v>
      </c>
      <c r="L101" s="603"/>
      <c r="M101" s="446">
        <f ca="1">SUM(M96:M100)</f>
        <v>2.3056126855600536</v>
      </c>
      <c r="N101" s="446"/>
      <c r="O101" s="289">
        <f ca="1">SUM(O96:O100)</f>
        <v>6.866323951292296</v>
      </c>
      <c r="P101" s="297">
        <f ca="1">SUM(P98:P100)</f>
        <v>4.5859683184261746</v>
      </c>
      <c r="R101" s="628"/>
      <c r="S101" s="118"/>
      <c r="T101" s="118"/>
      <c r="U101" s="118"/>
      <c r="V101" s="118"/>
      <c r="W101" s="52">
        <f ca="1">SUM(W98:W100)</f>
        <v>5.7003186316423111</v>
      </c>
      <c r="X101" s="287">
        <f ca="1">SUM(X98:X100)</f>
        <v>45.247040780141845</v>
      </c>
      <c r="Y101" s="603"/>
      <c r="Z101" s="446">
        <f ca="1">SUM(Z96:Z100)</f>
        <v>13.3256</v>
      </c>
      <c r="AA101" s="446"/>
      <c r="AB101" s="446">
        <f ca="1">SUM(AB96:AB100)</f>
        <v>5.7003186316423111</v>
      </c>
      <c r="AC101" s="52">
        <f ca="1">SUM(AC98:AC100)</f>
        <v>9.5129593158211563</v>
      </c>
      <c r="AE101" s="834"/>
    </row>
    <row r="102" spans="1:31" s="60" customFormat="1" x14ac:dyDescent="0.25">
      <c r="D102" s="506"/>
      <c r="E102" s="506"/>
      <c r="F102" s="197"/>
      <c r="G102" s="197"/>
      <c r="H102" s="197"/>
      <c r="I102" s="197"/>
      <c r="J102" s="177"/>
      <c r="K102" s="177"/>
      <c r="L102" s="177"/>
      <c r="M102" s="830" t="s">
        <v>997</v>
      </c>
      <c r="N102" s="737">
        <f ca="1">AVERAGE(M101,O101)</f>
        <v>4.5859683184261746</v>
      </c>
      <c r="O102" s="830"/>
      <c r="P102" s="177"/>
      <c r="Q102" s="617"/>
      <c r="R102" s="629"/>
      <c r="S102" s="197"/>
      <c r="T102" s="197"/>
      <c r="U102" s="197"/>
      <c r="V102" s="197"/>
      <c r="W102" s="197"/>
      <c r="X102" s="197"/>
      <c r="Y102" s="177"/>
      <c r="Z102" s="830" t="s">
        <v>997</v>
      </c>
      <c r="AA102" s="737">
        <f ca="1">AVERAGE(Z101,AB101)</f>
        <v>9.5129593158211563</v>
      </c>
      <c r="AB102" s="830"/>
      <c r="AC102" s="177"/>
      <c r="AE102" s="629"/>
    </row>
    <row r="103" spans="1:31" x14ac:dyDescent="0.25">
      <c r="A103" s="61" t="s">
        <v>515</v>
      </c>
      <c r="F103" s="118"/>
      <c r="G103" s="118"/>
      <c r="H103" s="118"/>
      <c r="I103" s="118"/>
      <c r="J103" s="118"/>
      <c r="K103" s="175"/>
      <c r="L103" s="175"/>
      <c r="M103" s="175"/>
      <c r="N103" s="175"/>
      <c r="O103" s="175"/>
      <c r="P103" s="175"/>
      <c r="R103" s="628"/>
      <c r="S103" s="118"/>
      <c r="T103" s="118"/>
      <c r="U103" s="118"/>
      <c r="V103" s="118"/>
      <c r="W103" s="118"/>
      <c r="X103" s="118"/>
      <c r="Y103" s="175"/>
      <c r="Z103" s="175"/>
      <c r="AA103" s="175"/>
      <c r="AB103" s="175"/>
      <c r="AC103" s="176"/>
      <c r="AE103" s="834"/>
    </row>
    <row r="104" spans="1:31" x14ac:dyDescent="0.25">
      <c r="A104" s="9" t="s">
        <v>25</v>
      </c>
      <c r="B104" s="9" t="s">
        <v>266</v>
      </c>
      <c r="C104" s="9" t="str">
        <f>B104</f>
        <v>Discolour</v>
      </c>
      <c r="D104" s="514" t="s">
        <v>369</v>
      </c>
      <c r="E104" s="431">
        <f ca="1">INDEX(INDIRECT("ExtWTP19_"&amp;$C104&amp;"_UnitValues"),MATCH(A$103, INDIRECT("ExtWTP19_Comps_"&amp;C104),0),MATCH("HH",ExtWTP_Group,0))</f>
        <v>90</v>
      </c>
      <c r="F104" s="828">
        <f t="shared" ref="F104:G108" ca="1" si="94">INDEX(INDIRECT("SSW_WTPCore2_"&amp;$B104&amp;"_Levels"),1,MATCH(F$4,WTPCore2_AttLevels,0))</f>
        <v>6.6666666666666666E-2</v>
      </c>
      <c r="G104" s="828">
        <f t="shared" ca="1" si="94"/>
        <v>0.04</v>
      </c>
      <c r="H104" s="436">
        <f ca="1">INDEX(INDIRECT("SSW_WTPCore2_"&amp;$B104&amp;"_LevelValues"),1,MATCH("S1 MEAN",WTPCore2_LevelValues,0))</f>
        <v>3.3679929677046498</v>
      </c>
      <c r="I104" s="436">
        <f ca="1">INDEX(INDIRECT("SSW_WTPCore2_"&amp;$B104&amp;"_LevelValues"),1,MATCH("S2 MEAN",WTPCore2_LevelValues,0))</f>
        <v>0.60669022375558512</v>
      </c>
      <c r="J104" s="436">
        <f ca="1">SUM(H104:I104)</f>
        <v>3.974683191460235</v>
      </c>
      <c r="K104" s="440">
        <f ca="1">E104*(F104-G104)</f>
        <v>2.4</v>
      </c>
      <c r="L104" s="117">
        <f ca="1">INDEX(INDIRECT("SSW_WTPCore_DCE_"&amp;$B104&amp;"_UnitValues"),MATCH("COMBINED-HH",WTPCore_Group,0),MATCH("MEAN",LMH,0))</f>
        <v>27.809917858229387</v>
      </c>
      <c r="M104" s="117">
        <f ca="1">L104*($F104-$G104)*(AllProps_SSW/HHProps_SSW)</f>
        <v>0.79130635838150276</v>
      </c>
      <c r="N104" s="117">
        <f ca="1">INDEX(INDIRECT("SSW_WTPCore2_"&amp;$B104&amp;"_UnitValues"),1,MATCH("MEAN",LMH,0))</f>
        <v>139.68750774741403</v>
      </c>
      <c r="O104" s="117">
        <f ca="1">N104*($F104-$G104)*(AllProps_SSW/HHProps_SSW)</f>
        <v>3.974683191460235</v>
      </c>
      <c r="P104" s="437">
        <f ca="1">K104*N$110/K$109</f>
        <v>0.77371105962788278</v>
      </c>
      <c r="Q104" s="611" t="s">
        <v>369</v>
      </c>
      <c r="R104" s="627">
        <f ca="1">P104*HHProps_SSW/((F104-G104)*AllProps_SSW)</f>
        <v>27.191543182168378</v>
      </c>
      <c r="S104" s="828">
        <f t="shared" ref="S104:T108" ca="1" si="95">INDEX(INDIRECT("CAM_WTPCore2_"&amp;$B104&amp;"_Levels"),1,MATCH(S$4,WTPCore2_AttLevels,0))</f>
        <v>2.2222222222222223E-2</v>
      </c>
      <c r="T104" s="828">
        <f t="shared" ca="1" si="95"/>
        <v>1.5384615384615385E-2</v>
      </c>
      <c r="U104" s="436">
        <f ca="1">INDEX(INDIRECT("CAM_WTPCore2_"&amp;$B104&amp;"_LevelValues"),1,MATCH("S1 MEAN",WTPCore2_LevelValues,0))</f>
        <v>3.1155463151224057</v>
      </c>
      <c r="V104" s="436">
        <f ca="1">INDEX(INDIRECT("CAM_WTPCore2_"&amp;$B104&amp;"_LevelValues"),1,MATCH("S2 MEAN",WTPCore2_LevelValues,0))</f>
        <v>1.3419840000849801</v>
      </c>
      <c r="W104" s="767">
        <f ca="1">SUM(U104:V104)</f>
        <v>4.4575303152073857</v>
      </c>
      <c r="X104" s="286">
        <f ca="1">E104*(S104-T104)</f>
        <v>0.61538461538461542</v>
      </c>
      <c r="Y104" s="117">
        <f ca="1">INDEX(INDIRECT("CAM_WTPCore_"&amp;$B104&amp;"_UnitValues"),MATCH("COMBINED-HH",WTPCore_Group,0),MATCH("MEAN",LMH,0))</f>
        <v>305.14240121580548</v>
      </c>
      <c r="Z104" s="117">
        <f ca="1">Y104*($S104-T104)*(AllProps_CAM/HHProps_CAM)</f>
        <v>2.2457142857142856</v>
      </c>
      <c r="AA104" s="117">
        <f ca="1">INDEX(INDIRECT("CAM_WTPCore2_"&amp;$B104&amp;"_UnitValues"),1,MATCH("MEAN",LMH,0))</f>
        <v>605.67878671262065</v>
      </c>
      <c r="AB104" s="117">
        <f ca="1">AA104*($S104-$T104)*(AllProps_CAM/HHProps_CAM)</f>
        <v>4.4575303152073857</v>
      </c>
      <c r="AC104" s="767">
        <f ca="1">X104*AA$110/X$109</f>
        <v>0.36430463749705827</v>
      </c>
      <c r="AD104" s="517" t="s">
        <v>369</v>
      </c>
      <c r="AE104" s="627">
        <f ca="1">AC104*HHProps_CAM/((S104-T104)*AllProps_CAM)</f>
        <v>49.500861515225282</v>
      </c>
    </row>
    <row r="105" spans="1:31" x14ac:dyDescent="0.25">
      <c r="A105" s="9" t="s">
        <v>117</v>
      </c>
      <c r="B105" s="9" t="s">
        <v>265</v>
      </c>
      <c r="C105" s="9" t="str">
        <f>B105</f>
        <v>TasteSmell</v>
      </c>
      <c r="D105" s="514" t="s">
        <v>369</v>
      </c>
      <c r="E105" s="431">
        <f ca="1">INDEX(INDIRECT("ExtWTP19_"&amp;$C105&amp;"_UnitValues"),MATCH(A$103, INDIRECT("ExtWTP19_Comps_"&amp;C105),0),MATCH("HH",ExtWTP_Group,0))</f>
        <v>2132</v>
      </c>
      <c r="F105" s="828">
        <f t="shared" ca="1" si="94"/>
        <v>1.6666666666666666E-2</v>
      </c>
      <c r="G105" s="828">
        <f t="shared" ca="1" si="94"/>
        <v>1.1111111111111112E-2</v>
      </c>
      <c r="H105" s="436">
        <f ca="1">INDEX(INDIRECT("SSW_WTPCore2_"&amp;$B105&amp;"_LevelValues"),1,MATCH("S1 MEAN",WTPCore2_LevelValues,0))</f>
        <v>0.30818609087835352</v>
      </c>
      <c r="I105" s="436">
        <f ca="1">INDEX(INDIRECT("SSW_WTPCore2_"&amp;$B105&amp;"_LevelValues"),1,MATCH("S2 MEAN",WTPCore2_LevelValues,0))</f>
        <v>0.18578205633963885</v>
      </c>
      <c r="J105" s="436">
        <f ca="1">SUM(H105:I105)</f>
        <v>0.49396814721799237</v>
      </c>
      <c r="K105" s="440">
        <f ca="1">E105*(F105-G105)</f>
        <v>11.844444444444443</v>
      </c>
      <c r="L105" s="117">
        <f ca="1">INDEX(INDIRECT("SSW_WTPCore_DCE_"&amp;$B105&amp;"_UnitValues"),MATCH("COMBINED-HH",WTPCore_Group,0),MATCH("MEAN",LMH,0))</f>
        <v>171.97536823750744</v>
      </c>
      <c r="M105" s="117">
        <f ca="1">L105*($F105-$G105)*(AllProps_SSW/HHProps_SSW)</f>
        <v>1.0194594594594593</v>
      </c>
      <c r="N105" s="117">
        <f ca="1">INDEX(INDIRECT("SSW_WTPCore2_"&amp;$B105&amp;"_UnitValues"),1,MATCH("MEAN",LMH,0))</f>
        <v>83.328820216603944</v>
      </c>
      <c r="O105" s="117">
        <f ca="1">N105*($F105-$G105)*(AllProps_SSW/HHProps_SSW)</f>
        <v>0.49396814721799231</v>
      </c>
      <c r="P105" s="437">
        <f t="shared" ref="P105:P108" ca="1" si="96">K105*N$110/K$109</f>
        <v>3.8184073590894578</v>
      </c>
      <c r="Q105" s="611" t="s">
        <v>369</v>
      </c>
      <c r="R105" s="627">
        <f ca="1">P105*HHProps_SSW/((F105-G105)*AllProps_SSW)</f>
        <v>644.1374451598108</v>
      </c>
      <c r="S105" s="828">
        <f t="shared" ca="1" si="95"/>
        <v>1.4285714285714285E-2</v>
      </c>
      <c r="T105" s="828">
        <f t="shared" ca="1" si="95"/>
        <v>0.01</v>
      </c>
      <c r="U105" s="436">
        <f ca="1">INDEX(INDIRECT("CAM_WTPCore2_"&amp;$B105&amp;"_LevelValues"),1,MATCH("S1 MEAN",WTPCore2_LevelValues,0))</f>
        <v>4.7204807663126298E-2</v>
      </c>
      <c r="V105" s="436">
        <f ca="1">INDEX(INDIRECT("CAM_WTPCore2_"&amp;$B105&amp;"_LevelValues"),1,MATCH("S2 MEAN",WTPCore2_LevelValues,0))</f>
        <v>0.1217094578997745</v>
      </c>
      <c r="W105" s="767">
        <f ca="1">SUM(U105:V105)</f>
        <v>0.16891426556290079</v>
      </c>
      <c r="X105" s="286">
        <f ca="1">E105*(S105-T105)</f>
        <v>9.1371428571428552</v>
      </c>
      <c r="Y105" s="117">
        <f ca="1">INDEX(INDIRECT("CAM_WTPCore_"&amp;$B105&amp;"_UnitValues"),MATCH("COMBINED-HH",WTPCore_Group,0),MATCH("MEAN",LMH,0))</f>
        <v>205.16697061803447</v>
      </c>
      <c r="Z105" s="117">
        <f ca="1">Y105*($S106-$T106)*(AllProps_CAM/HHProps_CAM)</f>
        <v>1.8402380952380957</v>
      </c>
      <c r="AA105" s="117">
        <f ca="1">INDEX(INDIRECT("CAM_WTPCore2_"&amp;$B105&amp;"_UnitValues"),1,MATCH("MEAN",LMH,0))</f>
        <v>36.618057097205678</v>
      </c>
      <c r="AB105" s="117">
        <f ca="1">AA105*($S105-$T105)*(AllProps_CAM/HHProps_CAM)</f>
        <v>0.16891426556290076</v>
      </c>
      <c r="AC105" s="767">
        <f t="shared" ref="AC105:AC108" ca="1" si="97">X105*AA$110/X$109</f>
        <v>5.4091432140366775</v>
      </c>
      <c r="AD105" s="517" t="s">
        <v>369</v>
      </c>
      <c r="AE105" s="627">
        <f ca="1">AC105*HHProps_CAM/((S105-T105)*AllProps_CAM)</f>
        <v>1172.6204083384478</v>
      </c>
    </row>
    <row r="106" spans="1:31" x14ac:dyDescent="0.25">
      <c r="A106" s="9" t="s">
        <v>180</v>
      </c>
      <c r="B106" s="9" t="s">
        <v>269</v>
      </c>
      <c r="C106" s="9" t="s">
        <v>331</v>
      </c>
      <c r="D106" s="514" t="s">
        <v>369</v>
      </c>
      <c r="E106" s="431">
        <f ca="1">INDEX(INDIRECT("ExtWTP19_"&amp;$C106&amp;"_UnitValues"),MATCH(A$103, INDIRECT("ExtWTP19_Comps_"&amp;C106),0),MATCH("HH",ExtWTP_Group,0))</f>
        <v>632</v>
      </c>
      <c r="F106" s="828">
        <f t="shared" ca="1" si="94"/>
        <v>1.4285714285714285E-2</v>
      </c>
      <c r="G106" s="828">
        <f t="shared" ca="1" si="94"/>
        <v>9.5238095238095247E-3</v>
      </c>
      <c r="H106" s="436">
        <f ca="1">INDEX(INDIRECT("SSW_WTPCore2_"&amp;$B106&amp;"_LevelValues"),1,MATCH("S1 MEAN",WTPCore2_LevelValues,0))</f>
        <v>0.39718669024665654</v>
      </c>
      <c r="I106" s="436">
        <f ca="1">INDEX(INDIRECT("SSW_WTPCore2_"&amp;$B106&amp;"_LevelValues"),1,MATCH("S2 MEAN",WTPCore2_LevelValues,0))</f>
        <v>0.53859352958370721</v>
      </c>
      <c r="J106" s="436">
        <f ca="1">SUM(H106:I106)</f>
        <v>0.93578021983036375</v>
      </c>
      <c r="K106" s="440">
        <f ca="1">E106*(F106-G106)</f>
        <v>3.0095238095238086</v>
      </c>
      <c r="L106" s="117">
        <f ca="1">INDEX(INDIRECT("SSW_WTPCore_DCE_"&amp;$B106&amp;"_UnitValues"),MATCH("COMBINED-HH",WTPCore_Group,0),MATCH("MEAN",LMH,0))</f>
        <v>160.37052631578945</v>
      </c>
      <c r="M106" s="117">
        <f ca="1">L106*($F106-$G106)*(AllProps_SSW/HHProps_SSW)</f>
        <v>0.8148571428571425</v>
      </c>
      <c r="N106" s="117">
        <f ca="1">INDEX(INDIRECT("SSW_WTPCore2_"&amp;$B106&amp;"_UnitValues"),1,MATCH("MEAN",LMH,0))</f>
        <v>184.16917331534088</v>
      </c>
      <c r="O106" s="117">
        <f ca="1">N106*($F106-$G106)*(AllProps_SSW/HHProps_SSW)</f>
        <v>0.93578021983036364</v>
      </c>
      <c r="P106" s="437">
        <f t="shared" ca="1" si="96"/>
        <v>0.97020910651750347</v>
      </c>
      <c r="Q106" s="611" t="s">
        <v>369</v>
      </c>
      <c r="R106" s="627">
        <f ca="1">P106*HHProps_SSW/((F106-G106)*AllProps_SSW)</f>
        <v>190.94505879033792</v>
      </c>
      <c r="S106" s="828">
        <f t="shared" ca="1" si="95"/>
        <v>2.5000000000000001E-2</v>
      </c>
      <c r="T106" s="828">
        <f t="shared" ca="1" si="95"/>
        <v>1.6666666666666666E-2</v>
      </c>
      <c r="U106" s="436">
        <f ca="1">INDEX(INDIRECT("CAM_WTPCore2_"&amp;$B106&amp;"_LevelValues"),1,MATCH("S1 MEAN",WTPCore2_LevelValues,0))</f>
        <v>5.3490671066612649E-2</v>
      </c>
      <c r="V106" s="436">
        <f ca="1">INDEX(INDIRECT("CAM_WTPCore2_"&amp;$B106&amp;"_LevelValues"),1,MATCH("S2 MEAN",WTPCore2_LevelValues,0))</f>
        <v>0.33457681646237136</v>
      </c>
      <c r="W106" s="767">
        <f ca="1">SUM(U106:V106)</f>
        <v>0.38806748752898401</v>
      </c>
      <c r="X106" s="286">
        <f ca="1">E106*(S106-T106)</f>
        <v>5.2666666666666675</v>
      </c>
      <c r="Y106" s="117">
        <f ca="1">INDEX(INDIRECT("CAM_WTPCore_"&amp;$B106&amp;"_UnitValues"),MATCH("COMBINED-HH",WTPCore_Group,0),MATCH("MEAN",LMH,0))</f>
        <v>27.921526908635794</v>
      </c>
      <c r="Z106" s="117">
        <f ca="1">Y106*($S107-$T107)*(AllProps_CAM/HHProps_CAM)</f>
        <v>0.50088235294117645</v>
      </c>
      <c r="AA106" s="117">
        <f ca="1">INDEX(INDIRECT("CAM_WTPCore2_"&amp;$B106&amp;"_UnitValues"),1,MATCH("MEAN",LMH,0))</f>
        <v>43.265396481954809</v>
      </c>
      <c r="AB106" s="117">
        <f ca="1">AA106*($S106-$T106)*(AllProps_CAM/HHProps_CAM)</f>
        <v>0.38806748752898401</v>
      </c>
      <c r="AC106" s="767">
        <f t="shared" ca="1" si="97"/>
        <v>3.1178405225789905</v>
      </c>
      <c r="AD106" s="517" t="s">
        <v>369</v>
      </c>
      <c r="AE106" s="627">
        <f ca="1">AC106*HHProps_CAM/((S106-T106)*AllProps_CAM)</f>
        <v>347.60604975135971</v>
      </c>
    </row>
    <row r="107" spans="1:31" x14ac:dyDescent="0.25">
      <c r="A107" s="9" t="s">
        <v>330</v>
      </c>
      <c r="B107" s="9" t="s">
        <v>319</v>
      </c>
      <c r="C107" s="9" t="str">
        <f>B107</f>
        <v>TempBan</v>
      </c>
      <c r="D107" s="514" t="s">
        <v>369</v>
      </c>
      <c r="E107" s="431">
        <f ca="1">INDEX(INDIRECT("ExtWTP19_"&amp;$C107&amp;"_UnitValues"),MATCH(A$103, INDIRECT("ExtWTP19_Comps_"&amp;C107),0),MATCH("HH",ExtWTP_Group,0))</f>
        <v>54</v>
      </c>
      <c r="F107" s="828">
        <f t="shared" ca="1" si="94"/>
        <v>2.5000000000000001E-2</v>
      </c>
      <c r="G107" s="828">
        <f t="shared" ca="1" si="94"/>
        <v>1.5384615384615385E-2</v>
      </c>
      <c r="H107" s="436">
        <f ca="1">INDEX(INDIRECT("SSW_WTPCore2_"&amp;$B107&amp;"_LevelValues"),1,MATCH("S1 MEAN",WTPCore2_LevelValues,0))</f>
        <v>0.4084226191643695</v>
      </c>
      <c r="I107" s="436">
        <f ca="1">INDEX(INDIRECT("SSW_WTPCore2_"&amp;$B107&amp;"_LevelValues"),1,MATCH("S2 MEAN",WTPCore2_LevelValues,0))</f>
        <v>0.28250000903457151</v>
      </c>
      <c r="J107" s="436">
        <f ca="1">SUM(H107:I107)</f>
        <v>0.69092262819894101</v>
      </c>
      <c r="K107" s="440">
        <f ca="1">E107*(F107-G107)</f>
        <v>0.51923076923076927</v>
      </c>
      <c r="L107" s="117">
        <f ca="1">INDEX(INDIRECT("SSW_WTPCore_DCE_"&amp;$B107&amp;"_UnitValues"),MATCH("COMBINED-HH",WTPCore_Group,0),MATCH("MEAN",LMH,0))</f>
        <v>251711.99999999994</v>
      </c>
      <c r="M107" s="117">
        <f ca="1">L107*(F107-G107)/HHProps_SSW</f>
        <v>4.3846153846153835E-3</v>
      </c>
      <c r="N107" s="117">
        <f ca="1">INDEX(INDIRECT("SSW_WTPCore2_"&amp;$B107&amp;"_UnitValues"),1,MATCH("MEAN",LMH,0))</f>
        <v>396644.86239644804</v>
      </c>
      <c r="O107" s="117">
        <f ca="1">N107*(F107-G107)/HHProps_SSW*100</f>
        <v>0.69092262819894101</v>
      </c>
      <c r="P107" s="437">
        <f t="shared" ca="1" si="96"/>
        <v>0.16738941193872467</v>
      </c>
      <c r="Q107" s="615" t="s">
        <v>422</v>
      </c>
      <c r="R107" s="627">
        <f ca="1">P107*HHProps_SSW/((F107-G107)*100)</f>
        <v>96094.913605783062</v>
      </c>
      <c r="S107" s="828">
        <f t="shared" ca="1" si="95"/>
        <v>0.05</v>
      </c>
      <c r="T107" s="828">
        <f t="shared" ca="1" si="95"/>
        <v>3.3333333333333333E-2</v>
      </c>
      <c r="U107" s="436">
        <f ca="1">INDEX(INDIRECT("CAM_WTPCore2_"&amp;$B107&amp;"_LevelValues"),1,MATCH("S1 MEAN",WTPCore2_LevelValues,0))</f>
        <v>0.15591350717379643</v>
      </c>
      <c r="V107" s="436">
        <f ca="1">INDEX(INDIRECT("CAM_WTPCore2_"&amp;$B107&amp;"_LevelValues"),1,MATCH("S2 MEAN",WTPCore2_LevelValues,0))</f>
        <v>5.0130987785217407E-2</v>
      </c>
      <c r="W107" s="767">
        <f ca="1">SUM(U107:V107)</f>
        <v>0.20604449495901384</v>
      </c>
      <c r="X107" s="286">
        <f ca="1">E107*(S107-T107)</f>
        <v>0.90000000000000013</v>
      </c>
      <c r="Y107" s="117">
        <f ca="1">INDEX(INDIRECT("CAM_WTPCore_"&amp;$B107&amp;"_UnitValues"),MATCH("COMBINED-HH",WTPCore_Group,0),MATCH("MEAN",LMH,0))</f>
        <v>452735.99999999994</v>
      </c>
      <c r="Z107" s="117">
        <f ca="1">Y107*(S107-T107)/HHProps_CAM</f>
        <v>5.7600000000000005E-2</v>
      </c>
      <c r="AA107" s="117">
        <f ca="1">INDEX(INDIRECT("CAM_WTPCore2_"&amp;$B107&amp;"_UnitValues"),1,MATCH("MEAN",LMH,0))</f>
        <v>16195.097303778484</v>
      </c>
      <c r="AB107" s="117">
        <f ca="1">AA107*(S107-T107)/HHProps_CAM*100</f>
        <v>0.20604449495901386</v>
      </c>
      <c r="AC107" s="767">
        <f t="shared" ca="1" si="97"/>
        <v>0.53279553233944776</v>
      </c>
      <c r="AD107" s="911" t="s">
        <v>422</v>
      </c>
      <c r="AE107" s="627">
        <f ca="1">AC107*HHProps_CAM/((S107-T107)*100)</f>
        <v>41877.728841880591</v>
      </c>
    </row>
    <row r="108" spans="1:31" x14ac:dyDescent="0.25">
      <c r="A108" s="9" t="s">
        <v>3</v>
      </c>
      <c r="B108" s="9" t="s">
        <v>3</v>
      </c>
      <c r="C108" s="9" t="str">
        <f>B108</f>
        <v>Leakage</v>
      </c>
      <c r="D108" s="514" t="s">
        <v>666</v>
      </c>
      <c r="E108" s="431">
        <f ca="1">INDEX(INDIRECT("ExtWTP19_"&amp;$C108&amp;"_UnitValues"),MATCH(A$103, INDIRECT("ExtWTP19_Comps_"&amp;C108),0),MATCH("HH",ExtWTP_Group,0))</f>
        <v>24293</v>
      </c>
      <c r="F108" s="438">
        <f t="shared" ca="1" si="94"/>
        <v>70.5</v>
      </c>
      <c r="G108" s="438">
        <f t="shared" ca="1" si="94"/>
        <v>35.25</v>
      </c>
      <c r="H108" s="436">
        <f ca="1">INDEX(INDIRECT("SSW_WTPCore2_"&amp;$B108&amp;"_LevelValues"),1,MATCH("S1 MEAN",WTPCore2_LevelValues,0))</f>
        <v>1.2301339708448666</v>
      </c>
      <c r="I108" s="436">
        <f ca="1">INDEX(INDIRECT("SSW_WTPCore2_"&amp;$B108&amp;"_LevelValues"),1,MATCH("S2 MEAN",WTPCore2_LevelValues,0))</f>
        <v>0.44133293088857806</v>
      </c>
      <c r="J108" s="436">
        <f ca="1">SUM(H108:I108)</f>
        <v>1.6714669017334447</v>
      </c>
      <c r="K108" s="440">
        <f ca="1">E108*(F108-G108)/AllProps_SSW</f>
        <v>1.4538679966044143</v>
      </c>
      <c r="L108" s="117">
        <f ca="1">INDEX(INDIRECT("SSW_WTPCore_DCE_"&amp;$B108&amp;"_UnitValues"),MATCH("COMBINED-HH",WTPCore_Group,0),MATCH("MEAN",LMH,0))</f>
        <v>31319.148936170212</v>
      </c>
      <c r="M108" s="117">
        <f ca="1">L108*(F108-G108)/HHProps_SSW</f>
        <v>2</v>
      </c>
      <c r="N108" s="117">
        <f ca="1">INDEX(INDIRECT("SSW_WTPCore2_"&amp;$B108&amp;"_UnitValues"),1,MATCH("MEAN",LMH,0))</f>
        <v>26174.460418634368</v>
      </c>
      <c r="O108" s="117">
        <f ca="1">N108*(F108-G108)/HHProps_SSW</f>
        <v>1.6714669017334447</v>
      </c>
      <c r="P108" s="437">
        <f t="shared" ca="1" si="96"/>
        <v>0.46869739508827857</v>
      </c>
      <c r="Q108" s="611" t="s">
        <v>666</v>
      </c>
      <c r="R108" s="631">
        <f ca="1">P108*HHProps_SSW/((F108-G108))</f>
        <v>7339.6017613824051</v>
      </c>
      <c r="S108" s="438">
        <f t="shared" ca="1" si="95"/>
        <v>13.5</v>
      </c>
      <c r="T108" s="438">
        <f t="shared" ca="1" si="95"/>
        <v>6.75</v>
      </c>
      <c r="U108" s="436">
        <f ca="1">INDEX(INDIRECT("CAM_WTPCore2_"&amp;$B108&amp;"_LevelValues"),1,MATCH("S1 MEAN",WTPCore2_LevelValues,0))</f>
        <v>3.1349723048319831</v>
      </c>
      <c r="V108" s="436">
        <f ca="1">INDEX(INDIRECT("CAM_WTPCore2_"&amp;$B108&amp;"_LevelValues"),1,MATCH("S2 MEAN",WTPCore2_LevelValues,0))</f>
        <v>5.1405797633106154E-3</v>
      </c>
      <c r="W108" s="767">
        <f ca="1">SUM(U108:V108)</f>
        <v>3.1401128845952937</v>
      </c>
      <c r="X108" s="286">
        <f ca="1">E108*(S108-T108)/AllProps_CAM</f>
        <v>1.1629627659574469</v>
      </c>
      <c r="Y108" s="117">
        <f ca="1">INDEX(INDIRECT("CAM_WTPCore_"&amp;$B108&amp;"_UnitValues"),MATCH("COMBINED-HH",WTPCore_Group,0),MATCH("MEAN",LMH,0))</f>
        <v>140121.48148148149</v>
      </c>
      <c r="Z108" s="117">
        <f ca="1">Y108*(S108-T108)/HHProps_CAM</f>
        <v>7.22</v>
      </c>
      <c r="AA108" s="117">
        <f ca="1">INDEX(INDIRECT("CAM_WTPCore2_"&amp;$B108&amp;"_UnitValues"),1,MATCH("MEAN",LMH,0))</f>
        <v>60941.450056590147</v>
      </c>
      <c r="AB108" s="117">
        <f ca="1">AA108*(S108-T108)/HHProps_CAM</f>
        <v>3.1401128845952937</v>
      </c>
      <c r="AC108" s="767">
        <f t="shared" ca="1" si="97"/>
        <v>0.68846818442139379</v>
      </c>
      <c r="AD108" s="517" t="s">
        <v>666</v>
      </c>
      <c r="AE108" s="627">
        <f ca="1">AC108*HHProps_CAM/((S108-T108))</f>
        <v>13361.382542104087</v>
      </c>
    </row>
    <row r="109" spans="1:31" x14ac:dyDescent="0.25">
      <c r="D109" s="514"/>
      <c r="E109" s="431"/>
      <c r="F109" s="438"/>
      <c r="G109" s="438"/>
      <c r="H109" s="436"/>
      <c r="I109" s="436"/>
      <c r="J109" s="445">
        <f ca="1">SUM(J104:J108)</f>
        <v>7.7668210884409774</v>
      </c>
      <c r="K109" s="603">
        <f ca="1">SUM(K104:K108)</f>
        <v>19.227067019803439</v>
      </c>
      <c r="L109" s="603"/>
      <c r="M109" s="446">
        <f ca="1">SUM(M104:M108)</f>
        <v>4.6300075760827202</v>
      </c>
      <c r="N109" s="446"/>
      <c r="O109" s="289">
        <f ca="1">SUM(O104:O108)</f>
        <v>7.7668210884409774</v>
      </c>
      <c r="P109" s="297">
        <f ca="1">SUM(P104:P108)</f>
        <v>6.1984143322618479</v>
      </c>
      <c r="R109" s="628"/>
      <c r="S109" s="118"/>
      <c r="T109" s="118"/>
      <c r="U109" s="118"/>
      <c r="V109" s="118"/>
      <c r="W109" s="52">
        <f ca="1">SUM(W104:W108)</f>
        <v>8.3606694478535779</v>
      </c>
      <c r="X109" s="287">
        <f ca="1">SUM(X104:X108)</f>
        <v>17.082156905151585</v>
      </c>
      <c r="Y109" s="603"/>
      <c r="Z109" s="446">
        <f ca="1">SUM(Z104:Z108)</f>
        <v>11.864434733893557</v>
      </c>
      <c r="AA109" s="446"/>
      <c r="AB109" s="289">
        <f ca="1">SUM(AB104:AB108)</f>
        <v>8.3606694478535779</v>
      </c>
      <c r="AC109" s="52">
        <f ca="1">SUM(AC104:AC108)</f>
        <v>10.112552090873567</v>
      </c>
      <c r="AE109" s="834"/>
    </row>
    <row r="110" spans="1:31" s="60" customFormat="1" x14ac:dyDescent="0.25">
      <c r="D110" s="506"/>
      <c r="E110" s="506"/>
      <c r="F110" s="197"/>
      <c r="G110" s="197"/>
      <c r="H110" s="197"/>
      <c r="I110" s="197"/>
      <c r="J110" s="197"/>
      <c r="K110" s="177"/>
      <c r="L110" s="177"/>
      <c r="M110" s="830" t="s">
        <v>997</v>
      </c>
      <c r="N110" s="737">
        <f ca="1">AVERAGE(M109,O109)</f>
        <v>6.1984143322618488</v>
      </c>
      <c r="O110" s="830"/>
      <c r="P110" s="177"/>
      <c r="Q110" s="617"/>
      <c r="R110" s="629"/>
      <c r="S110" s="197"/>
      <c r="T110" s="197"/>
      <c r="U110" s="197"/>
      <c r="V110" s="197"/>
      <c r="W110" s="197"/>
      <c r="X110" s="197"/>
      <c r="Y110" s="177"/>
      <c r="Z110" s="830" t="s">
        <v>997</v>
      </c>
      <c r="AA110" s="737">
        <f ca="1">AVERAGE(Z109,AB109)</f>
        <v>10.112552090873567</v>
      </c>
      <c r="AB110" s="830"/>
      <c r="AC110" s="177"/>
      <c r="AE110" s="629"/>
    </row>
    <row r="111" spans="1:31" x14ac:dyDescent="0.25">
      <c r="A111" s="61" t="s">
        <v>556</v>
      </c>
      <c r="F111" s="118"/>
      <c r="G111" s="118"/>
      <c r="H111" s="118"/>
      <c r="I111" s="118"/>
      <c r="J111" s="118"/>
      <c r="K111" s="175"/>
      <c r="L111" s="175"/>
      <c r="M111" s="175"/>
      <c r="N111" s="175"/>
      <c r="O111" s="175"/>
      <c r="P111" s="175"/>
      <c r="R111" s="628"/>
      <c r="S111" s="118"/>
      <c r="T111" s="118"/>
      <c r="U111" s="118"/>
      <c r="V111" s="118"/>
      <c r="W111" s="118"/>
      <c r="X111" s="118"/>
      <c r="Y111" s="175"/>
      <c r="Z111" s="175"/>
      <c r="AA111" s="175"/>
      <c r="AB111" s="175"/>
      <c r="AC111" s="176"/>
      <c r="AE111" s="834"/>
    </row>
    <row r="112" spans="1:31" x14ac:dyDescent="0.25">
      <c r="A112" s="9" t="s">
        <v>181</v>
      </c>
      <c r="B112" s="9" t="s">
        <v>269</v>
      </c>
      <c r="C112" s="9" t="s">
        <v>328</v>
      </c>
      <c r="D112" s="514" t="s">
        <v>369</v>
      </c>
      <c r="E112" s="431">
        <f ca="1">INDEX(INDIRECT("ExtWTP19_"&amp;$C112&amp;"_UnitValues"),MATCH(A$111, INDIRECT("ExtWTP19_Comps_"&amp;C112),0),MATCH("HH",ExtWTP_Group,0))</f>
        <v>319</v>
      </c>
      <c r="F112" s="828">
        <f ca="1">INDEX(INDIRECT("SSW_WTPCore2_"&amp;$B112&amp;"_Levels"),1,MATCH(F$4,WTPCore2_AttLevels,0))</f>
        <v>1.4285714285714285E-2</v>
      </c>
      <c r="G112" s="828">
        <f ca="1">INDEX(INDIRECT("SSW_WTPCore2_"&amp;$B112&amp;"_Levels"),1,MATCH(G$4,WTPCore2_AttLevels,0))</f>
        <v>9.5238095238095247E-3</v>
      </c>
      <c r="H112" s="436">
        <f ca="1">INDEX(INDIRECT("SSW_WTPCore2_"&amp;$B112&amp;"_LevelValues"),1,MATCH("S1 MEAN",WTPCore2_LevelValues,0))</f>
        <v>0.39718669024665654</v>
      </c>
      <c r="I112" s="436">
        <f ca="1">INDEX(INDIRECT("SSW_WTPCore2_"&amp;$B112&amp;"_LevelValues"),1,MATCH("S2 MEAN",WTPCore2_LevelValues,0))</f>
        <v>0.53859352958370721</v>
      </c>
      <c r="J112" s="436">
        <f ca="1">SUM(H112:I112)</f>
        <v>0.93578021983036375</v>
      </c>
      <c r="K112" s="440">
        <f ca="1">E112*(F112-G112)</f>
        <v>1.5190476190476185</v>
      </c>
      <c r="L112" s="117">
        <f ca="1">INDEX(INDIRECT("SSW_WTPCore_DCE_"&amp;$B112&amp;"_UnitValues"),MATCH("COMBINED-HH",WTPCore_Group,0),MATCH("MEAN",LMH,0))</f>
        <v>160.37052631578945</v>
      </c>
      <c r="M112" s="117">
        <f ca="1">L112*($F112-$G112)*(AllProps_SSW/HHProps_SSW)</f>
        <v>0.8148571428571425</v>
      </c>
      <c r="N112" s="117">
        <f ca="1">INDEX(INDIRECT("SSW_WTPCore2_"&amp;$B112&amp;"_UnitValues"),1,MATCH("MEAN",LMH,0))</f>
        <v>184.16917331534088</v>
      </c>
      <c r="O112" s="117">
        <f ca="1">N112*($F112-$G112)*(AllProps_SSW/HHProps_SSW)</f>
        <v>0.93578021983036364</v>
      </c>
      <c r="P112" s="437">
        <f ca="1">K112*N$115/K$114</f>
        <v>1.7580956263492074E-2</v>
      </c>
      <c r="Q112" s="611" t="s">
        <v>369</v>
      </c>
      <c r="R112" s="633">
        <f ca="1">P112*HHProps_SSW/((F112-G112)*AllProps_SSW)</f>
        <v>3.4600754670017007</v>
      </c>
      <c r="S112" s="828">
        <f ca="1">INDEX(INDIRECT("CAM_WTPCore2_"&amp;$B112&amp;"_Levels"),1,MATCH(S$4,WTPCore2_AttLevels,0))</f>
        <v>2.5000000000000001E-2</v>
      </c>
      <c r="T112" s="828">
        <f ca="1">INDEX(INDIRECT("CAM_WTPCore2_"&amp;$B112&amp;"_Levels"),1,MATCH(T$4,WTPCore2_AttLevels,0))</f>
        <v>1.6666666666666666E-2</v>
      </c>
      <c r="U112" s="436">
        <f ca="1">INDEX(INDIRECT("CAM_WTPCore2_"&amp;$B112&amp;"_LevelValues"),1,MATCH("S1 MEAN",WTPCore2_LevelValues,0))</f>
        <v>5.3490671066612649E-2</v>
      </c>
      <c r="V112" s="436">
        <f ca="1">INDEX(INDIRECT("CAM_WTPCore2_"&amp;$B112&amp;"_LevelValues"),1,MATCH("S2 MEAN",WTPCore2_LevelValues,0))</f>
        <v>0.33457681646237136</v>
      </c>
      <c r="W112" s="767">
        <f ca="1">SUM(U112:V112)</f>
        <v>0.38806748752898401</v>
      </c>
      <c r="X112" s="286">
        <f ca="1">E112*(S112-T112)</f>
        <v>2.6583333333333337</v>
      </c>
      <c r="Y112" s="117">
        <f ca="1">INDEX(INDIRECT("CAM_WTPCore_"&amp;$B112&amp;"_UnitValues"),MATCH("COMBINED-HH",WTPCore_Group,0),MATCH("MEAN",LMH,0))</f>
        <v>27.921526908635794</v>
      </c>
      <c r="Z112" s="117">
        <f ca="1">Y112*($S112-$T112)*(AllProps_CAM/HHProps_CAM)</f>
        <v>0.25044117647058822</v>
      </c>
      <c r="AA112" s="117">
        <f ca="1">INDEX(INDIRECT("CAM_WTPCore2_"&amp;$B112&amp;"_UnitValues"),1,MATCH("MEAN",LMH,0))</f>
        <v>43.265396481954809</v>
      </c>
      <c r="AB112" s="117">
        <f ca="1">AA112*($S112-T112)*(AllProps_CAM/HHProps_CAM)</f>
        <v>0.38806748752898401</v>
      </c>
      <c r="AC112" s="767">
        <f ca="1">X112*AA$115/X$114</f>
        <v>2.6257397555984545E-2</v>
      </c>
      <c r="AD112" s="517" t="s">
        <v>369</v>
      </c>
      <c r="AE112" s="633">
        <f ca="1">AC112*HHProps_CAM/((S112-T112)*AllProps_CAM)</f>
        <v>2.9274204934757231</v>
      </c>
    </row>
    <row r="113" spans="1:31" x14ac:dyDescent="0.25">
      <c r="A113" s="9" t="s">
        <v>370</v>
      </c>
      <c r="B113" s="9" t="s">
        <v>399</v>
      </c>
      <c r="C113" s="9" t="str">
        <f>B113</f>
        <v>NotSafe</v>
      </c>
      <c r="D113" s="514" t="s">
        <v>369</v>
      </c>
      <c r="E113" s="431">
        <f ca="1">INDEX(INDIRECT("ExtWTP19_"&amp;$C113&amp;"_UnitValues"),MATCH(A$111, INDIRECT("ExtWTP19_Comps_"&amp;C113),0),MATCH("HH",ExtWTP_Group,0))</f>
        <v>63964</v>
      </c>
      <c r="F113" s="828">
        <f ca="1">INDEX(INDIRECT("SSW_WTPCore2_"&amp;$B113&amp;"_Levels"),1,MATCH(F$4,WTPCore2_AttLevels,0))</f>
        <v>1.2500000000000001E-2</v>
      </c>
      <c r="G113" s="828">
        <f ca="1">INDEX(INDIRECT("SSW_WTPCore2_"&amp;$B113&amp;"_Levels"),1,MATCH(G$4,WTPCore2_AttLevels,0))</f>
        <v>8.3333333333333332E-3</v>
      </c>
      <c r="H113" s="436">
        <f ca="1">INDEX(INDIRECT("SSW_WTPCore2_"&amp;$B113&amp;"_LevelValues"),1,MATCH("S1 MEAN",WTPCore2_LevelValues,0))</f>
        <v>0.88929876177631462</v>
      </c>
      <c r="I113" s="436">
        <f ca="1">INDEX(INDIRECT("SSW_WTPCore2_"&amp;$B113&amp;"_LevelValues"),1,MATCH("S2 MEAN",WTPCore2_LevelValues,0))</f>
        <v>0.22437782965097952</v>
      </c>
      <c r="J113" s="436">
        <f ca="1">SUM(H113:I113)</f>
        <v>1.1136765914272941</v>
      </c>
      <c r="K113" s="440">
        <f ca="1">E113*(F113-G113)</f>
        <v>266.51666666666671</v>
      </c>
      <c r="L113" s="117">
        <f ca="1">INDEX(INDIRECT("SSW_WTPCore_DCE_"&amp;$B113&amp;"_UnitValues"),MATCH("COMBINED-HH",WTPCore_Group,0),MATCH("MEAN",LMH,0))</f>
        <v>751.24482173174863</v>
      </c>
      <c r="M113" s="117">
        <f ca="1">L113*($F113-$G113)*(AllProps_SSW/HHProps_SSW)</f>
        <v>3.3400000000000003</v>
      </c>
      <c r="N113" s="117">
        <f ca="1">INDEX(INDIRECT("SSW_WTPCore2_"&amp;$B113&amp;"_UnitValues"),1,MATCH("MEAN",LMH,0))</f>
        <v>250.4921474232392</v>
      </c>
      <c r="O113" s="117">
        <f ca="1">N113*($F113-$G113)*(AllProps_SSW/HHProps_SSW)</f>
        <v>1.1136765914272941</v>
      </c>
      <c r="P113" s="437">
        <f ca="1">K113*N$115/K$114</f>
        <v>3.0845760207939081</v>
      </c>
      <c r="Q113" s="611" t="s">
        <v>369</v>
      </c>
      <c r="R113" s="627">
        <f ca="1">P113*HHProps_SSW/((F113-G113)*AllProps_SSW)</f>
        <v>693.79394097585214</v>
      </c>
      <c r="S113" s="828">
        <f ca="1">INDEX(INDIRECT("CAM_WTPCore2_"&amp;$B113&amp;"_Levels"),1,MATCH(S$4,WTPCore2_AttLevels,0))</f>
        <v>1.2500000000000001E-2</v>
      </c>
      <c r="T113" s="828">
        <f ca="1">INDEX(INDIRECT("CAM_WTPCore2_"&amp;$B113&amp;"_Levels"),1,MATCH(T$4,WTPCore2_AttLevels,0))</f>
        <v>8.3333333333333332E-3</v>
      </c>
      <c r="U113" s="436">
        <f ca="1">INDEX(INDIRECT("CAM_WTPCore2_"&amp;$B113&amp;"_LevelValues"),1,MATCH("S1 MEAN",WTPCore2_LevelValues,0))</f>
        <v>1.0483009561625427</v>
      </c>
      <c r="V113" s="436">
        <f ca="1">INDEX(INDIRECT("CAM_WTPCore2_"&amp;$B113&amp;"_LevelValues"),1,MATCH("S2 MEAN",WTPCore2_LevelValues,0))</f>
        <v>1.4106837870846367</v>
      </c>
      <c r="W113" s="767">
        <f ca="1">SUM(U113:V113)</f>
        <v>2.4589847432471794</v>
      </c>
      <c r="X113" s="286">
        <f ca="1">E113*(S113-T113)</f>
        <v>266.51666666666671</v>
      </c>
      <c r="Y113" s="117">
        <f ca="1">INDEX(INDIRECT("CAM_WTPCore_"&amp;$B113&amp;"_UnitValues"),MATCH("COMBINED-HH",WTPCore_Group,0),MATCH("MEAN",LMH,0))</f>
        <v>495.01276595744673</v>
      </c>
      <c r="Z113" s="117">
        <f ca="1">Y113*($S113-$T113)*(AllProps_CAM/HHProps_CAM)</f>
        <v>2.2200000000000002</v>
      </c>
      <c r="AA113" s="117">
        <f ca="1">INDEX(INDIRECT("CAM_WTPCore2_"&amp;$B113&amp;"_UnitValues"),1,MATCH("MEAN",LMH,0))</f>
        <v>548.30127891979646</v>
      </c>
      <c r="AB113" s="117">
        <f ca="1">AA113*($S113-T113)*(AllProps_CAM/HHProps_CAM)</f>
        <v>2.458984743247179</v>
      </c>
      <c r="AC113" s="767">
        <f ca="1">X113*AA$115/X$114</f>
        <v>2.6324893060673911</v>
      </c>
      <c r="AD113" s="517" t="s">
        <v>369</v>
      </c>
      <c r="AE113" s="627">
        <f ca="1">AC113*HHProps_CAM/((S113-T113)*AllProps_CAM)</f>
        <v>586.98910484226076</v>
      </c>
    </row>
    <row r="114" spans="1:31" x14ac:dyDescent="0.25">
      <c r="D114" s="514"/>
      <c r="E114" s="431"/>
      <c r="F114" s="828"/>
      <c r="G114" s="828"/>
      <c r="H114" s="436"/>
      <c r="I114" s="436"/>
      <c r="J114" s="445">
        <f ca="1">SUM(J112:J113)</f>
        <v>2.0494568112576577</v>
      </c>
      <c r="K114" s="603">
        <f ca="1">SUM(K112:K113)</f>
        <v>268.03571428571433</v>
      </c>
      <c r="L114" s="603"/>
      <c r="M114" s="446">
        <f ca="1">SUM(M112:M113)</f>
        <v>4.1548571428571428</v>
      </c>
      <c r="N114" s="446"/>
      <c r="O114" s="289">
        <f ca="1">SUM(O112:O113)</f>
        <v>2.0494568112576577</v>
      </c>
      <c r="P114" s="297">
        <f ca="1">SUM(P112:P113)</f>
        <v>3.1021569770574002</v>
      </c>
      <c r="R114" s="628"/>
      <c r="S114" s="118"/>
      <c r="T114" s="118"/>
      <c r="U114" s="118"/>
      <c r="V114" s="118"/>
      <c r="W114" s="52">
        <f ca="1">SUM(W112:W113)</f>
        <v>2.8470522307761632</v>
      </c>
      <c r="X114" s="287">
        <f ca="1">SUM(X112:X113)</f>
        <v>269.17500000000007</v>
      </c>
      <c r="Y114" s="603"/>
      <c r="Z114" s="446">
        <f ca="1">SUM(Z112:Z113)</f>
        <v>2.4704411764705885</v>
      </c>
      <c r="AA114" s="446"/>
      <c r="AB114" s="289">
        <f ca="1">SUM(AB112:AB113)</f>
        <v>2.8470522307761632</v>
      </c>
      <c r="AC114" s="52">
        <f ca="1">SUM(AC112:AC113)</f>
        <v>2.6587467036233754</v>
      </c>
      <c r="AE114" s="834"/>
    </row>
    <row r="115" spans="1:31" s="60" customFormat="1" x14ac:dyDescent="0.25">
      <c r="D115" s="506"/>
      <c r="E115" s="506"/>
      <c r="F115" s="197"/>
      <c r="G115" s="197"/>
      <c r="H115" s="197"/>
      <c r="I115" s="197"/>
      <c r="J115" s="197"/>
      <c r="K115" s="177"/>
      <c r="L115" s="177"/>
      <c r="M115" s="830" t="s">
        <v>997</v>
      </c>
      <c r="N115" s="737">
        <f ca="1">AVERAGE(M114,O114)</f>
        <v>3.1021569770574002</v>
      </c>
      <c r="O115" s="830"/>
      <c r="P115" s="177"/>
      <c r="Q115" s="617"/>
      <c r="R115" s="629"/>
      <c r="S115" s="197"/>
      <c r="T115" s="197"/>
      <c r="U115" s="197"/>
      <c r="V115" s="197"/>
      <c r="W115" s="197"/>
      <c r="X115" s="197"/>
      <c r="Y115" s="177"/>
      <c r="Z115" s="830" t="s">
        <v>997</v>
      </c>
      <c r="AA115" s="737">
        <f ca="1">AVERAGE(Z114,AB114)</f>
        <v>2.6587467036233758</v>
      </c>
      <c r="AB115" s="830"/>
      <c r="AC115" s="177"/>
      <c r="AE115" s="629"/>
    </row>
    <row r="116" spans="1:31" x14ac:dyDescent="0.25">
      <c r="A116" s="61" t="s">
        <v>516</v>
      </c>
      <c r="F116" s="118"/>
      <c r="G116" s="118"/>
      <c r="H116" s="118"/>
      <c r="I116" s="118"/>
      <c r="J116" s="118"/>
      <c r="K116" s="175"/>
      <c r="L116" s="175"/>
      <c r="M116" s="175"/>
      <c r="N116" s="175"/>
      <c r="O116" s="175"/>
      <c r="P116" s="175"/>
      <c r="R116" s="628"/>
      <c r="S116" s="118"/>
      <c r="T116" s="118"/>
      <c r="U116" s="118"/>
      <c r="V116" s="118"/>
      <c r="W116" s="118"/>
      <c r="X116" s="118"/>
      <c r="Y116" s="175"/>
      <c r="Z116" s="175"/>
      <c r="AA116" s="175"/>
      <c r="AB116" s="175"/>
      <c r="AC116" s="176"/>
      <c r="AE116" s="834"/>
    </row>
    <row r="117" spans="1:31" x14ac:dyDescent="0.25">
      <c r="A117" s="9" t="s">
        <v>182</v>
      </c>
      <c r="B117" s="9" t="s">
        <v>269</v>
      </c>
      <c r="C117" s="9" t="s">
        <v>326</v>
      </c>
      <c r="D117" s="514" t="s">
        <v>369</v>
      </c>
      <c r="E117" s="431">
        <f ca="1">INDEX(INDIRECT("ExtWTP19_"&amp;$C117&amp;"_UnitValues"),MATCH(A$116, INDIRECT("ExtWTP19_Comps_"&amp;C117),0),MATCH("HH",ExtWTP_Group,0))</f>
        <v>2495</v>
      </c>
      <c r="F117" s="828">
        <f ca="1">INDEX(INDIRECT("SSW_WTPCore2_"&amp;$B117&amp;"_Levels"),1,MATCH(F$4,WTPCore2_AttLevels,0))</f>
        <v>1.4285714285714285E-2</v>
      </c>
      <c r="G117" s="828">
        <f ca="1">INDEX(INDIRECT("SSW_WTPCore2_"&amp;$B117&amp;"_Levels"),1,MATCH(G$4,WTPCore2_AttLevels,0))</f>
        <v>9.5238095238095247E-3</v>
      </c>
      <c r="H117" s="436">
        <f ca="1">INDEX(INDIRECT("SSW_WTPCore2_"&amp;$B117&amp;"_LevelValues"),1,MATCH("S1 MEAN",WTPCore2_LevelValues,0))</f>
        <v>0.39718669024665654</v>
      </c>
      <c r="I117" s="436">
        <f ca="1">INDEX(INDIRECT("SSW_WTPCore2_"&amp;$B117&amp;"_LevelValues"),1,MATCH("S2 MEAN",WTPCore2_LevelValues,0))</f>
        <v>0.53859352958370721</v>
      </c>
      <c r="J117" s="436">
        <f ca="1">SUM(H117:I117)</f>
        <v>0.93578021983036375</v>
      </c>
      <c r="K117" s="440">
        <f ca="1">E117*(F117-G117)</f>
        <v>11.880952380952378</v>
      </c>
      <c r="L117" s="117">
        <f ca="1">INDEX(INDIRECT("SSW_WTPCore_DCE_"&amp;$B117&amp;"_UnitValues"),MATCH("COMBINED-HH",WTPCore_Group,0),MATCH("MEAN",LMH,0))</f>
        <v>160.37052631578945</v>
      </c>
      <c r="M117" s="117">
        <f ca="1">L117*($F117-$G117)*(AllProps_SSW/HHProps_SSW)</f>
        <v>0.8148571428571425</v>
      </c>
      <c r="N117" s="117">
        <f ca="1">INDEX(INDIRECT("SSW_WTPCore2_"&amp;$B117&amp;"_UnitValues"),1,MATCH("MEAN",LMH,0))</f>
        <v>184.16917331534088</v>
      </c>
      <c r="O117" s="117">
        <f ca="1">N117*($F117-$G117)*(AllProps_SSW/HHProps_SSW)</f>
        <v>0.93578021983036364</v>
      </c>
      <c r="P117" s="437">
        <f ca="1">K117*N$120/K$119</f>
        <v>0.66410628155472662</v>
      </c>
      <c r="Q117" s="611" t="s">
        <v>369</v>
      </c>
      <c r="R117" s="633">
        <f ca="1">P117*HHProps_SSW/((F117-G117)*AllProps_SSW)</f>
        <v>130.70152828153468</v>
      </c>
      <c r="S117" s="828">
        <f ca="1">INDEX(INDIRECT("CAM_WTPCore2_"&amp;$B117&amp;"_Levels"),1,MATCH(S$4,WTPCore2_AttLevels,0))</f>
        <v>2.5000000000000001E-2</v>
      </c>
      <c r="T117" s="828">
        <f ca="1">INDEX(INDIRECT("CAM_WTPCore2_"&amp;$B117&amp;"_Levels"),1,MATCH(T$4,WTPCore2_AttLevels,0))</f>
        <v>1.6666666666666666E-2</v>
      </c>
      <c r="U117" s="436">
        <f ca="1">INDEX(INDIRECT("CAM_WTPCore2_"&amp;$B117&amp;"_LevelValues"),1,MATCH("S1 MEAN",WTPCore2_LevelValues,0))</f>
        <v>5.3490671066612649E-2</v>
      </c>
      <c r="V117" s="436">
        <f ca="1">INDEX(INDIRECT("CAM_WTPCore2_"&amp;$B117&amp;"_LevelValues"),1,MATCH("S2 MEAN",WTPCore2_LevelValues,0))</f>
        <v>0.33457681646237136</v>
      </c>
      <c r="W117" s="767">
        <f ca="1">SUM(U117:V117)</f>
        <v>0.38806748752898401</v>
      </c>
      <c r="X117" s="286">
        <f ca="1">E117*(S117-T117)</f>
        <v>20.791666666666671</v>
      </c>
      <c r="Y117" s="117">
        <f ca="1">INDEX(INDIRECT("CAM_WTPCore_"&amp;$B117&amp;"_UnitValues"),MATCH("COMBINED-HH",WTPCore_Group,0),MATCH("MEAN",LMH,0))</f>
        <v>27.921526908635794</v>
      </c>
      <c r="Z117" s="117">
        <f ca="1">Y117*($S117-$T117)*(AllProps_CAM/HHProps_CAM)</f>
        <v>0.25044117647058822</v>
      </c>
      <c r="AA117" s="117">
        <f ca="1">INDEX(INDIRECT("CAM_WTPCore2_"&amp;$B117&amp;"_UnitValues"),1,MATCH("MEAN",LMH,0))</f>
        <v>43.265396481954809</v>
      </c>
      <c r="AB117" s="117">
        <f ca="1">AA117*($S117-T117)*(AllProps_CAM/HHProps_CAM)</f>
        <v>0.38806748752898401</v>
      </c>
      <c r="AC117" s="767">
        <f ca="1">X117*AA$120/X$119</f>
        <v>2.2829401805134593</v>
      </c>
      <c r="AD117" s="517" t="s">
        <v>369</v>
      </c>
      <c r="AE117" s="633">
        <f ca="1">AC117*HHProps_CAM/((S117-T117)*AllProps_CAM)</f>
        <v>254.5235435295856</v>
      </c>
    </row>
    <row r="118" spans="1:31" x14ac:dyDescent="0.25">
      <c r="A118" s="9" t="s">
        <v>3</v>
      </c>
      <c r="B118" s="9" t="s">
        <v>3</v>
      </c>
      <c r="C118" s="9" t="str">
        <f>B118</f>
        <v>Leakage</v>
      </c>
      <c r="D118" s="514" t="s">
        <v>666</v>
      </c>
      <c r="E118" s="431">
        <f ca="1">INDEX(INDIRECT("ExtWTP19_"&amp;$C118&amp;"_UnitValues"),MATCH(A$116, INDIRECT("ExtWTP19_Comps_"&amp;C118),0),MATCH("HH",ExtWTP_Group,0))</f>
        <v>611894</v>
      </c>
      <c r="F118" s="438">
        <f ca="1">INDEX(INDIRECT("SSW_WTPCore2_"&amp;$B118&amp;"_Levels"),1,MATCH(F$4,WTPCore2_AttLevels,0))</f>
        <v>70.5</v>
      </c>
      <c r="G118" s="438">
        <f ca="1">INDEX(INDIRECT("SSW_WTPCore2_"&amp;$B118&amp;"_Levels"),1,MATCH(G$4,WTPCore2_AttLevels,0))</f>
        <v>35.25</v>
      </c>
      <c r="H118" s="436">
        <f ca="1">INDEX(INDIRECT("SSW_WTPCore2_"&amp;$B118&amp;"_LevelValues"),1,MATCH("S1 MEAN",WTPCore2_LevelValues,0))</f>
        <v>1.2301339708448666</v>
      </c>
      <c r="I118" s="436">
        <f ca="1">INDEX(INDIRECT("SSW_WTPCore2_"&amp;$B118&amp;"_LevelValues"),1,MATCH("S2 MEAN",WTPCore2_LevelValues,0))</f>
        <v>0.44133293088857806</v>
      </c>
      <c r="J118" s="436">
        <f ca="1">SUM(H118:I118)</f>
        <v>1.6714669017334447</v>
      </c>
      <c r="K118" s="440">
        <f ca="1">E118*(F118-G118)/AllProps_SSW</f>
        <v>36.620141765704581</v>
      </c>
      <c r="L118" s="117">
        <f ca="1">INDEX(INDIRECT("SSW_WTPCore_DCE_"&amp;$B118&amp;"_UnitValues"),MATCH("COMBINED-HH",WTPCore_Group,0),MATCH("MEAN",LMH,0))</f>
        <v>31319.148936170212</v>
      </c>
      <c r="M118" s="117">
        <f ca="1">L118*(F118-G118)/HHProps_SSW</f>
        <v>2</v>
      </c>
      <c r="N118" s="117">
        <f ca="1">INDEX(INDIRECT("SSW_WTPCore2_"&amp;$B118&amp;"_UnitValues"),1,MATCH("MEAN",LMH,0))</f>
        <v>26174.460418634368</v>
      </c>
      <c r="O118" s="117">
        <f ca="1">N118*(F118-G118)/HHProps_SSW</f>
        <v>1.6714669017334447</v>
      </c>
      <c r="P118" s="437">
        <f ca="1">K118*N$120/K$119</f>
        <v>2.046945850655749</v>
      </c>
      <c r="Q118" s="611" t="s">
        <v>666</v>
      </c>
      <c r="R118" s="631">
        <f ca="1">P118*HHProps_SSW/((F118-G118))</f>
        <v>32054.300980481516</v>
      </c>
      <c r="S118" s="438">
        <f ca="1">INDEX(INDIRECT("CAM_WTPCore2_"&amp;$B118&amp;"_Levels"),1,MATCH(S$4,WTPCore2_AttLevels,0))</f>
        <v>13.5</v>
      </c>
      <c r="T118" s="438">
        <f ca="1">INDEX(INDIRECT("CAM_WTPCore2_"&amp;$B118&amp;"_Levels"),1,MATCH(T$4,WTPCore2_AttLevels,0))</f>
        <v>6.75</v>
      </c>
      <c r="U118" s="436">
        <f ca="1">INDEX(INDIRECT("CAM_WTPCore2_"&amp;$B118&amp;"_LevelValues"),1,MATCH("S1 MEAN",WTPCore2_LevelValues,0))</f>
        <v>3.1349723048319831</v>
      </c>
      <c r="V118" s="436">
        <f ca="1">INDEX(INDIRECT("CAM_WTPCore2_"&amp;$B118&amp;"_LevelValues"),1,MATCH("S2 MEAN",WTPCore2_LevelValues,0))</f>
        <v>5.1405797633106154E-3</v>
      </c>
      <c r="W118" s="767">
        <f ca="1">SUM(U118:V118)</f>
        <v>3.1401128845952937</v>
      </c>
      <c r="X118" s="286">
        <f ca="1">E118*(S118-T118)/AllProps_CAM</f>
        <v>29.292797872340426</v>
      </c>
      <c r="Y118" s="117">
        <f ca="1">INDEX(INDIRECT("CAM_WTPCore_"&amp;$B118&amp;"_UnitValues"),MATCH("COMBINED-HH",WTPCore_Group,0),MATCH("MEAN",LMH,0))</f>
        <v>140121.48148148149</v>
      </c>
      <c r="Z118" s="117">
        <f ca="1">Y118*(S118-T118)/HHProps_CAM</f>
        <v>7.22</v>
      </c>
      <c r="AA118" s="117">
        <f ca="1">INDEX(INDIRECT("CAM_WTPCore2_"&amp;$B118&amp;"_UnitValues"),1,MATCH("MEAN",LMH,0))</f>
        <v>60941.450056590147</v>
      </c>
      <c r="AB118" s="117">
        <f ca="1">AA118*(S118-T118)/HHProps_CAM</f>
        <v>3.1401128845952937</v>
      </c>
      <c r="AC118" s="767">
        <f ca="1">X118*AA$120/X$119</f>
        <v>3.2163705937839731</v>
      </c>
      <c r="AD118" s="517" t="s">
        <v>666</v>
      </c>
      <c r="AE118" s="627">
        <f ca="1">AC118*HHProps_CAM/((S118-T118))</f>
        <v>62421.414486770438</v>
      </c>
    </row>
    <row r="119" spans="1:31" ht="15.75" thickBot="1" x14ac:dyDescent="0.3">
      <c r="D119" s="514"/>
      <c r="E119" s="431"/>
      <c r="F119" s="438"/>
      <c r="G119" s="438"/>
      <c r="H119" s="436"/>
      <c r="I119" s="436"/>
      <c r="J119" s="445">
        <f ca="1">SUM(J117:J118)</f>
        <v>2.6072471215638084</v>
      </c>
      <c r="K119" s="603">
        <f ca="1">SUM(K117:K118)</f>
        <v>48.501094146656961</v>
      </c>
      <c r="L119" s="603"/>
      <c r="M119" s="446">
        <f ca="1">SUM(M117:M118)</f>
        <v>2.8148571428571425</v>
      </c>
      <c r="N119" s="446"/>
      <c r="O119" s="289">
        <f ca="1">SUM(O117:O118)</f>
        <v>2.6072471215638084</v>
      </c>
      <c r="P119" s="297">
        <f ca="1">SUM(P117:P118)</f>
        <v>2.7110521322104755</v>
      </c>
      <c r="R119" s="634"/>
      <c r="S119" s="118"/>
      <c r="T119" s="118"/>
      <c r="U119" s="118"/>
      <c r="V119" s="118"/>
      <c r="W119" s="52">
        <f ca="1">SUM(W117:W118)</f>
        <v>3.5281803721242779</v>
      </c>
      <c r="X119" s="287">
        <f ca="1">SUM(X117:X118)</f>
        <v>50.084464539007101</v>
      </c>
      <c r="Y119" s="603"/>
      <c r="Z119" s="446">
        <f ca="1">SUM(Z117:Z118)</f>
        <v>7.4704411764705876</v>
      </c>
      <c r="AA119" s="446"/>
      <c r="AB119" s="289">
        <f ca="1">SUM(AB117:AB118)</f>
        <v>3.5281803721242779</v>
      </c>
      <c r="AC119" s="52">
        <f ca="1">SUM(AC117:AC118)</f>
        <v>5.4993107742974328</v>
      </c>
      <c r="AE119" s="640"/>
    </row>
    <row r="120" spans="1:31" s="60" customFormat="1" x14ac:dyDescent="0.25">
      <c r="D120" s="506"/>
      <c r="E120" s="506"/>
      <c r="F120" s="480"/>
      <c r="G120" s="480"/>
      <c r="H120" s="480"/>
      <c r="I120" s="480"/>
      <c r="J120" s="480"/>
      <c r="M120" s="45" t="s">
        <v>997</v>
      </c>
      <c r="N120" s="737">
        <f ca="1">AVERAGE(M119,O119)</f>
        <v>2.7110521322104755</v>
      </c>
      <c r="O120" s="45"/>
      <c r="Q120" s="617"/>
      <c r="R120" s="638"/>
      <c r="S120" s="480"/>
      <c r="T120" s="480"/>
      <c r="U120" s="480"/>
      <c r="V120" s="480"/>
      <c r="W120" s="480"/>
      <c r="X120" s="480"/>
      <c r="Z120" s="45" t="s">
        <v>997</v>
      </c>
      <c r="AA120" s="737">
        <f ca="1">AVERAGE(Z119,AB119)</f>
        <v>5.4993107742974328</v>
      </c>
      <c r="AB120" s="45"/>
      <c r="AE120" s="114"/>
    </row>
    <row r="121" spans="1:31" x14ac:dyDescent="0.25">
      <c r="A121" s="9" t="s">
        <v>980</v>
      </c>
      <c r="R121" s="637"/>
    </row>
    <row r="122" spans="1:31" x14ac:dyDescent="0.25">
      <c r="A122" s="9" t="s">
        <v>1001</v>
      </c>
    </row>
    <row r="123" spans="1:31" x14ac:dyDescent="0.25"/>
    <row r="124" spans="1:31" x14ac:dyDescent="0.25"/>
    <row r="125" spans="1:31" x14ac:dyDescent="0.25"/>
    <row r="126" spans="1:31" x14ac:dyDescent="0.25"/>
    <row r="127" spans="1:31" x14ac:dyDescent="0.25"/>
    <row r="128" spans="1:31"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H130"/>
  <sheetViews>
    <sheetView zoomScale="70" zoomScaleNormal="70" workbookViewId="0">
      <pane xSplit="1" ySplit="4" topLeftCell="B5" activePane="bottomRight" state="frozen"/>
      <selection pane="topRight" activeCell="B1" sqref="B1"/>
      <selection pane="bottomLeft" activeCell="A5" sqref="A5"/>
      <selection pane="bottomRight"/>
    </sheetView>
  </sheetViews>
  <sheetFormatPr defaultColWidth="0" defaultRowHeight="15" zeroHeight="1" x14ac:dyDescent="0.25"/>
  <cols>
    <col min="1" max="1" width="71.5703125" style="9" customWidth="1"/>
    <col min="2" max="3" width="18.28515625" style="9" customWidth="1"/>
    <col min="4" max="4" width="18.28515625" style="37" customWidth="1"/>
    <col min="5" max="5" width="13.28515625" style="37" customWidth="1"/>
    <col min="6" max="10" width="13.28515625" style="51" customWidth="1"/>
    <col min="11" max="15" width="15.28515625" style="64" customWidth="1"/>
    <col min="16" max="16" width="18.5703125" style="64" bestFit="1" customWidth="1"/>
    <col min="17" max="17" width="19" style="619" customWidth="1"/>
    <col min="18" max="18" width="21.140625" style="259" customWidth="1"/>
    <col min="19" max="23" width="13" style="37" customWidth="1"/>
    <col min="24" max="28" width="20.42578125" style="51" customWidth="1"/>
    <col min="29" max="29" width="13" style="9" customWidth="1"/>
    <col min="30" max="30" width="19" style="9" customWidth="1"/>
    <col min="31" max="31" width="20" style="265" customWidth="1"/>
    <col min="32" max="32" width="9.140625" style="9" customWidth="1"/>
    <col min="33" max="34" width="0" style="9" hidden="1" customWidth="1"/>
    <col min="35" max="16384" width="9.140625" style="9" hidden="1"/>
  </cols>
  <sheetData>
    <row r="1" spans="1:31" ht="28.5" x14ac:dyDescent="0.45">
      <c r="A1" s="102" t="s">
        <v>679</v>
      </c>
      <c r="B1" s="102"/>
      <c r="C1" s="102"/>
      <c r="D1" s="102"/>
      <c r="E1" s="102"/>
      <c r="F1" s="102"/>
      <c r="G1" s="102"/>
      <c r="H1" s="102"/>
      <c r="I1" s="102"/>
      <c r="J1" s="102"/>
      <c r="K1" s="604"/>
      <c r="L1" s="604"/>
      <c r="M1" s="604"/>
      <c r="N1" s="604"/>
      <c r="O1" s="604"/>
      <c r="P1" s="604"/>
      <c r="Q1" s="607"/>
      <c r="R1" s="624"/>
      <c r="S1" s="624"/>
      <c r="T1" s="635"/>
      <c r="U1" s="635"/>
      <c r="V1" s="635"/>
      <c r="W1" s="635"/>
      <c r="X1" s="102"/>
      <c r="Y1" s="102"/>
      <c r="Z1" s="102"/>
      <c r="AA1" s="102"/>
      <c r="AB1" s="102"/>
      <c r="AC1" s="102"/>
      <c r="AD1" s="102"/>
      <c r="AE1" s="635"/>
    </row>
    <row r="2" spans="1:31" ht="19.5" x14ac:dyDescent="0.3">
      <c r="A2" s="420"/>
      <c r="B2" s="420"/>
      <c r="C2" s="420"/>
      <c r="D2" s="56"/>
      <c r="E2" s="56"/>
      <c r="F2" s="166" t="s">
        <v>1002</v>
      </c>
      <c r="G2" s="166"/>
      <c r="H2" s="166"/>
      <c r="I2" s="166"/>
      <c r="J2" s="605"/>
      <c r="K2" s="605"/>
      <c r="L2" s="605"/>
      <c r="M2" s="605"/>
      <c r="N2" s="605"/>
      <c r="O2" s="605"/>
      <c r="P2" s="605"/>
      <c r="Q2" s="608"/>
      <c r="R2" s="625"/>
      <c r="S2" s="842" t="s">
        <v>1003</v>
      </c>
      <c r="T2" s="843"/>
      <c r="U2" s="843"/>
      <c r="V2" s="843"/>
      <c r="W2" s="843"/>
      <c r="X2" s="57"/>
      <c r="Y2" s="57"/>
      <c r="Z2" s="57"/>
      <c r="AA2" s="57"/>
      <c r="AB2" s="57"/>
      <c r="AC2" s="58"/>
      <c r="AD2" s="58"/>
      <c r="AE2" s="636"/>
    </row>
    <row r="3" spans="1:31" ht="15.75" thickBot="1" x14ac:dyDescent="0.3">
      <c r="A3" s="60"/>
      <c r="B3" s="60"/>
      <c r="C3" s="60"/>
      <c r="D3" s="513" t="s">
        <v>472</v>
      </c>
      <c r="E3" s="513"/>
      <c r="F3" s="513" t="s">
        <v>998</v>
      </c>
      <c r="G3" s="513"/>
      <c r="H3" s="513" t="s">
        <v>995</v>
      </c>
      <c r="I3" s="513"/>
      <c r="J3" s="513"/>
      <c r="K3" s="513" t="s">
        <v>329</v>
      </c>
      <c r="L3" s="513"/>
      <c r="M3" s="513"/>
      <c r="N3" s="513"/>
      <c r="O3" s="513"/>
      <c r="P3" s="513"/>
      <c r="Q3" s="609"/>
      <c r="R3" s="626"/>
      <c r="S3" s="626" t="s">
        <v>998</v>
      </c>
      <c r="T3" s="626"/>
      <c r="U3" s="626" t="s">
        <v>995</v>
      </c>
      <c r="V3" s="626"/>
      <c r="W3" s="626"/>
      <c r="X3" s="513" t="s">
        <v>329</v>
      </c>
      <c r="Y3" s="513"/>
      <c r="Z3" s="513"/>
      <c r="AA3" s="513"/>
      <c r="AB3" s="513"/>
      <c r="AC3" s="513"/>
      <c r="AD3" s="513"/>
      <c r="AE3" s="626"/>
    </row>
    <row r="4" spans="1:31" ht="45" x14ac:dyDescent="0.25">
      <c r="A4" s="63" t="s">
        <v>172</v>
      </c>
      <c r="B4" s="66" t="s">
        <v>475</v>
      </c>
      <c r="C4" s="66" t="s">
        <v>476</v>
      </c>
      <c r="D4" s="429" t="s">
        <v>368</v>
      </c>
      <c r="E4" s="519" t="s">
        <v>473</v>
      </c>
      <c r="F4" s="263" t="s">
        <v>259</v>
      </c>
      <c r="G4" s="263" t="s">
        <v>261</v>
      </c>
      <c r="H4" s="520" t="s">
        <v>313</v>
      </c>
      <c r="I4" s="520" t="s">
        <v>312</v>
      </c>
      <c r="J4" s="520" t="s">
        <v>311</v>
      </c>
      <c r="K4" s="622" t="s">
        <v>454</v>
      </c>
      <c r="L4" s="808" t="s">
        <v>989</v>
      </c>
      <c r="M4" s="808" t="s">
        <v>990</v>
      </c>
      <c r="N4" s="808" t="s">
        <v>991</v>
      </c>
      <c r="O4" s="808" t="s">
        <v>992</v>
      </c>
      <c r="P4" s="622" t="s">
        <v>333</v>
      </c>
      <c r="Q4" s="610" t="s">
        <v>368</v>
      </c>
      <c r="R4" s="540" t="s">
        <v>462</v>
      </c>
      <c r="S4" s="113" t="s">
        <v>259</v>
      </c>
      <c r="T4" s="113" t="s">
        <v>261</v>
      </c>
      <c r="U4" s="626" t="s">
        <v>313</v>
      </c>
      <c r="V4" s="626" t="s">
        <v>312</v>
      </c>
      <c r="W4" s="626" t="s">
        <v>311</v>
      </c>
      <c r="X4" s="622" t="s">
        <v>454</v>
      </c>
      <c r="Y4" s="808" t="s">
        <v>989</v>
      </c>
      <c r="Z4" s="808" t="s">
        <v>990</v>
      </c>
      <c r="AA4" s="808" t="s">
        <v>991</v>
      </c>
      <c r="AB4" s="808" t="s">
        <v>992</v>
      </c>
      <c r="AC4" s="622" t="s">
        <v>333</v>
      </c>
      <c r="AD4" s="246" t="s">
        <v>368</v>
      </c>
      <c r="AE4" s="540" t="s">
        <v>462</v>
      </c>
    </row>
    <row r="5" spans="1:31" x14ac:dyDescent="0.25">
      <c r="A5" s="9" t="s">
        <v>25</v>
      </c>
      <c r="B5" s="9" t="s">
        <v>266</v>
      </c>
      <c r="C5" s="9" t="str">
        <f>B5</f>
        <v>Discolour</v>
      </c>
      <c r="D5" s="514" t="s">
        <v>369</v>
      </c>
      <c r="E5" s="431">
        <f ca="1">INDEX(INDIRECT("ExtWTP19_"&amp;$C5&amp;"_UnitValues"),MATCH(A$4, INDIRECT("ExtWTP19_Comps_"&amp;C5),0),MATCH("NHH",ExtWTP_Group,0))</f>
        <v>873</v>
      </c>
      <c r="F5" s="521">
        <f t="shared" ref="F5:G7" ca="1" si="0">INDEX(INDIRECT("SSW_WTPCore2_"&amp;$B5&amp;"_Levels"),2,MATCH(F$4,WTPCore2_AttLevels,0))</f>
        <v>6.6666666666666666E-2</v>
      </c>
      <c r="G5" s="521">
        <f t="shared" ca="1" si="0"/>
        <v>0.04</v>
      </c>
      <c r="H5" s="581">
        <f ca="1">INDEX(INDIRECT("SSW_WTPCore2_"&amp;$B5&amp;"_LevelValues"),2,MATCH("S1 MEAN",WTPCore2_LevelValues,0))</f>
        <v>1.9376915692789636E-2</v>
      </c>
      <c r="I5" s="581">
        <f ca="1">INDEX(INDIRECT("SSW_WTPCore2_"&amp;$B5&amp;"_LevelValues"),2,MATCH("S2 MEAN",WTPCore2_LevelValues,0))</f>
        <v>4.9841954334050795E-4</v>
      </c>
      <c r="J5" s="435">
        <f ca="1">SUM(H5:I5)</f>
        <v>1.9875335236130144E-2</v>
      </c>
      <c r="K5" s="602">
        <f ca="1">E5*(F5-G5)</f>
        <v>23.279999999999998</v>
      </c>
      <c r="L5" s="579">
        <f ca="1">INDEX(INDIRECT("SSW_WTPCore_DCE_"&amp;$B5&amp;"_UnitValues"),MATCH("COMBINED-NHH",WTPCore_Group,0),MATCH("MEAN",LMH,0))</f>
        <v>44.321585387272407</v>
      </c>
      <c r="M5" s="117">
        <f ca="1">L5*($F5-$G5)*(AllProps_SSW/NHHProps_SSW)</f>
        <v>18.81471264367816</v>
      </c>
      <c r="N5" s="117">
        <f ca="1">INDEX(INDIRECT("SSW_WTPCore2_"&amp;$B5&amp;"_UnitValues"),2,MATCH("MEAN",LMH,0))</f>
        <v>207.13203782671931</v>
      </c>
      <c r="O5" s="117">
        <f ca="1">N5*($F5-$G5)*(AllProps_SSW/NHHProps_SSW)</f>
        <v>87.928483084639765</v>
      </c>
      <c r="P5" s="527">
        <f ca="1">K5*N$10/K$9</f>
        <v>53.429626401255533</v>
      </c>
      <c r="Q5" s="611" t="s">
        <v>369</v>
      </c>
      <c r="R5" s="627">
        <f ca="1">P5*NHHProps_SSW/((F5-G5)*AllProps_SSW)</f>
        <v>125.86350871263507</v>
      </c>
      <c r="S5" s="837">
        <f t="shared" ref="S5:T7" ca="1" si="1">INDEX(INDIRECT("CAM_WTPCore2_"&amp;$B5&amp;"_Levels"),2,MATCH(S$4,WTPCore2_AttLevels,0))</f>
        <v>2.2222222222222223E-2</v>
      </c>
      <c r="T5" s="837">
        <f t="shared" ca="1" si="1"/>
        <v>1.5384615384615385E-2</v>
      </c>
      <c r="U5" s="767">
        <f ca="1">INDEX(INDIRECT("CAM_WTPCore2_"&amp;$B5&amp;"_LevelValues"),2,MATCH("S1 MEAN",WTPCore2_LevelValues,0))</f>
        <v>5.6414013673365619E-2</v>
      </c>
      <c r="V5" s="767">
        <f ca="1">INDEX(INDIRECT("CAM_WTPCore2_"&amp;$B5&amp;"_LevelValues"),2,MATCH("S2 MEAN",WTPCore2_LevelValues,0))</f>
        <v>1.4754621463399648E-4</v>
      </c>
      <c r="W5" s="767">
        <f ca="1">SUM(U5:V5)</f>
        <v>5.6561559887999616E-2</v>
      </c>
      <c r="X5" s="528">
        <f ca="1">E5*(S5-T5)</f>
        <v>5.9692307692307693</v>
      </c>
      <c r="Y5" s="117">
        <f ca="1">INDEX(INDIRECT("CAM_WTPCore_"&amp;$B5&amp;"_UnitValues"),MATCH("COMBINED-NHH",WTPCore_Group,0),MATCH("MEAN",LMH,0))</f>
        <v>290.49645390070918</v>
      </c>
      <c r="Z5" s="117">
        <f ca="1">Y5*($S5-$T5)*(AllProps_CAM/NHHProps_CAM)</f>
        <v>28.006837606837603</v>
      </c>
      <c r="AA5" s="117">
        <f ca="1">INDEX(INDIRECT("CAM_WTPCore2_"&amp;$B5&amp;"_UnitValues"),2,MATCH("MEAN",LMH,0))</f>
        <v>3003.7798612861075</v>
      </c>
      <c r="AB5" s="117">
        <f ca="1">AA5*($S5-$T5)*(AllProps_CAM/NHHProps_CAM)</f>
        <v>289.59518662655802</v>
      </c>
      <c r="AC5" s="216">
        <f ca="1">X5*AA$10/X$9</f>
        <v>63.570372404766182</v>
      </c>
      <c r="AD5" s="341" t="str">
        <f>Q5</f>
        <v>Property affected</v>
      </c>
      <c r="AE5" s="534">
        <f ca="1">(AC5*NHHProps_CAM)/((S5-T5)*AllProps_CAM)</f>
        <v>659.37354356007484</v>
      </c>
    </row>
    <row r="6" spans="1:31" x14ac:dyDescent="0.25">
      <c r="A6" s="9" t="s">
        <v>182</v>
      </c>
      <c r="B6" s="9" t="s">
        <v>269</v>
      </c>
      <c r="C6" s="9" t="s">
        <v>326</v>
      </c>
      <c r="D6" s="514" t="s">
        <v>369</v>
      </c>
      <c r="E6" s="431">
        <f ca="1">INDEX(INDIRECT("ExtWTP19_"&amp;$C6&amp;"_UnitValues"),MATCH(A$4, INDIRECT("ExtWTP19_Comps_"&amp;C6),0),MATCH("NHH",ExtWTP_Group,0))</f>
        <v>2182</v>
      </c>
      <c r="F6" s="521">
        <f t="shared" ca="1" si="0"/>
        <v>1.2500000000000001E-2</v>
      </c>
      <c r="G6" s="521">
        <f t="shared" ca="1" si="0"/>
        <v>8.3333333333333332E-3</v>
      </c>
      <c r="H6" s="581">
        <f ca="1">INDEX(INDIRECT("SSW_WTPCore2_"&amp;$B6&amp;"_LevelValues"),2,MATCH("S1 MEAN",WTPCore2_LevelValues,0))</f>
        <v>2.3562800507588295E-4</v>
      </c>
      <c r="I6" s="581">
        <f ca="1">INDEX(INDIRECT("SSW_WTPCore2_"&amp;$B6&amp;"_LevelValues"),2,MATCH("S2 MEAN",WTPCore2_LevelValues,0))</f>
        <v>4.1117889914467278E-4</v>
      </c>
      <c r="J6" s="435">
        <f ca="1">SUM(H6:I6)</f>
        <v>6.4680690422055573E-4</v>
      </c>
      <c r="K6" s="602">
        <f ca="1">E6*(F6-G6)</f>
        <v>9.0916666666666686</v>
      </c>
      <c r="L6" s="579">
        <f ca="1">INDEX(INDIRECT("SSW_WTPCore_DCE_"&amp;$B6&amp;"_UnitValues"),MATCH("COMBINED-NHH",WTPCore_Group,0),MATCH("MEAN",LMH,0))</f>
        <v>310.41834897651921</v>
      </c>
      <c r="M6" s="117">
        <f ca="1">L6*($F6-$G6)*(AllProps_SSW/NHHProps_SSW)</f>
        <v>20.589685534591201</v>
      </c>
      <c r="N6" s="117">
        <f ca="1">INDEX(INDIRECT("SSW_WTPCore2_"&amp;$B6&amp;"_UnitValues"),2,MATCH("MEAN",LMH,0))</f>
        <v>43.140724701414321</v>
      </c>
      <c r="O6" s="117">
        <f ca="1">N6*($F6-$G6)*(AllProps_SSW/NHHProps_SSW)</f>
        <v>2.8614737442717391</v>
      </c>
      <c r="P6" s="527">
        <f t="shared" ref="P6:P7" ca="1" si="2">K6*N$10/K$9</f>
        <v>20.866166381647268</v>
      </c>
      <c r="Q6" s="611" t="s">
        <v>369</v>
      </c>
      <c r="R6" s="627">
        <f ca="1">P6*NHHProps_SSW/((F6-G6)*AllProps_SSW)</f>
        <v>314.58668500683825</v>
      </c>
      <c r="S6" s="837">
        <f t="shared" ca="1" si="1"/>
        <v>2.5000000000000001E-2</v>
      </c>
      <c r="T6" s="837">
        <f t="shared" ca="1" si="1"/>
        <v>1.6666666666666666E-2</v>
      </c>
      <c r="U6" s="767">
        <f ca="1">INDEX(INDIRECT("CAM_WTPCore2_"&amp;$B6&amp;"_LevelValues"),2,MATCH("S1 MEAN",WTPCore2_LevelValues,0))</f>
        <v>2.654718763279678E-4</v>
      </c>
      <c r="V6" s="767">
        <f ca="1">INDEX(INDIRECT("CAM_WTPCore2_"&amp;$B6&amp;"_LevelValues"),2,MATCH("S2 MEAN",WTPCore2_LevelValues,0))</f>
        <v>1.3401602008677625E-5</v>
      </c>
      <c r="W6" s="879">
        <f ca="1">SUM(U6:V6)</f>
        <v>2.7887347833664542E-4</v>
      </c>
      <c r="X6" s="528">
        <f ca="1">E6*(S6-T6)</f>
        <v>18.183333333333337</v>
      </c>
      <c r="Y6" s="117">
        <f ca="1">INDEX(INDIRECT("CAM_WTPCore_"&amp;$B6&amp;"_UnitValues"),MATCH("COMBINED-NHH",WTPCore_Group,0),MATCH("MEAN",LMH,0))</f>
        <v>90.78014184397162</v>
      </c>
      <c r="Z6" s="117">
        <f ca="1">Y6*($S6-$T6)*(AllProps_CAM/NHHProps_CAM)</f>
        <v>10.666666666666668</v>
      </c>
      <c r="AA6" s="117">
        <f ca="1">INDEX(INDIRECT("CAM_WTPCore2_"&amp;$B6&amp;"_UnitValues"),2,MATCH("MEAN",LMH,0))</f>
        <v>12.15176348156276</v>
      </c>
      <c r="AB6" s="117">
        <f ca="1">AA6*($S6-$T6)*(AllProps_CAM/NHHProps_CAM)</f>
        <v>1.4278322090836244</v>
      </c>
      <c r="AC6" s="216">
        <f t="shared" ref="AC6:AC8" ca="1" si="3">X6*AA$10/X$9</f>
        <v>193.64660477164924</v>
      </c>
      <c r="AD6" s="341" t="str">
        <f>Q6</f>
        <v>Property affected</v>
      </c>
      <c r="AE6" s="627">
        <f ca="1">AC6*NHHProps_CAM/((S6-T6)*AllProps_CAM)</f>
        <v>1648.0562108225463</v>
      </c>
    </row>
    <row r="7" spans="1:31" x14ac:dyDescent="0.25">
      <c r="A7" s="9" t="s">
        <v>3</v>
      </c>
      <c r="B7" s="9" t="s">
        <v>3</v>
      </c>
      <c r="C7" s="9" t="str">
        <f>B7</f>
        <v>Leakage</v>
      </c>
      <c r="D7" s="514" t="s">
        <v>666</v>
      </c>
      <c r="E7" s="431">
        <f ca="1">INDEX(INDIRECT("ExtWTP19_"&amp;$C7&amp;"_UnitValues"),MATCH(A$4, INDIRECT("ExtWTP19_Comps_"&amp;C7),0),MATCH("NHH",ExtWTP_Group,0))</f>
        <v>416722</v>
      </c>
      <c r="F7" s="598">
        <f t="shared" ca="1" si="0"/>
        <v>70.5</v>
      </c>
      <c r="G7" s="598">
        <f t="shared" ca="1" si="0"/>
        <v>35.25</v>
      </c>
      <c r="H7" s="581">
        <f ca="1">INDEX(INDIRECT("SSW_WTPCore2_"&amp;$B7&amp;"_LevelValues"),2,MATCH("S1 MEAN",WTPCore2_LevelValues,0))</f>
        <v>1.8366495603833657E-2</v>
      </c>
      <c r="I7" s="581">
        <f ca="1">INDEX(INDIRECT("SSW_WTPCore2_"&amp;$B7&amp;"_LevelValues"),2,MATCH("S2 MEAN",WTPCore2_LevelValues,0))</f>
        <v>6.6875105310339848E-3</v>
      </c>
      <c r="J7" s="435">
        <f ca="1">SUM(H7:I7)</f>
        <v>2.5054006134867642E-2</v>
      </c>
      <c r="K7" s="602">
        <f ca="1">E7*(F7-G7)/AllProps_SSW</f>
        <v>24.939644312393888</v>
      </c>
      <c r="L7" s="579">
        <f ca="1">INDEX(INDIRECT("SSW_WTPCore_DCE_"&amp;$B7&amp;"_UnitValues"),MATCH("COMBINED-NHH",WTPCore_Group,0),MATCH("MEAN",LMH,0))</f>
        <v>23218.156028368794</v>
      </c>
      <c r="M7" s="117">
        <f ca="1">L7*(F7-G7)/NHHProps_SSW</f>
        <v>22.12</v>
      </c>
      <c r="N7" s="117">
        <f ca="1">INDEX(INDIRECT("SSW_WTPCore2_"&amp;$B7&amp;"_UnitValues"),2,MATCH("MEAN",LMH,0))</f>
        <v>116341.56471501317</v>
      </c>
      <c r="O7" s="117">
        <f ca="1">N7*(F7-G7)/NHHProps_SSW</f>
        <v>110.83892314065444</v>
      </c>
      <c r="P7" s="527">
        <f t="shared" ca="1" si="2"/>
        <v>57.238654561486385</v>
      </c>
      <c r="Q7" s="611" t="s">
        <v>666</v>
      </c>
      <c r="R7" s="627">
        <f ca="1">P7*NHHProps_SSW/((F7-G7))</f>
        <v>60080.289894326132</v>
      </c>
      <c r="S7" s="844">
        <f t="shared" ca="1" si="1"/>
        <v>13.5</v>
      </c>
      <c r="T7" s="844">
        <f t="shared" ca="1" si="1"/>
        <v>6.75</v>
      </c>
      <c r="U7" s="767">
        <f ca="1">INDEX(INDIRECT("CAM_WTPCore2_"&amp;$B7&amp;"_LevelValues"),2,MATCH("S1 MEAN",WTPCore2_LevelValues,0))</f>
        <v>7.1569068986342493E-2</v>
      </c>
      <c r="V7" s="767">
        <f ca="1">INDEX(INDIRECT("CAM_WTPCore2_"&amp;$B7&amp;"_LevelValues"),2,MATCH("S2 MEAN",WTPCore2_LevelValues,0))</f>
        <v>3.5284810800562588E-2</v>
      </c>
      <c r="W7" s="879">
        <f ca="1">SUM(U7:V7)</f>
        <v>0.10685387978690508</v>
      </c>
      <c r="X7" s="528">
        <f ca="1">E7*(S7-T7)/AllProps_CAM</f>
        <v>19.949457446808509</v>
      </c>
      <c r="Y7" s="117">
        <f ca="1">INDEX(INDIRECT("CAM_WTPCore_"&amp;$B7&amp;"_UnitValues"),MATCH("COMBINED-NHH",WTPCore_Group,0),MATCH("MEAN",LMH,0))</f>
        <v>15170.37037037037</v>
      </c>
      <c r="Z7" s="117">
        <f ca="1">Y7*(S7-T7)/NHHProps_CAM</f>
        <v>10.24</v>
      </c>
      <c r="AA7" s="117">
        <f ca="1">INDEX(INDIRECT("CAM_WTPCore2_"&amp;$B7&amp;"_UnitValues"),2,MATCH("MEAN",LMH,0))</f>
        <v>810506.46593919117</v>
      </c>
      <c r="AB7" s="117">
        <f ca="1">AA7*(S7-T7)/NHHProps_CAM</f>
        <v>547.09186450895402</v>
      </c>
      <c r="AC7" s="216">
        <f t="shared" ca="1" si="3"/>
        <v>212.45525398410422</v>
      </c>
      <c r="AD7" s="611" t="s">
        <v>666</v>
      </c>
      <c r="AE7" s="627">
        <f ca="1">AC7*NHHProps_CAM/((S7-T7))</f>
        <v>314748.52442089515</v>
      </c>
    </row>
    <row r="8" spans="1:31" x14ac:dyDescent="0.25">
      <c r="A8" s="9" t="s">
        <v>615</v>
      </c>
      <c r="B8" s="9" t="s">
        <v>323</v>
      </c>
      <c r="C8" s="9" t="str">
        <f>B8</f>
        <v>Drought</v>
      </c>
      <c r="D8" s="514" t="s">
        <v>369</v>
      </c>
      <c r="E8" s="431">
        <f ca="1">INDEX(INDIRECT("ExtWTP19_"&amp;$C8&amp;"_UnitValues"),MATCH(A$4, INDIRECT("ExtWTP19_Comps_"&amp;C8),0),MATCH("NHH",ExtWTP_Group,0))</f>
        <v>467</v>
      </c>
      <c r="F8" s="521">
        <f t="shared" ref="F8" ca="1" si="4">INDEX(INDIRECT("SSW_WTPCore_DCE_"&amp;$B8&amp;"_Levels"),MATCH("COMBINED-NHH",WTPCore_Group,0),MATCH(F$4,WTPCore_AttLevels,0))</f>
        <v>1.2500000000000001E-2</v>
      </c>
      <c r="G8" s="521">
        <v>8.3000000000000001E-3</v>
      </c>
      <c r="H8" s="581">
        <f ca="1">INDEX(INDIRECT("SSW_WTPCore_DCE_"&amp;$B8&amp;"_LevelValues"),MATCH("COMBINED-NHH",WTPCore_Group,0),MATCH("S1 MEAN",WTPCore_LevelValues,0))</f>
        <v>1E-3</v>
      </c>
      <c r="I8" s="581">
        <f ca="1">INDEX(INDIRECT("SSW_WTPCore_DCE_"&amp;$B8&amp;"_LevelValues"),MATCH("COMBINED-NHH",WTPCore_Group,0),MATCH("S2 MEAN",WTPCore_LevelValues,0))</f>
        <v>8.0000000000000002E-3</v>
      </c>
      <c r="J8" s="435">
        <f ca="1">H8</f>
        <v>1E-3</v>
      </c>
      <c r="K8" s="602">
        <f ca="1">E8*(F8-G8)</f>
        <v>1.9614000000000003</v>
      </c>
      <c r="L8" s="579">
        <f ca="1">INDEX(INDIRECT("SSW_WTPCore_DCE_"&amp;$B8&amp;"_UnitValues"),MATCH("COMBINED-NHH",WTPCore_Group,0),MATCH("MEAN",LMH,0))</f>
        <v>392851.19999999995</v>
      </c>
      <c r="M8" s="117">
        <f ca="1">L8*(F8-G8)/NHHProps_SSW*100</f>
        <v>4.4593920000000002</v>
      </c>
      <c r="N8" s="117">
        <f ca="1">L8</f>
        <v>392851.19999999995</v>
      </c>
      <c r="O8" s="117">
        <f ca="1">N8*(F8-G8)/NHHProps_SSW*100</f>
        <v>4.4593920000000002</v>
      </c>
      <c r="P8" s="527">
        <f ca="1">K8*N$10/K$9</f>
        <v>4.5015837295284635</v>
      </c>
      <c r="Q8" s="611" t="s">
        <v>422</v>
      </c>
      <c r="R8" s="627">
        <f ca="1">P8*NHHProps_SSW/((F8-G8)*100)</f>
        <v>396568.0904584598</v>
      </c>
      <c r="S8" s="16">
        <f t="shared" ref="S8" ca="1" si="5">INDEX(INDIRECT("CAM_WTPCore_"&amp;$B8&amp;"_Levels"),MATCH("COMBINED-NHH",WTPCore_Group,0),MATCH(S$4,WTPCore_AttLevels,0))</f>
        <v>1.2500000000000001E-2</v>
      </c>
      <c r="T8" s="16">
        <v>8.3000000000000001E-3</v>
      </c>
      <c r="U8" s="587">
        <f ca="1">INDEX(INDIRECT("CAM_WTPCore_"&amp;$B8&amp;"_LevelValues"),MATCH("COMBINED-NHH",WTPCore_Group,0),MATCH("S1 MEAN",WTPCore_LevelValues,0))</f>
        <v>9.1158062540521636E-3</v>
      </c>
      <c r="V8" s="587">
        <f ca="1">INDEX(INDIRECT("CAM_WTPCore_"&amp;$B8&amp;"_LevelValues"),MATCH("COMBINED-NHH",WTPCore_Group,0),MATCH("S2 MEAN",WTPCore_LevelValues,0))</f>
        <v>2.0400790621022298E-3</v>
      </c>
      <c r="W8" s="879">
        <f ca="1">U8</f>
        <v>9.1158062540521636E-3</v>
      </c>
      <c r="X8" s="528">
        <f ca="1">E8*(S8-T8)</f>
        <v>1.9614000000000003</v>
      </c>
      <c r="Y8" s="117">
        <f ca="1">INDEX(INDIRECT("CAM_WTPCore_"&amp;$B8&amp;"_UnitValues"),MATCH("COMBINED-NHH",WTPCore_Group,0),MATCH("MEAN",LMH,0))</f>
        <v>1120150.2724979296</v>
      </c>
      <c r="Z8" s="117">
        <f ca="1">Y8*(S8-T8)/NHHProps_CAM*100</f>
        <v>47.046311444913052</v>
      </c>
      <c r="AA8" s="117">
        <f ca="1">Y8</f>
        <v>1120150.2724979296</v>
      </c>
      <c r="AB8" s="117">
        <f ca="1">AA8*(S8-T8)/NHHProps_CAM*100</f>
        <v>47.046311444913052</v>
      </c>
      <c r="AC8" s="216">
        <f t="shared" ca="1" si="3"/>
        <v>20.888274093443417</v>
      </c>
      <c r="AD8" s="611" t="s">
        <v>422</v>
      </c>
      <c r="AE8" s="627">
        <f ca="1">AC8*NHHProps_CAM/((S8-T8)*100)</f>
        <v>497339.85936770035</v>
      </c>
    </row>
    <row r="9" spans="1:31" x14ac:dyDescent="0.25">
      <c r="D9" s="514"/>
      <c r="E9" s="431"/>
      <c r="F9" s="20"/>
      <c r="G9" s="20"/>
      <c r="H9" s="20"/>
      <c r="I9" s="20"/>
      <c r="J9" s="445">
        <f ca="1">SUM(J5:J8)*AvgNHHBill_SSW</f>
        <v>206.05287996956596</v>
      </c>
      <c r="K9" s="603">
        <f ca="1">SUM(K5:K8)</f>
        <v>59.272710979060555</v>
      </c>
      <c r="L9" s="603"/>
      <c r="M9" s="446">
        <f ca="1">SUM(M5:M8)</f>
        <v>65.983790178269359</v>
      </c>
      <c r="N9" s="446"/>
      <c r="O9" s="446">
        <f ca="1">SUM(O5:O8)</f>
        <v>206.08827196956597</v>
      </c>
      <c r="P9" s="497">
        <f ca="1">SUM(P5:P8)</f>
        <v>136.03603107391766</v>
      </c>
      <c r="Q9" s="612"/>
      <c r="R9" s="628"/>
      <c r="S9" s="216"/>
      <c r="T9" s="216"/>
      <c r="U9" s="216"/>
      <c r="V9" s="216"/>
      <c r="W9" s="881">
        <f ca="1">SUM(W5:W8)*AvgNHHBill_CAM</f>
        <v>884.7878113653428</v>
      </c>
      <c r="X9" s="532">
        <f ca="1">SUM(X5:X8)</f>
        <v>46.063421549372613</v>
      </c>
      <c r="Y9" s="532"/>
      <c r="Z9" s="446">
        <f ca="1">SUM(Z5:Z8)</f>
        <v>95.959815718417332</v>
      </c>
      <c r="AA9" s="446"/>
      <c r="AB9" s="284">
        <f ca="1">SUM(AB5:AB8)</f>
        <v>885.16119478950873</v>
      </c>
      <c r="AC9" s="52">
        <f ca="1">SUM(AC5:AC8)</f>
        <v>490.56050525396307</v>
      </c>
      <c r="AE9" s="534"/>
    </row>
    <row r="10" spans="1:31" s="60" customFormat="1" x14ac:dyDescent="0.25">
      <c r="D10" s="516"/>
      <c r="E10" s="523"/>
      <c r="F10" s="524"/>
      <c r="G10" s="524"/>
      <c r="H10" s="524"/>
      <c r="I10" s="524"/>
      <c r="J10" s="553"/>
      <c r="K10" s="45"/>
      <c r="L10" s="45"/>
      <c r="M10" s="830" t="s">
        <v>997</v>
      </c>
      <c r="N10" s="737">
        <f ca="1">AVERAGE(M9,O9)</f>
        <v>136.03603107391766</v>
      </c>
      <c r="O10" s="830"/>
      <c r="P10" s="45"/>
      <c r="Q10" s="613"/>
      <c r="R10" s="629"/>
      <c r="S10" s="44"/>
      <c r="T10" s="44"/>
      <c r="U10" s="44"/>
      <c r="V10" s="44"/>
      <c r="W10" s="835"/>
      <c r="X10" s="533"/>
      <c r="Y10" s="533"/>
      <c r="Z10" s="830" t="s">
        <v>997</v>
      </c>
      <c r="AA10" s="737">
        <f ca="1">AVERAGE(Z9,AB9)</f>
        <v>490.56050525396302</v>
      </c>
      <c r="AB10" s="830"/>
      <c r="AC10" s="45"/>
      <c r="AD10" s="45"/>
      <c r="AE10" s="535"/>
    </row>
    <row r="11" spans="1:31" s="62" customFormat="1" x14ac:dyDescent="0.25">
      <c r="A11" s="237" t="s">
        <v>178</v>
      </c>
      <c r="B11" s="237"/>
      <c r="C11" s="237"/>
      <c r="D11" s="515"/>
      <c r="E11" s="522"/>
      <c r="F11" s="448"/>
      <c r="G11" s="448"/>
      <c r="H11" s="497"/>
      <c r="I11" s="497"/>
      <c r="J11" s="497"/>
      <c r="K11" s="54"/>
      <c r="L11" s="54"/>
      <c r="M11" s="54"/>
      <c r="N11" s="54"/>
      <c r="O11" s="54"/>
      <c r="P11" s="54"/>
      <c r="Q11" s="614"/>
      <c r="R11" s="630"/>
      <c r="S11" s="54"/>
      <c r="T11" s="54"/>
      <c r="U11" s="53"/>
      <c r="V11" s="53"/>
      <c r="W11" s="53"/>
      <c r="X11" s="531"/>
      <c r="Y11" s="531"/>
      <c r="Z11" s="531"/>
      <c r="AA11" s="531"/>
      <c r="AB11" s="531"/>
      <c r="AC11" s="54"/>
      <c r="AE11" s="536"/>
    </row>
    <row r="12" spans="1:31" x14ac:dyDescent="0.25">
      <c r="A12" s="9" t="s">
        <v>667</v>
      </c>
      <c r="B12" s="9" t="s">
        <v>269</v>
      </c>
      <c r="C12" s="9" t="s">
        <v>668</v>
      </c>
      <c r="D12" s="514" t="s">
        <v>369</v>
      </c>
      <c r="E12" s="431">
        <f ca="1">INDEX(INDIRECT("ExtWTP19_"&amp;$C12&amp;"_UnitValues"),MATCH(A$11, INDIRECT("ExtWTP19_Comps_"&amp;C12),0),MATCH("NHH",ExtWTP_Group,0))</f>
        <v>65629</v>
      </c>
      <c r="F12" s="521">
        <f t="shared" ref="F12:G14" ca="1" si="6">INDEX(INDIRECT("SSW_WTPCore2_"&amp;$B12&amp;"_Levels"),2,MATCH(F$4,WTPCore2_AttLevels,0))</f>
        <v>1.2500000000000001E-2</v>
      </c>
      <c r="G12" s="521">
        <f t="shared" ca="1" si="6"/>
        <v>8.3333333333333332E-3</v>
      </c>
      <c r="H12" s="581">
        <f ca="1">INDEX(INDIRECT("SSW_WTPCore2_"&amp;$B12&amp;"_LevelValues"),2,MATCH("S1 MEAN",WTPCore2_LevelValues,0))</f>
        <v>2.3562800507588295E-4</v>
      </c>
      <c r="I12" s="581">
        <f ca="1">INDEX(INDIRECT("SSW_WTPCore2_"&amp;$B12&amp;"_LevelValues"),2,MATCH("S2 MEAN",WTPCore2_LevelValues,0))</f>
        <v>4.1117889914467278E-4</v>
      </c>
      <c r="J12" s="435">
        <f ca="1">SUM(H12:I12)</f>
        <v>6.4680690422055573E-4</v>
      </c>
      <c r="K12" s="602">
        <f ca="1">E12*(F12-G12)</f>
        <v>273.45416666666671</v>
      </c>
      <c r="L12" s="579">
        <f ca="1">INDEX(INDIRECT("SSW_WTPCore_DCE_"&amp;$B12&amp;"_UnitValues"),MATCH("COMBINED-NHH",WTPCore_Group,0),MATCH("MEAN",LMH,0))</f>
        <v>310.41834897651921</v>
      </c>
      <c r="M12" s="117">
        <f ca="1">L12*($F12-$G12)*(AllProps_SSW/NHHProps_SSW)</f>
        <v>20.589685534591201</v>
      </c>
      <c r="N12" s="117">
        <f ca="1">INDEX(INDIRECT("SSW_WTPCore2_"&amp;$B12&amp;"_UnitValues"),2,MATCH("MEAN",LMH,0))</f>
        <v>43.140724701414321</v>
      </c>
      <c r="O12" s="117">
        <f ca="1">N12*($F12-$G12)*(AllProps_SSW/NHHProps_SSW)</f>
        <v>2.8614737442717391</v>
      </c>
      <c r="P12" s="437">
        <f ca="1">K12*N$16/K$15</f>
        <v>18.605228930335326</v>
      </c>
      <c r="Q12" s="611" t="s">
        <v>369</v>
      </c>
      <c r="R12" s="627">
        <f ca="1">P12*NHHProps_SSW/((F12-G12)*AllProps_SSW)</f>
        <v>280.49988608043748</v>
      </c>
      <c r="S12" s="837">
        <f t="shared" ref="S12:T14" ca="1" si="7">INDEX(INDIRECT("CAM_WTPCore2_"&amp;$B12&amp;"_Levels"),2,MATCH(S$4,WTPCore2_AttLevels,0))</f>
        <v>2.5000000000000001E-2</v>
      </c>
      <c r="T12" s="837">
        <f t="shared" ca="1" si="7"/>
        <v>1.6666666666666666E-2</v>
      </c>
      <c r="U12" s="767">
        <f ca="1">INDEX(INDIRECT("CAM_WTPCore2_"&amp;$B12&amp;"_LevelValues"),2,MATCH("S1 MEAN",WTPCore2_LevelValues,0))</f>
        <v>2.654718763279678E-4</v>
      </c>
      <c r="V12" s="767">
        <f ca="1">INDEX(INDIRECT("CAM_WTPCore2_"&amp;$B12&amp;"_LevelValues"),2,MATCH("S2 MEAN",WTPCore2_LevelValues,0))</f>
        <v>1.3401602008677625E-5</v>
      </c>
      <c r="W12" s="879">
        <f ca="1">SUM(U12:V12)</f>
        <v>2.7887347833664542E-4</v>
      </c>
      <c r="X12" s="528">
        <f ca="1">E12*(S12-T12)</f>
        <v>546.90833333333342</v>
      </c>
      <c r="Y12" s="117">
        <f ca="1">INDEX(INDIRECT("CAM_WTPCore_"&amp;$B12&amp;"_UnitValues"),MATCH("COMBINED-NHH",WTPCore_Group,0),MATCH("MEAN",LMH,0))</f>
        <v>90.78014184397162</v>
      </c>
      <c r="Z12" s="117">
        <f ca="1">Y12*($S12-$T12)*(AllProps_CAM/NHHProps_CAM)</f>
        <v>10.666666666666668</v>
      </c>
      <c r="AA12" s="117">
        <f ca="1">INDEX(INDIRECT("CAM_WTPCore2_"&amp;$B12&amp;"_UnitValues"),2,MATCH("MEAN",LMH,0))</f>
        <v>12.15176348156276</v>
      </c>
      <c r="AB12" s="117">
        <f ca="1">AA12*($S12-$T12)*(AllProps_CAM/NHHProps_CAM)</f>
        <v>1.4278322090836244</v>
      </c>
      <c r="AC12" s="216">
        <f ca="1">X12*AA$16/X$15</f>
        <v>134.21957377441913</v>
      </c>
      <c r="AD12" s="341" t="str">
        <f>Q12</f>
        <v>Property affected</v>
      </c>
      <c r="AE12" s="534">
        <f ca="1">(AC12*NHHProps_CAM)/((S12-T12)*AllProps_CAM)</f>
        <v>1142.2942448886733</v>
      </c>
    </row>
    <row r="13" spans="1:31" x14ac:dyDescent="0.25">
      <c r="A13" s="9" t="s">
        <v>106</v>
      </c>
      <c r="B13" s="9" t="s">
        <v>319</v>
      </c>
      <c r="C13" s="9" t="str">
        <f>B13</f>
        <v>TempBan</v>
      </c>
      <c r="D13" s="514" t="s">
        <v>369</v>
      </c>
      <c r="E13" s="431">
        <f ca="1">INDEX(INDIRECT("ExtWTP19_"&amp;$C13&amp;"_UnitValues"),MATCH(A$11, INDIRECT("ExtWTP19_Comps_"&amp;C13),0),MATCH("NHH",ExtWTP_Group,0))</f>
        <v>30486</v>
      </c>
      <c r="F13" s="521">
        <f t="shared" ca="1" si="6"/>
        <v>2.5000000000000001E-2</v>
      </c>
      <c r="G13" s="521">
        <f t="shared" ca="1" si="6"/>
        <v>1.6666666666666666E-2</v>
      </c>
      <c r="H13" s="581">
        <f ca="1">INDEX(INDIRECT("SSW_WTPCore2_"&amp;$B13&amp;"_LevelValues"),2,MATCH("S1 MEAN",WTPCore2_LevelValues,0))</f>
        <v>1.0363458862342743E-3</v>
      </c>
      <c r="I13" s="581">
        <f ca="1">INDEX(INDIRECT("SSW_WTPCore2_"&amp;$B13&amp;"_LevelValues"),2,MATCH("S2 MEAN",WTPCore2_LevelValues,0))</f>
        <v>6.2724159084084235E-4</v>
      </c>
      <c r="J13" s="435">
        <f ca="1">SUM(H13:I13)</f>
        <v>1.6635874770751166E-3</v>
      </c>
      <c r="K13" s="602">
        <f ca="1">E13*(F13-G13)</f>
        <v>254.05000000000004</v>
      </c>
      <c r="L13" s="579">
        <f ca="1">INDEX(INDIRECT("SSW_WTPCore_DCE_"&amp;$B13&amp;"_UnitValues"),MATCH("COMBINED-NHH",WTPCore_Group,0),MATCH("MEAN",LMH,0))</f>
        <v>196425.59999999998</v>
      </c>
      <c r="M13" s="117">
        <f ca="1">L13*(F13-G13)/NHHProps_SSW*100</f>
        <v>4.4240000000000004</v>
      </c>
      <c r="N13" s="117">
        <f ca="1">INDEX(INDIRECT("SSW_WTPCore2_"&amp;$B13&amp;"_UnitValues"),2,MATCH("MEAN",LMH,0))</f>
        <v>326771.16833696596</v>
      </c>
      <c r="O13" s="117">
        <f ca="1">N13*(F13-G13)/NHHProps_SSW*100</f>
        <v>7.3597109985803151</v>
      </c>
      <c r="P13" s="437">
        <f t="shared" ref="P13:P14" ca="1" si="8">K13*N$16/K$15</f>
        <v>17.285011478773185</v>
      </c>
      <c r="Q13" s="615" t="s">
        <v>422</v>
      </c>
      <c r="R13" s="627">
        <f ca="1">P13*NHHProps_SSW/((F13-G13)*100)</f>
        <v>767454.5096575293</v>
      </c>
      <c r="S13" s="837">
        <f t="shared" ca="1" si="7"/>
        <v>0.02</v>
      </c>
      <c r="T13" s="837">
        <f t="shared" ca="1" si="7"/>
        <v>1.3333333333333334E-2</v>
      </c>
      <c r="U13" s="767">
        <f ca="1">INDEX(INDIRECT("CAM_WTPCore2_"&amp;$B13&amp;"_LevelValues"),2,MATCH("S1 MEAN",WTPCore2_LevelValues,0))</f>
        <v>1.3694025744847137E-3</v>
      </c>
      <c r="V13" s="767">
        <f ca="1">INDEX(INDIRECT("CAM_WTPCore2_"&amp;$B13&amp;"_LevelValues"),2,MATCH("S2 MEAN",WTPCore2_LevelValues,0))</f>
        <v>1.1073984405910726E-3</v>
      </c>
      <c r="W13" s="879">
        <f ca="1">SUM(U13:V13)</f>
        <v>2.4768010150757864E-3</v>
      </c>
      <c r="X13" s="528">
        <f ca="1">E13*(S13-T13)</f>
        <v>203.23999999999998</v>
      </c>
      <c r="Y13" s="117">
        <f ca="1">INDEX(INDIRECT("CAM_WTPCore_"&amp;$B13&amp;"_UnitValues"),MATCH("COMBINED-NHH",WTPCore_Group,0),MATCH("MEAN",LMH,0))</f>
        <v>1105919.9999999998</v>
      </c>
      <c r="Z13" s="117">
        <f ca="1">Y13*(S13-T13)/NHHProps_CAM*100</f>
        <v>73.72799999999998</v>
      </c>
      <c r="AA13" s="117">
        <f ca="1">INDEX(INDIRECT("CAM_WTPCore2_"&amp;$B13&amp;"_UnitValues"),2,MATCH("MEAN",LMH,0))</f>
        <v>190218.3179578204</v>
      </c>
      <c r="AB13" s="117">
        <f ca="1">AA13*(S13-T13)/NHHProps_CAM*100</f>
        <v>12.681221197188028</v>
      </c>
      <c r="AC13" s="216">
        <f t="shared" ref="AC13:AC14" ca="1" si="9">X13*AA$16/X$15</f>
        <v>49.878168810579957</v>
      </c>
      <c r="AD13" s="341" t="str">
        <f>Q13</f>
        <v>1% change in risk</v>
      </c>
      <c r="AE13" s="534">
        <f ca="1">(AC13*NHHProps_CAM)/((S13-T13)*100)</f>
        <v>748172.53215869935</v>
      </c>
    </row>
    <row r="14" spans="1:31" x14ac:dyDescent="0.25">
      <c r="A14" s="9" t="s">
        <v>3</v>
      </c>
      <c r="B14" s="9" t="s">
        <v>3</v>
      </c>
      <c r="C14" s="9" t="s">
        <v>3</v>
      </c>
      <c r="D14" s="514" t="s">
        <v>666</v>
      </c>
      <c r="E14" s="431">
        <f ca="1">INDEX(INDIRECT("ExtWTP19_"&amp;$C14&amp;"_UnitValues"),MATCH(A$11, INDIRECT("ExtWTP19_Comps_"&amp;C14),0),MATCH("NHH",ExtWTP_Group,0))</f>
        <v>11838937</v>
      </c>
      <c r="F14" s="598">
        <f t="shared" ca="1" si="6"/>
        <v>70.5</v>
      </c>
      <c r="G14" s="598">
        <f t="shared" ca="1" si="6"/>
        <v>35.25</v>
      </c>
      <c r="H14" s="581">
        <f ca="1">INDEX(INDIRECT("SSW_WTPCore2_"&amp;$B14&amp;"_LevelValues"),2,MATCH("S1 MEAN",WTPCore2_LevelValues,0))</f>
        <v>1.8366495603833657E-2</v>
      </c>
      <c r="I14" s="581">
        <f ca="1">INDEX(INDIRECT("SSW_WTPCore2_"&amp;$B14&amp;"_LevelValues"),2,MATCH("S2 MEAN",WTPCore2_LevelValues,0))</f>
        <v>6.6875105310339848E-3</v>
      </c>
      <c r="J14" s="435">
        <f ca="1">SUM(H14:I14)</f>
        <v>2.5054006134867642E-2</v>
      </c>
      <c r="K14" s="602">
        <f ca="1">E14*(F14-G14)/AllProps_SSW</f>
        <v>708.52721434634975</v>
      </c>
      <c r="L14" s="579">
        <f ca="1">INDEX(INDIRECT("SSW_WTPCore_DCE_"&amp;$B14&amp;"_UnitValues"),MATCH("COMBINED-NHH",WTPCore_Group,0),MATCH("MEAN",LMH,0))</f>
        <v>23218.156028368794</v>
      </c>
      <c r="M14" s="117">
        <f ca="1">L14*(F14-G14)/NHHProps_SSW</f>
        <v>22.12</v>
      </c>
      <c r="N14" s="117">
        <f ca="1">INDEX(INDIRECT("SSW_WTPCore2_"&amp;$B14&amp;"_UnitValues"),2,MATCH("MEAN",LMH,0))</f>
        <v>116341.56471501317</v>
      </c>
      <c r="O14" s="117">
        <f ca="1">N14*(F14-G14)/NHHProps_SSW</f>
        <v>110.83892314065444</v>
      </c>
      <c r="P14" s="437">
        <f t="shared" ca="1" si="8"/>
        <v>48.206656299940342</v>
      </c>
      <c r="Q14" s="615" t="s">
        <v>666</v>
      </c>
      <c r="R14" s="627">
        <f ca="1">P14*NHHProps_SSW/((F14-G14))</f>
        <v>50599.894555965751</v>
      </c>
      <c r="S14" s="844">
        <f t="shared" ca="1" si="7"/>
        <v>13.5</v>
      </c>
      <c r="T14" s="844">
        <f t="shared" ca="1" si="7"/>
        <v>6.75</v>
      </c>
      <c r="U14" s="767">
        <f ca="1">INDEX(INDIRECT("CAM_WTPCore2_"&amp;$B14&amp;"_LevelValues"),2,MATCH("S1 MEAN",WTPCore2_LevelValues,0))</f>
        <v>7.1569068986342493E-2</v>
      </c>
      <c r="V14" s="767">
        <f ca="1">INDEX(INDIRECT("CAM_WTPCore2_"&amp;$B14&amp;"_LevelValues"),2,MATCH("S2 MEAN",WTPCore2_LevelValues,0))</f>
        <v>3.5284810800562588E-2</v>
      </c>
      <c r="W14" s="879">
        <f ca="1">SUM(U14:V14)</f>
        <v>0.10685387978690508</v>
      </c>
      <c r="X14" s="528">
        <f ca="1">E14*(S14-T14)/AllProps_CAM</f>
        <v>566.75762234042554</v>
      </c>
      <c r="Y14" s="117">
        <f ca="1">INDEX(INDIRECT("CAM_WTPCore_"&amp;$B14&amp;"_UnitValues"),MATCH("COMBINED-NHH",WTPCore_Group,0),MATCH("MEAN",LMH,0))</f>
        <v>15170.37037037037</v>
      </c>
      <c r="Z14" s="117">
        <f ca="1">Y14*(S14-T14)/HHProps_CAM</f>
        <v>0.78167938931297709</v>
      </c>
      <c r="AA14" s="117">
        <f ca="1">INDEX(INDIRECT("CAM_WTPCore2_"&amp;$B14&amp;"_UnitValues"),2,MATCH("MEAN",LMH,0))</f>
        <v>810506.46593919117</v>
      </c>
      <c r="AB14" s="117">
        <f ca="1">AA14*(S14-T14)/NHHProps_CAM</f>
        <v>547.09186450895402</v>
      </c>
      <c r="AC14" s="216">
        <f t="shared" ca="1" si="9"/>
        <v>139.0908894006036</v>
      </c>
      <c r="AD14" s="615" t="s">
        <v>666</v>
      </c>
      <c r="AE14" s="627">
        <f ca="1">AC14*NHHProps_CAM/((S14-T14))</f>
        <v>206060.57688978311</v>
      </c>
    </row>
    <row r="15" spans="1:31" x14ac:dyDescent="0.25">
      <c r="D15" s="514"/>
      <c r="E15" s="431"/>
      <c r="F15" s="20"/>
      <c r="G15" s="20"/>
      <c r="H15" s="20"/>
      <c r="I15" s="20"/>
      <c r="J15" s="445">
        <f ca="1">SUM(J12:J14)*AvgNHHBill_SSW</f>
        <v>121.0601078835065</v>
      </c>
      <c r="K15" s="603">
        <f ca="1">SUM(K12:K14)</f>
        <v>1236.0313810130165</v>
      </c>
      <c r="L15" s="603"/>
      <c r="M15" s="446">
        <f ca="1">SUM(M11:M14)</f>
        <v>47.133685534591201</v>
      </c>
      <c r="N15" s="446"/>
      <c r="O15" s="446">
        <f ca="1">SUM(O11:O14)</f>
        <v>121.0601078835065</v>
      </c>
      <c r="P15" s="497">
        <f ca="1">SUM(P12:P14)</f>
        <v>84.096896709048849</v>
      </c>
      <c r="Q15" s="612"/>
      <c r="R15" s="628"/>
      <c r="S15" s="216"/>
      <c r="T15" s="216"/>
      <c r="U15" s="216"/>
      <c r="V15" s="216"/>
      <c r="W15" s="52">
        <f ca="1">SUM(W12:W14)*AvgNHHBill_CAM</f>
        <v>561.20091791522566</v>
      </c>
      <c r="X15" s="532">
        <f ca="1">SUM(X12:X14)</f>
        <v>1316.9059556737589</v>
      </c>
      <c r="Y15" s="532"/>
      <c r="Z15" s="446">
        <f ca="1">SUM(Z11:Z14)</f>
        <v>85.176346055979636</v>
      </c>
      <c r="AA15" s="446"/>
      <c r="AB15" s="289">
        <f ca="1">SUM(AB11:AB14)</f>
        <v>561.20091791522566</v>
      </c>
      <c r="AC15" s="52">
        <f ca="1">SUM(AC12:AC14)</f>
        <v>323.18863198560268</v>
      </c>
      <c r="AE15" s="534"/>
    </row>
    <row r="16" spans="1:31" s="60" customFormat="1" x14ac:dyDescent="0.25">
      <c r="D16" s="516"/>
      <c r="E16" s="523"/>
      <c r="F16" s="524"/>
      <c r="G16" s="524"/>
      <c r="H16" s="524"/>
      <c r="I16" s="524"/>
      <c r="J16" s="553"/>
      <c r="K16" s="45"/>
      <c r="L16" s="45"/>
      <c r="M16" s="830" t="s">
        <v>997</v>
      </c>
      <c r="N16" s="737">
        <f ca="1">AVERAGE(M15,O15)</f>
        <v>84.096896709048849</v>
      </c>
      <c r="O16" s="830"/>
      <c r="P16" s="45"/>
      <c r="Q16" s="613"/>
      <c r="R16" s="629"/>
      <c r="S16" s="44"/>
      <c r="T16" s="44"/>
      <c r="U16" s="44"/>
      <c r="V16" s="44"/>
      <c r="W16" s="835"/>
      <c r="X16" s="533"/>
      <c r="Y16" s="533"/>
      <c r="Z16" s="830" t="s">
        <v>997</v>
      </c>
      <c r="AA16" s="737">
        <f ca="1">AVERAGE(Z15,AB15)</f>
        <v>323.18863198560263</v>
      </c>
      <c r="AB16" s="830"/>
      <c r="AC16" s="45"/>
      <c r="AD16" s="45"/>
      <c r="AE16" s="535"/>
    </row>
    <row r="17" spans="1:31" s="65" customFormat="1" x14ac:dyDescent="0.25">
      <c r="A17" s="237" t="s">
        <v>173</v>
      </c>
      <c r="B17" s="237"/>
      <c r="C17" s="62"/>
      <c r="D17" s="515"/>
      <c r="E17" s="522"/>
      <c r="F17" s="448"/>
      <c r="G17" s="448"/>
      <c r="H17" s="497"/>
      <c r="I17" s="497"/>
      <c r="J17" s="497"/>
      <c r="K17" s="54"/>
      <c r="L17" s="54"/>
      <c r="M17" s="54"/>
      <c r="N17" s="54"/>
      <c r="O17" s="54"/>
      <c r="P17" s="54"/>
      <c r="Q17" s="614"/>
      <c r="R17" s="630"/>
      <c r="S17" s="54"/>
      <c r="T17" s="54"/>
      <c r="U17" s="53"/>
      <c r="V17" s="53"/>
      <c r="W17" s="53"/>
      <c r="X17" s="531"/>
      <c r="Y17" s="531"/>
      <c r="Z17" s="531"/>
      <c r="AA17" s="531"/>
      <c r="AB17" s="531"/>
      <c r="AC17" s="54"/>
      <c r="AE17" s="536"/>
    </row>
    <row r="18" spans="1:31" x14ac:dyDescent="0.25">
      <c r="A18" s="9" t="s">
        <v>25</v>
      </c>
      <c r="B18" s="9" t="s">
        <v>266</v>
      </c>
      <c r="C18" s="9" t="str">
        <f>B18</f>
        <v>Discolour</v>
      </c>
      <c r="D18" s="514" t="s">
        <v>369</v>
      </c>
      <c r="E18" s="431">
        <f t="shared" ref="E18:E27" ca="1" si="10">INDEX(INDIRECT("ExtWTP19_"&amp;$C18&amp;"_UnitValues"),MATCH(A$17, INDIRECT("ExtWTP19_Comps_"&amp;C18),0),MATCH("NHH",ExtWTP_Group,0))</f>
        <v>963</v>
      </c>
      <c r="F18" s="521">
        <f t="shared" ref="F18:G21" ca="1" si="11">INDEX(INDIRECT("SSW_WTPCore2_"&amp;$B18&amp;"_Levels"),2,MATCH(F$4,WTPCore2_AttLevels,0))</f>
        <v>6.6666666666666666E-2</v>
      </c>
      <c r="G18" s="521">
        <f t="shared" ca="1" si="11"/>
        <v>0.04</v>
      </c>
      <c r="H18" s="581">
        <f ca="1">INDEX(INDIRECT("SSW_WTPCore2_"&amp;$B18&amp;"_LevelValues"),2,MATCH("S1 MEAN",WTPCore2_LevelValues,0))</f>
        <v>1.9376915692789636E-2</v>
      </c>
      <c r="I18" s="581">
        <f ca="1">INDEX(INDIRECT("SSW_WTPCore2_"&amp;$B18&amp;"_LevelValues"),2,MATCH("S2 MEAN",WTPCore2_LevelValues,0))</f>
        <v>4.9841954334050795E-4</v>
      </c>
      <c r="J18" s="435">
        <f ca="1">SUM(H18:I18)</f>
        <v>1.9875335236130144E-2</v>
      </c>
      <c r="K18" s="602">
        <f t="shared" ref="K18:K23" ca="1" si="12">E18*(F18-G18)</f>
        <v>25.68</v>
      </c>
      <c r="L18" s="579">
        <f t="shared" ref="L18:L27" ca="1" si="13">INDEX(INDIRECT("SSW_WTPCore_DCE_"&amp;$B18&amp;"_UnitValues"),MATCH("COMBINED-NHH",WTPCore_Group,0),MATCH("MEAN",LMH,0))</f>
        <v>44.321585387272407</v>
      </c>
      <c r="M18" s="117">
        <f ca="1">L18*($F18-$G18)*(AllProps_SSW/NHHProps_SSW)</f>
        <v>18.81471264367816</v>
      </c>
      <c r="N18" s="117">
        <f ca="1">INDEX(INDIRECT("SSW_WTPCore2_"&amp;$B18&amp;"_UnitValues"),2,MATCH("MEAN",LMH,0))</f>
        <v>207.13203782671931</v>
      </c>
      <c r="O18" s="117">
        <f ca="1">N18*($F18-$G18)*(AllProps_SSW/NHHProps_SSW)</f>
        <v>87.928483084639765</v>
      </c>
      <c r="P18" s="437">
        <f ca="1">K18*N$29/K$28</f>
        <v>17.074735801038202</v>
      </c>
      <c r="Q18" s="611" t="s">
        <v>369</v>
      </c>
      <c r="R18" s="627">
        <f ca="1">P18*NHHProps_SSW/((F18-G18)*AllProps_SSW)</f>
        <v>40.222743504143473</v>
      </c>
      <c r="S18" s="837">
        <f t="shared" ref="S18:T21" ca="1" si="14">INDEX(INDIRECT("CAM_WTPCore2_"&amp;$B18&amp;"_Levels"),2,MATCH(S$4,WTPCore2_AttLevels,0))</f>
        <v>2.2222222222222223E-2</v>
      </c>
      <c r="T18" s="837">
        <f t="shared" ca="1" si="14"/>
        <v>1.5384615384615385E-2</v>
      </c>
      <c r="U18" s="767">
        <f ca="1">INDEX(INDIRECT("CAM_WTPCore2_"&amp;$B18&amp;"_LevelValues"),2,MATCH("S1 MEAN",WTPCore2_LevelValues,0))</f>
        <v>5.6414013673365619E-2</v>
      </c>
      <c r="V18" s="767">
        <f ca="1">INDEX(INDIRECT("CAM_WTPCore2_"&amp;$B18&amp;"_LevelValues"),2,MATCH("S2 MEAN",WTPCore2_LevelValues,0))</f>
        <v>1.4754621463399648E-4</v>
      </c>
      <c r="W18" s="879">
        <f ca="1">SUM(U18:V18)</f>
        <v>5.6561559887999616E-2</v>
      </c>
      <c r="X18" s="528">
        <f t="shared" ref="X18:X23" ca="1" si="15">E18*(S18-T18)</f>
        <v>6.5846153846153843</v>
      </c>
      <c r="Y18" s="117">
        <f t="shared" ref="Y18:Y27" ca="1" si="16">INDEX(INDIRECT("CAM_WTPCore_"&amp;$B18&amp;"_UnitValues"),MATCH("COMBINED-NHH",WTPCore_Group,0),MATCH("MEAN",LMH,0))</f>
        <v>290.49645390070918</v>
      </c>
      <c r="Z18" s="117">
        <f ca="1">Y18*($S18-$T18)*(AllProps_CAM/NHHProps_CAM)</f>
        <v>28.006837606837603</v>
      </c>
      <c r="AA18" s="117">
        <f ca="1">INDEX(INDIRECT("CAM_WTPCore2_"&amp;$B18&amp;"_UnitValues"),2,MATCH("MEAN",LMH,0))</f>
        <v>3003.7798612861075</v>
      </c>
      <c r="AB18" s="117">
        <f ca="1">AA18*($S18-$T18)*(AllProps_CAM/NHHProps_CAM)</f>
        <v>289.59518662655802</v>
      </c>
      <c r="AC18" s="216">
        <f ca="1">X18*AA$29/X$28</f>
        <v>16.53362965507392</v>
      </c>
      <c r="AD18" s="611" t="s">
        <v>369</v>
      </c>
      <c r="AE18" s="534">
        <f ca="1">(AC18*NHHProps_CAM)/((S18-T18)*AllProps_CAM)</f>
        <v>171.49243525209653</v>
      </c>
    </row>
    <row r="19" spans="1:31" x14ac:dyDescent="0.25">
      <c r="A19" s="9" t="s">
        <v>117</v>
      </c>
      <c r="B19" s="9" t="s">
        <v>265</v>
      </c>
      <c r="C19" s="9" t="str">
        <f>B19</f>
        <v>TasteSmell</v>
      </c>
      <c r="D19" s="514" t="s">
        <v>369</v>
      </c>
      <c r="E19" s="431">
        <f t="shared" ca="1" si="10"/>
        <v>2812</v>
      </c>
      <c r="F19" s="521">
        <f t="shared" ca="1" si="11"/>
        <v>1.6666666666666666E-2</v>
      </c>
      <c r="G19" s="521">
        <f t="shared" ca="1" si="11"/>
        <v>1.1111111111111112E-2</v>
      </c>
      <c r="H19" s="581">
        <f ca="1">INDEX(INDIRECT("SSW_WTPCore2_"&amp;$B19&amp;"_LevelValues"),2,MATCH("S1 MEAN",WTPCore2_LevelValues,0))</f>
        <v>3.6865032727528453E-3</v>
      </c>
      <c r="I19" s="581">
        <f ca="1">INDEX(INDIRECT("SSW_WTPCore2_"&amp;$B19&amp;"_LevelValues"),2,MATCH("S2 MEAN",WTPCore2_LevelValues,0))</f>
        <v>5.1592292451456759E-6</v>
      </c>
      <c r="J19" s="435">
        <f ca="1">SUM(H19:I19)</f>
        <v>3.691662501997991E-3</v>
      </c>
      <c r="K19" s="602">
        <f t="shared" ca="1" si="12"/>
        <v>15.62222222222222</v>
      </c>
      <c r="L19" s="579">
        <f t="shared" ca="1" si="13"/>
        <v>70.914536619635854</v>
      </c>
      <c r="M19" s="117">
        <f ca="1">L19*($F19-$G19)*(AllProps_SSW/NHHProps_SSW)</f>
        <v>6.2715708812260527</v>
      </c>
      <c r="N19" s="117">
        <f ca="1">INDEX(INDIRECT("SSW_WTPCore2_"&amp;$B19&amp;"_UnitValues"),2,MATCH("MEAN",LMH,0))</f>
        <v>184.66986976717914</v>
      </c>
      <c r="O19" s="117">
        <f ca="1">N19*($F19-$G19)*(AllProps_SSW/NHHProps_SSW)</f>
        <v>16.331914908839117</v>
      </c>
      <c r="P19" s="437">
        <f t="shared" ref="P19:P27" ca="1" si="17">K19*N$29/K$28</f>
        <v>10.38727870208537</v>
      </c>
      <c r="Q19" s="611" t="s">
        <v>369</v>
      </c>
      <c r="R19" s="627">
        <f ca="1">P19*NHHProps_SSW/((F19-G19)*AllProps_SSW)</f>
        <v>117.45208175872422</v>
      </c>
      <c r="S19" s="837">
        <f t="shared" ca="1" si="14"/>
        <v>1.4285714285714285E-2</v>
      </c>
      <c r="T19" s="837">
        <f t="shared" ca="1" si="14"/>
        <v>0.01</v>
      </c>
      <c r="U19" s="767">
        <f ca="1">INDEX(INDIRECT("CAM_WTPCore2_"&amp;$B19&amp;"_LevelValues"),2,MATCH("S1 MEAN",WTPCore2_LevelValues,0))</f>
        <v>4.257264223936371E-2</v>
      </c>
      <c r="V19" s="767">
        <f ca="1">INDEX(INDIRECT("CAM_WTPCore2_"&amp;$B19&amp;"_LevelValues"),2,MATCH("S2 MEAN",WTPCore2_LevelValues,0))</f>
        <v>1.0971349631991048E-2</v>
      </c>
      <c r="W19" s="879">
        <f ca="1">SUM(U19:V19)</f>
        <v>5.3543991871354758E-2</v>
      </c>
      <c r="X19" s="528">
        <f t="shared" ca="1" si="15"/>
        <v>12.05142857142857</v>
      </c>
      <c r="Y19" s="117">
        <f t="shared" ca="1" si="16"/>
        <v>181.56028368794324</v>
      </c>
      <c r="Z19" s="117">
        <f ca="1">Y19*($S19-$T19)*(AllProps_CAM/NHHProps_CAM)</f>
        <v>10.971428571428568</v>
      </c>
      <c r="AA19" s="117">
        <f ca="1">INDEX(INDIRECT("CAM_WTPCore2_"&amp;$B19&amp;"_UnitValues"),2,MATCH("MEAN",LMH,0))</f>
        <v>4536.682431842446</v>
      </c>
      <c r="AB19" s="117">
        <f ca="1">AA19*($S19-$T19)*(AllProps_CAM/NHHProps_CAM)</f>
        <v>274.1452383813363</v>
      </c>
      <c r="AC19" s="216">
        <f t="shared" ref="AC19:AC27" ca="1" si="18">X19*AA$29/X$28</f>
        <v>30.26051563772775</v>
      </c>
      <c r="AD19" s="611" t="s">
        <v>369</v>
      </c>
      <c r="AE19" s="534">
        <f ca="1">(AC19*NHHProps_CAM)/((S19-T19)*AllProps_CAM)</f>
        <v>500.76503419407629</v>
      </c>
    </row>
    <row r="20" spans="1:31" x14ac:dyDescent="0.25">
      <c r="A20" s="9" t="s">
        <v>183</v>
      </c>
      <c r="B20" s="9" t="s">
        <v>269</v>
      </c>
      <c r="C20" s="9" t="s">
        <v>332</v>
      </c>
      <c r="D20" s="514" t="s">
        <v>369</v>
      </c>
      <c r="E20" s="431">
        <f t="shared" ca="1" si="10"/>
        <v>12997</v>
      </c>
      <c r="F20" s="521">
        <f t="shared" ca="1" si="11"/>
        <v>1.2500000000000001E-2</v>
      </c>
      <c r="G20" s="521">
        <f t="shared" ca="1" si="11"/>
        <v>8.3333333333333332E-3</v>
      </c>
      <c r="H20" s="581">
        <f ca="1">INDEX(INDIRECT("SSW_WTPCore2_"&amp;$B20&amp;"_LevelValues"),2,MATCH("S1 MEAN",WTPCore2_LevelValues,0))</f>
        <v>2.3562800507588295E-4</v>
      </c>
      <c r="I20" s="581">
        <f ca="1">INDEX(INDIRECT("SSW_WTPCore2_"&amp;$B20&amp;"_LevelValues"),2,MATCH("S2 MEAN",WTPCore2_LevelValues,0))</f>
        <v>4.1117889914467278E-4</v>
      </c>
      <c r="J20" s="435">
        <f ca="1">SUM(H20:I20)</f>
        <v>6.4680690422055573E-4</v>
      </c>
      <c r="K20" s="602">
        <f t="shared" ca="1" si="12"/>
        <v>54.154166666666676</v>
      </c>
      <c r="L20" s="579">
        <f t="shared" ca="1" si="13"/>
        <v>310.41834897651921</v>
      </c>
      <c r="M20" s="117">
        <f ca="1">L20*($F20-$G20)*(AllProps_SSW/NHHProps_SSW)</f>
        <v>20.589685534591201</v>
      </c>
      <c r="N20" s="117">
        <f ca="1">INDEX(INDIRECT("SSW_WTPCore2_"&amp;$B20&amp;"_UnitValues"),2,MATCH("MEAN",LMH,0))</f>
        <v>43.140724701414321</v>
      </c>
      <c r="O20" s="117">
        <f ca="1">N20*($F20-$G20)*(AllProps_SSW/NHHProps_SSW)</f>
        <v>2.8614737442717391</v>
      </c>
      <c r="P20" s="437">
        <f t="shared" ca="1" si="17"/>
        <v>36.007324313034388</v>
      </c>
      <c r="Q20" s="611" t="s">
        <v>369</v>
      </c>
      <c r="R20" s="627">
        <f ca="1">P20*NHHProps_SSW/((F20-G20)*AllProps_SSW)</f>
        <v>542.86084872622291</v>
      </c>
      <c r="S20" s="837">
        <f t="shared" ca="1" si="14"/>
        <v>2.5000000000000001E-2</v>
      </c>
      <c r="T20" s="837">
        <f t="shared" ca="1" si="14"/>
        <v>1.6666666666666666E-2</v>
      </c>
      <c r="U20" s="767">
        <f ca="1">INDEX(INDIRECT("CAM_WTPCore2_"&amp;$B20&amp;"_LevelValues"),2,MATCH("S1 MEAN",WTPCore2_LevelValues,0))</f>
        <v>2.654718763279678E-4</v>
      </c>
      <c r="V20" s="767">
        <f ca="1">INDEX(INDIRECT("CAM_WTPCore2_"&amp;$B20&amp;"_LevelValues"),2,MATCH("S2 MEAN",WTPCore2_LevelValues,0))</f>
        <v>1.3401602008677625E-5</v>
      </c>
      <c r="W20" s="879">
        <f ca="1">SUM(U20:V20)</f>
        <v>2.7887347833664542E-4</v>
      </c>
      <c r="X20" s="528">
        <f t="shared" ca="1" si="15"/>
        <v>108.30833333333335</v>
      </c>
      <c r="Y20" s="117">
        <f t="shared" ca="1" si="16"/>
        <v>90.78014184397162</v>
      </c>
      <c r="Z20" s="117">
        <f ca="1">Y20*($S20-$T20)*(AllProps_CAM/NHHProps_CAM)</f>
        <v>10.666666666666668</v>
      </c>
      <c r="AA20" s="117">
        <f ca="1">INDEX(INDIRECT("CAM_WTPCore2_"&amp;$B20&amp;"_UnitValues"),2,MATCH("MEAN",LMH,0))</f>
        <v>12.15176348156276</v>
      </c>
      <c r="AB20" s="117">
        <f ca="1">AA20*($S20-$T20)*(AllProps_CAM/NHHProps_CAM)</f>
        <v>1.4278322090836244</v>
      </c>
      <c r="AC20" s="216">
        <f t="shared" ca="1" si="18"/>
        <v>271.95663942279452</v>
      </c>
      <c r="AD20" s="611" t="s">
        <v>369</v>
      </c>
      <c r="AE20" s="534">
        <f ca="1">(AC20*NHHProps_CAM)/((S20-T20)*AllProps_CAM)</f>
        <v>2314.5245908322936</v>
      </c>
    </row>
    <row r="21" spans="1:31" x14ac:dyDescent="0.25">
      <c r="A21" s="9" t="s">
        <v>330</v>
      </c>
      <c r="B21" s="9" t="s">
        <v>319</v>
      </c>
      <c r="C21" s="9" t="str">
        <f>B21</f>
        <v>TempBan</v>
      </c>
      <c r="D21" s="514" t="s">
        <v>369</v>
      </c>
      <c r="E21" s="431">
        <f t="shared" ca="1" si="10"/>
        <v>3097</v>
      </c>
      <c r="F21" s="521">
        <f t="shared" ca="1" si="11"/>
        <v>2.5000000000000001E-2</v>
      </c>
      <c r="G21" s="521">
        <f t="shared" ca="1" si="11"/>
        <v>1.6666666666666666E-2</v>
      </c>
      <c r="H21" s="581">
        <f ca="1">INDEX(INDIRECT("SSW_WTPCore2_"&amp;$B21&amp;"_LevelValues"),2,MATCH("S1 MEAN",WTPCore2_LevelValues,0))</f>
        <v>1.0363458862342743E-3</v>
      </c>
      <c r="I21" s="581">
        <f ca="1">INDEX(INDIRECT("SSW_WTPCore2_"&amp;$B21&amp;"_LevelValues"),2,MATCH("S2 MEAN",WTPCore2_LevelValues,0))</f>
        <v>6.2724159084084235E-4</v>
      </c>
      <c r="J21" s="435">
        <f ca="1">SUM(H21:I21)</f>
        <v>1.6635874770751166E-3</v>
      </c>
      <c r="K21" s="602">
        <f t="shared" ca="1" si="12"/>
        <v>25.808333333333337</v>
      </c>
      <c r="L21" s="579">
        <f t="shared" ca="1" si="13"/>
        <v>196425.59999999998</v>
      </c>
      <c r="M21" s="117">
        <f ca="1">L21*(F21-G21)/NHHProps_SSW*100</f>
        <v>4.4240000000000004</v>
      </c>
      <c r="N21" s="117">
        <f ca="1">INDEX(INDIRECT("SSW_WTPCore2_"&amp;$B21&amp;"_UnitValues"),2,MATCH("MEAN",LMH,0))</f>
        <v>326771.16833696596</v>
      </c>
      <c r="O21" s="117">
        <f ca="1">N21*(F21-G21)/NHHProps_SSW*100</f>
        <v>7.3597109985803151</v>
      </c>
      <c r="P21" s="437">
        <f t="shared" ca="1" si="17"/>
        <v>17.160065153107254</v>
      </c>
      <c r="Q21" s="611" t="s">
        <v>422</v>
      </c>
      <c r="R21" s="627">
        <f ca="1">P21*NHHProps_SSW/((F21-G21)*100)</f>
        <v>761906.89279796195</v>
      </c>
      <c r="S21" s="837">
        <f t="shared" ca="1" si="14"/>
        <v>0.02</v>
      </c>
      <c r="T21" s="837">
        <f t="shared" ca="1" si="14"/>
        <v>1.3333333333333334E-2</v>
      </c>
      <c r="U21" s="767">
        <f ca="1">INDEX(INDIRECT("CAM_WTPCore2_"&amp;$B21&amp;"_LevelValues"),2,MATCH("S1 MEAN",WTPCore2_LevelValues,0))</f>
        <v>1.3694025744847137E-3</v>
      </c>
      <c r="V21" s="767">
        <f ca="1">INDEX(INDIRECT("CAM_WTPCore2_"&amp;$B21&amp;"_LevelValues"),2,MATCH("S2 MEAN",WTPCore2_LevelValues,0))</f>
        <v>1.1073984405910726E-3</v>
      </c>
      <c r="W21" s="879">
        <f t="shared" ref="W21:W27" ca="1" si="19">SUM(U21:V21)</f>
        <v>2.4768010150757864E-3</v>
      </c>
      <c r="X21" s="528">
        <f t="shared" ca="1" si="15"/>
        <v>20.646666666666665</v>
      </c>
      <c r="Y21" s="117">
        <f t="shared" ca="1" si="16"/>
        <v>1105919.9999999998</v>
      </c>
      <c r="Z21" s="117">
        <f ca="1">Y21*(S21-T21)/NHHProps_CAM*100</f>
        <v>73.72799999999998</v>
      </c>
      <c r="AA21" s="117">
        <f ca="1">INDEX(INDIRECT("CAM_WTPCore2_"&amp;$B21&amp;"_UnitValues"),2,MATCH("MEAN",LMH,0))</f>
        <v>190218.3179578204</v>
      </c>
      <c r="AB21" s="117">
        <f ca="1">AA21*(S21-T21)/NHHProps_CAM*100</f>
        <v>12.681221197188028</v>
      </c>
      <c r="AC21" s="216">
        <f t="shared" ca="1" si="18"/>
        <v>51.842715229200238</v>
      </c>
      <c r="AD21" s="611" t="s">
        <v>422</v>
      </c>
      <c r="AE21" s="627">
        <f ca="1">AC21*NHHProps_CAM/((S21-T21)*100)</f>
        <v>777640.72843800369</v>
      </c>
    </row>
    <row r="22" spans="1:31" x14ac:dyDescent="0.25">
      <c r="A22" s="9" t="s">
        <v>615</v>
      </c>
      <c r="B22" s="9" t="s">
        <v>323</v>
      </c>
      <c r="C22" s="9" t="str">
        <f t="shared" ref="C22:C27" si="20">B22</f>
        <v>Drought</v>
      </c>
      <c r="D22" s="514" t="s">
        <v>369</v>
      </c>
      <c r="E22" s="431">
        <f t="shared" ca="1" si="10"/>
        <v>1770</v>
      </c>
      <c r="F22" s="521">
        <f t="shared" ref="F22:G26" ca="1" si="21">INDEX(INDIRECT("SSW_WTPCore_DCE_"&amp;$B22&amp;"_Levels"),MATCH("COMBINED-NHH",WTPCore_Group,0),MATCH(F$4,WTPCore_AttLevels,0))</f>
        <v>1.2500000000000001E-2</v>
      </c>
      <c r="G22" s="521">
        <v>8.3000000000000001E-3</v>
      </c>
      <c r="H22" s="581">
        <f t="shared" ref="H22:H26" ca="1" si="22">INDEX(INDIRECT("SSW_WTPCore_DCE_"&amp;$B22&amp;"_LevelValues"),MATCH("COMBINED-NHH",WTPCore_Group,0),MATCH("S1 MEAN",WTPCore_LevelValues,0))</f>
        <v>1E-3</v>
      </c>
      <c r="I22" s="581">
        <f t="shared" ref="I22:I26" ca="1" si="23">INDEX(INDIRECT("SSW_WTPCore_DCE_"&amp;$B22&amp;"_LevelValues"),MATCH("COMBINED-NHH",WTPCore_Group,0),MATCH("S2 MEAN",WTPCore_LevelValues,0))</f>
        <v>8.0000000000000002E-3</v>
      </c>
      <c r="J22" s="435">
        <f ca="1">H22</f>
        <v>1E-3</v>
      </c>
      <c r="K22" s="602">
        <f t="shared" ca="1" si="12"/>
        <v>7.4340000000000011</v>
      </c>
      <c r="L22" s="579">
        <f t="shared" ca="1" si="13"/>
        <v>392851.19999999995</v>
      </c>
      <c r="M22" s="117">
        <f ca="1">L22*(F22-G22)/NHHProps_SSW*100</f>
        <v>4.4593920000000002</v>
      </c>
      <c r="N22" s="117">
        <f ca="1">L22</f>
        <v>392851.19999999995</v>
      </c>
      <c r="O22" s="117">
        <f ca="1">N22*(F22-G22)/NHHProps_SSW*100</f>
        <v>4.4593920000000002</v>
      </c>
      <c r="P22" s="437">
        <f t="shared" ca="1" si="17"/>
        <v>4.9428966489454051</v>
      </c>
      <c r="Q22" s="611" t="s">
        <v>422</v>
      </c>
      <c r="R22" s="627">
        <f ca="1">P22*NHHProps_SSW/((F22-G22)*100)</f>
        <v>435445.6571689999</v>
      </c>
      <c r="S22" s="16">
        <f t="shared" ref="S22:T26" ca="1" si="24">INDEX(INDIRECT("CAM_WTPCore_"&amp;$B22&amp;"_Levels"),MATCH("COMBINED-NHH",WTPCore_Group,0),MATCH(S$4,WTPCore_AttLevels,0))</f>
        <v>1.2500000000000001E-2</v>
      </c>
      <c r="T22" s="16">
        <v>8.3000000000000001E-3</v>
      </c>
      <c r="U22" s="587">
        <f t="shared" ref="U22:U26" ca="1" si="25">INDEX(INDIRECT("CAM_WTPCore_"&amp;$B22&amp;"_LevelValues"),MATCH("COMBINED-NHH",WTPCore_Group,0),MATCH("S1 MEAN",WTPCore_LevelValues,0))</f>
        <v>9.1158062540521636E-3</v>
      </c>
      <c r="V22" s="587">
        <f t="shared" ref="V22:V26" ca="1" si="26">INDEX(INDIRECT("CAM_WTPCore_"&amp;$B22&amp;"_LevelValues"),MATCH("COMBINED-NHH",WTPCore_Group,0),MATCH("S2 MEAN",WTPCore_LevelValues,0))</f>
        <v>2.0400790621022298E-3</v>
      </c>
      <c r="W22" s="879">
        <f ca="1">U22</f>
        <v>9.1158062540521636E-3</v>
      </c>
      <c r="X22" s="528">
        <f t="shared" ca="1" si="15"/>
        <v>7.4340000000000011</v>
      </c>
      <c r="Y22" s="117">
        <f t="shared" ca="1" si="16"/>
        <v>1120150.2724979296</v>
      </c>
      <c r="Z22" s="117">
        <f ca="1">Y22*(S22-T22)/NHHProps_CAM*100</f>
        <v>47.046311444913052</v>
      </c>
      <c r="AA22" s="117">
        <f ca="1">Y22</f>
        <v>1120150.2724979296</v>
      </c>
      <c r="AB22" s="117">
        <f ca="1">AA22*(S22-T22)/NHHProps_CAM*100</f>
        <v>47.046311444913052</v>
      </c>
      <c r="AC22" s="216">
        <f ca="1">X22*AA$29/X$28</f>
        <v>18.6663906206268</v>
      </c>
      <c r="AD22" s="611" t="s">
        <v>422</v>
      </c>
      <c r="AE22" s="627">
        <f ca="1">AC22*NHHProps_CAM/((S22-T22)*100)</f>
        <v>444437.87191968568</v>
      </c>
    </row>
    <row r="23" spans="1:31" x14ac:dyDescent="0.25">
      <c r="A23" s="9" t="s">
        <v>185</v>
      </c>
      <c r="B23" s="9" t="s">
        <v>270</v>
      </c>
      <c r="C23" s="9" t="str">
        <f t="shared" si="20"/>
        <v>LowPressure</v>
      </c>
      <c r="D23" s="514" t="s">
        <v>369</v>
      </c>
      <c r="E23" s="431">
        <f t="shared" ca="1" si="10"/>
        <v>1792</v>
      </c>
      <c r="F23" s="521">
        <f t="shared" ref="F23:G25" ca="1" si="27">INDEX(INDIRECT("SSW_WTPCore2_"&amp;$B23&amp;"_Levels"),2,MATCH(F$4,WTPCore2_AttLevels,0))</f>
        <v>0.1</v>
      </c>
      <c r="G23" s="521">
        <f t="shared" ca="1" si="27"/>
        <v>6.6666666666666666E-2</v>
      </c>
      <c r="H23" s="581">
        <f ca="1">INDEX(INDIRECT("SSW_WTPCore2_"&amp;$B23&amp;"_LevelValues"),2,MATCH("S1 MEAN",WTPCore2_LevelValues,0))</f>
        <v>6.9813125314618224E-5</v>
      </c>
      <c r="I23" s="581">
        <f ca="1">INDEX(INDIRECT("SSW_WTPCore2_"&amp;$B23&amp;"_LevelValues"),2,MATCH("S2 MEAN",WTPCore2_LevelValues,0))</f>
        <v>4.2539865887973236E-4</v>
      </c>
      <c r="J23" s="435">
        <f t="shared" ref="J23:J27" ca="1" si="28">SUM(H23:I23)</f>
        <v>4.9521178419435058E-4</v>
      </c>
      <c r="K23" s="602">
        <f t="shared" ca="1" si="12"/>
        <v>59.733333333333348</v>
      </c>
      <c r="L23" s="579">
        <f t="shared" ca="1" si="13"/>
        <v>38.286305674962968</v>
      </c>
      <c r="M23" s="117">
        <f ca="1">L23*($F23-$G23)*(AllProps_SSW/NHHProps_SSW)</f>
        <v>20.315886524822695</v>
      </c>
      <c r="N23" s="117">
        <f ca="1">INDEX(INDIRECT("SSW_WTPCore2_"&amp;$B23&amp;"_UnitValues"),2,MATCH("MEAN",LMH,0))</f>
        <v>4.12870423758259</v>
      </c>
      <c r="O23" s="117">
        <f ca="1">N23*($F23-$G23)*(AllProps_SSW/NHHProps_SSW)</f>
        <v>2.1908169332758072</v>
      </c>
      <c r="P23" s="437">
        <f t="shared" ca="1" si="17"/>
        <v>39.716934781231132</v>
      </c>
      <c r="Q23" s="611" t="s">
        <v>369</v>
      </c>
      <c r="R23" s="627">
        <f ca="1">P23*NHHProps_SSW/((F23-G23)*AllProps_SSW)</f>
        <v>74.848552813525558</v>
      </c>
      <c r="S23" s="837">
        <f t="shared" ref="S23:T25" ca="1" si="29">INDEX(INDIRECT("CAM_WTPCore2_"&amp;$B23&amp;"_Levels"),2,MATCH(S$4,WTPCore2_AttLevels,0))</f>
        <v>9.0909090909090912E-2</v>
      </c>
      <c r="T23" s="837">
        <f t="shared" ca="1" si="29"/>
        <v>6.6666666666666666E-2</v>
      </c>
      <c r="U23" s="767">
        <f ca="1">INDEX(INDIRECT("CAM_WTPCore2_"&amp;$B23&amp;"_LevelValues"),2,MATCH("S1 MEAN",WTPCore2_LevelValues,0))</f>
        <v>4.8585541264324922E-5</v>
      </c>
      <c r="V23" s="767">
        <f ca="1">INDEX(INDIRECT("CAM_WTPCore2_"&amp;$B23&amp;"_LevelValues"),2,MATCH("S2 MEAN",WTPCore2_LevelValues,0))</f>
        <v>4.7427328754792901E-3</v>
      </c>
      <c r="W23" s="879">
        <f t="shared" ca="1" si="19"/>
        <v>4.7913184167436155E-3</v>
      </c>
      <c r="X23" s="528">
        <f t="shared" ca="1" si="15"/>
        <v>43.442424242424252</v>
      </c>
      <c r="Y23" s="117">
        <f t="shared" ca="1" si="16"/>
        <v>23.177908555907649</v>
      </c>
      <c r="Z23" s="117">
        <f ca="1">Y23*($S23-$T23)*(AllProps_CAM/NHHProps_CAM)</f>
        <v>7.9226305609284342</v>
      </c>
      <c r="AA23" s="117">
        <f ca="1">INDEX(INDIRECT("CAM_WTPCore2_"&amp;$B23&amp;"_UnitValues"),2,MATCH("MEAN",LMH,0))</f>
        <v>71.767833306117126</v>
      </c>
      <c r="AB23" s="117">
        <f ca="1">AA23*($S23-$T23)*(AllProps_CAM/NHHProps_CAM)</f>
        <v>24.53155029372731</v>
      </c>
      <c r="AC23" s="216">
        <f t="shared" ca="1" si="18"/>
        <v>109.08168690019885</v>
      </c>
      <c r="AD23" s="611" t="s">
        <v>369</v>
      </c>
      <c r="AE23" s="627">
        <f ca="1">AC23*NHHProps_CAM/((S23-T23)*AllProps_CAM)</f>
        <v>319.12195635696469</v>
      </c>
    </row>
    <row r="24" spans="1:31" x14ac:dyDescent="0.25">
      <c r="A24" s="9" t="s">
        <v>3</v>
      </c>
      <c r="B24" s="9" t="s">
        <v>3</v>
      </c>
      <c r="C24" s="9" t="str">
        <f t="shared" si="20"/>
        <v>Leakage</v>
      </c>
      <c r="D24" s="514" t="s">
        <v>666</v>
      </c>
      <c r="E24" s="431">
        <f t="shared" ca="1" si="10"/>
        <v>1379870</v>
      </c>
      <c r="F24" s="600">
        <f t="shared" ca="1" si="27"/>
        <v>70.5</v>
      </c>
      <c r="G24" s="600">
        <f t="shared" ca="1" si="27"/>
        <v>35.25</v>
      </c>
      <c r="H24" s="581">
        <f ca="1">INDEX(INDIRECT("SSW_WTPCore2_"&amp;$B24&amp;"_LevelValues"),2,MATCH("S1 MEAN",WTPCore2_LevelValues,0))</f>
        <v>1.8366495603833657E-2</v>
      </c>
      <c r="I24" s="581">
        <f ca="1">INDEX(INDIRECT("SSW_WTPCore2_"&amp;$B24&amp;"_LevelValues"),2,MATCH("S2 MEAN",WTPCore2_LevelValues,0))</f>
        <v>6.6875105310339848E-3</v>
      </c>
      <c r="J24" s="435">
        <f t="shared" ca="1" si="28"/>
        <v>2.5054006134867642E-2</v>
      </c>
      <c r="K24" s="602">
        <f ca="1">E24*(F24-G24)/AllProps_SSW</f>
        <v>82.581353989813238</v>
      </c>
      <c r="L24" s="579">
        <f t="shared" ca="1" si="13"/>
        <v>23218.156028368794</v>
      </c>
      <c r="M24" s="117">
        <f ca="1">L24*(F24-G24)/NHHProps_SSW</f>
        <v>22.12</v>
      </c>
      <c r="N24" s="117">
        <f ca="1">INDEX(INDIRECT("SSW_WTPCore2_"&amp;$B24&amp;"_UnitValues"),2,MATCH("MEAN",LMH,0))</f>
        <v>116341.56471501317</v>
      </c>
      <c r="O24" s="117">
        <f ca="1">N24*(F24-G24)/NHHProps_SSW</f>
        <v>110.83892314065444</v>
      </c>
      <c r="P24" s="437">
        <f t="shared" ca="1" si="17"/>
        <v>54.90867606962901</v>
      </c>
      <c r="Q24" s="611" t="s">
        <v>666</v>
      </c>
      <c r="R24" s="627">
        <f ca="1">P24*NHHProps_SSW/((F24-G24))</f>
        <v>57634.638711383639</v>
      </c>
      <c r="S24" s="844">
        <f t="shared" ca="1" si="29"/>
        <v>13.5</v>
      </c>
      <c r="T24" s="844">
        <f t="shared" ca="1" si="29"/>
        <v>6.75</v>
      </c>
      <c r="U24" s="581">
        <f ca="1">INDEX(INDIRECT("CAM_WTPCore2_"&amp;$B24&amp;"_LevelValues"),2,MATCH("S1 MEAN",WTPCore2_LevelValues,0))</f>
        <v>7.1569068986342493E-2</v>
      </c>
      <c r="V24" s="581">
        <f ca="1">INDEX(INDIRECT("CAM_WTPCore2_"&amp;$B24&amp;"_LevelValues"),2,MATCH("S2 MEAN",WTPCore2_LevelValues,0))</f>
        <v>3.5284810800562588E-2</v>
      </c>
      <c r="W24" s="879">
        <f t="shared" ca="1" si="19"/>
        <v>0.10685387978690508</v>
      </c>
      <c r="X24" s="528">
        <f ca="1">E24*(S24-T24)/AllProps_CAM</f>
        <v>66.057606382978719</v>
      </c>
      <c r="Y24" s="579">
        <f ca="1">INDEX(INDIRECT("CAM_WTPCore_"&amp;$B24&amp;"_UnitValues"),MATCH("COMBINED-NHH",WTPCore_Group,0),MATCH("MEAN",LMH,0))</f>
        <v>15170.37037037037</v>
      </c>
      <c r="Z24" s="117">
        <f ca="1">Y24*(S24-T24)/NHHProps_CAM</f>
        <v>10.24</v>
      </c>
      <c r="AA24" s="117">
        <f ca="1">INDEX(INDIRECT("CAM_WTPCore2_"&amp;$B24&amp;"_UnitValues"),2,MATCH("MEAN",LMH,0))</f>
        <v>810506.46593919117</v>
      </c>
      <c r="AB24" s="117">
        <f ca="1">AA24*(S24-T24)/NHHProps_CAM</f>
        <v>547.09186450895402</v>
      </c>
      <c r="AC24" s="216">
        <f t="shared" ca="1" si="18"/>
        <v>165.86724296587178</v>
      </c>
      <c r="AD24" s="611" t="s">
        <v>666</v>
      </c>
      <c r="AE24" s="627">
        <f ca="1">AC24*NHHProps_CAM/((S24-T24))</f>
        <v>245729.24883832855</v>
      </c>
    </row>
    <row r="25" spans="1:31" x14ac:dyDescent="0.25">
      <c r="A25" s="9" t="s">
        <v>669</v>
      </c>
      <c r="B25" s="9" t="s">
        <v>315</v>
      </c>
      <c r="C25" s="9" t="str">
        <f t="shared" si="20"/>
        <v>Wildlife</v>
      </c>
      <c r="D25" s="514" t="s">
        <v>397</v>
      </c>
      <c r="E25" s="431">
        <f t="shared" ca="1" si="10"/>
        <v>117258</v>
      </c>
      <c r="F25" s="600">
        <f t="shared" ca="1" si="27"/>
        <v>0</v>
      </c>
      <c r="G25" s="600">
        <f t="shared" ca="1" si="27"/>
        <v>50</v>
      </c>
      <c r="H25" s="581">
        <f ca="1">INDEX(INDIRECT("SSW_WTPCore2_"&amp;$B25&amp;"_LevelValues"),2,MATCH("S1 MEAN",WTPCore2_LevelValues,0))</f>
        <v>3.6163448555426433E-4</v>
      </c>
      <c r="I25" s="581">
        <f ca="1">INDEX(INDIRECT("SSW_WTPCore2_"&amp;$B25&amp;"_LevelValues"),2,MATCH("S2 MEAN",WTPCore2_LevelValues,0))</f>
        <v>1.464595009466312E-3</v>
      </c>
      <c r="J25" s="435">
        <f t="shared" ca="1" si="28"/>
        <v>1.8262294950205764E-3</v>
      </c>
      <c r="K25" s="602">
        <f ca="1">-E25*(F25-G25)/AllProps_SSW</f>
        <v>9.9539898132427851</v>
      </c>
      <c r="L25" s="579">
        <f t="shared" ca="1" si="13"/>
        <v>8184.4</v>
      </c>
      <c r="M25" s="117">
        <f ca="1">-L25*(F25-G25)/NHHProps_SSW</f>
        <v>11.06</v>
      </c>
      <c r="N25" s="117">
        <f ca="1">INDEX(INDIRECT("SSW_WTPCore2_"&amp;$B25&amp;"_UnitValues"),2,MATCH("MEAN",LMH,0))</f>
        <v>5978.637071618562</v>
      </c>
      <c r="O25" s="117">
        <f ca="1">-N25*(F25-G25)/NHHProps_SSW</f>
        <v>8.0792392859710294</v>
      </c>
      <c r="P25" s="437">
        <f t="shared" ca="1" si="17"/>
        <v>6.6184480618125443</v>
      </c>
      <c r="Q25" s="611" t="s">
        <v>397</v>
      </c>
      <c r="R25" s="627">
        <f ca="1">-P25*NHHProps_SSW/((F25-G25))</f>
        <v>4897.6515657412829</v>
      </c>
      <c r="S25" s="844">
        <f t="shared" ca="1" si="29"/>
        <v>0</v>
      </c>
      <c r="T25" s="844">
        <f t="shared" ca="1" si="29"/>
        <v>9</v>
      </c>
      <c r="U25" s="767">
        <f ca="1">INDEX(INDIRECT("CAM_WTPCore2_"&amp;$B25&amp;"_LevelValues"),2,MATCH("S1 MEAN",WTPCore2_LevelValues,0))</f>
        <v>1.500948855436721E-2</v>
      </c>
      <c r="V25" s="767">
        <f ca="1">INDEX(INDIRECT("CAM_WTPCore2_"&amp;$B25&amp;"_LevelValues"),2,MATCH("S2 MEAN",WTPCore2_LevelValues,0))</f>
        <v>5.3297158206472399E-3</v>
      </c>
      <c r="W25" s="879">
        <f t="shared" ca="1" si="19"/>
        <v>2.033920437501445E-2</v>
      </c>
      <c r="X25" s="528">
        <f ca="1">-E25*(S25-T25)/AllProps_CAM</f>
        <v>7.4845531914893613</v>
      </c>
      <c r="Y25" s="117">
        <f t="shared" ca="1" si="16"/>
        <v>5120</v>
      </c>
      <c r="Z25" s="117">
        <f ca="1">-Y25*(S25-T25)/NHHProps_CAM</f>
        <v>4.6079999999999997</v>
      </c>
      <c r="AA25" s="117">
        <f ca="1">INDEX(INDIRECT("CAM_WTPCore2_"&amp;$B25&amp;"_UnitValues"),2,MATCH("MEAN",LMH,0))</f>
        <v>115707.47377785998</v>
      </c>
      <c r="AB25" s="117">
        <f ca="1">-AA25*(S25-T25)/NHHProps_CAM</f>
        <v>104.13672640007398</v>
      </c>
      <c r="AC25" s="216">
        <f t="shared" ca="1" si="18"/>
        <v>18.793327077374144</v>
      </c>
      <c r="AD25" s="611" t="s">
        <v>397</v>
      </c>
      <c r="AE25" s="627">
        <f ca="1">-AC25*NHHProps_CAM/((S25-T25))</f>
        <v>20881.474530415715</v>
      </c>
    </row>
    <row r="26" spans="1:31" x14ac:dyDescent="0.25">
      <c r="A26" s="9" t="s">
        <v>111</v>
      </c>
      <c r="B26" s="9" t="s">
        <v>271</v>
      </c>
      <c r="C26" s="9" t="str">
        <f t="shared" si="20"/>
        <v>Traffic</v>
      </c>
      <c r="D26" s="514" t="s">
        <v>369</v>
      </c>
      <c r="E26" s="431">
        <f t="shared" ca="1" si="10"/>
        <v>14278</v>
      </c>
      <c r="F26" s="600">
        <f t="shared" ca="1" si="21"/>
        <v>608.33333333333337</v>
      </c>
      <c r="G26" s="600">
        <f t="shared" ca="1" si="21"/>
        <v>243.33333333333334</v>
      </c>
      <c r="H26" s="581">
        <f t="shared" ca="1" si="22"/>
        <v>1E-3</v>
      </c>
      <c r="I26" s="581">
        <f t="shared" ca="1" si="23"/>
        <v>1E-3</v>
      </c>
      <c r="J26" s="435">
        <f t="shared" ca="1" si="28"/>
        <v>2E-3</v>
      </c>
      <c r="K26" s="602">
        <f ca="1">E26*(F26-G26)/AllProps_SSW</f>
        <v>8.8479966044142611</v>
      </c>
      <c r="L26" s="579">
        <f t="shared" ca="1" si="13"/>
        <v>896.9205479452055</v>
      </c>
      <c r="M26" s="117">
        <f ca="1">L26*(F26-G26)/NHHProps_SSW</f>
        <v>8.8480000000000008</v>
      </c>
      <c r="N26" s="117">
        <f ca="1">L26</f>
        <v>896.9205479452055</v>
      </c>
      <c r="O26" s="117">
        <f ca="1">N26*(F26-G26)/NHHProps_SSW</f>
        <v>8.8480000000000008</v>
      </c>
      <c r="P26" s="437">
        <f t="shared" ca="1" si="17"/>
        <v>5.8830687067311764</v>
      </c>
      <c r="Q26" s="611" t="s">
        <v>398</v>
      </c>
      <c r="R26" s="627">
        <f ca="1">P26*NHHProps_SSW/((F26-G26))</f>
        <v>596.36586890151659</v>
      </c>
      <c r="S26" s="620">
        <f t="shared" ca="1" si="24"/>
        <v>365</v>
      </c>
      <c r="T26" s="620">
        <f t="shared" ca="1" si="24"/>
        <v>121.66666666666667</v>
      </c>
      <c r="U26" s="587">
        <f t="shared" ca="1" si="25"/>
        <v>3.0000000000000001E-3</v>
      </c>
      <c r="V26" s="587">
        <f t="shared" ca="1" si="26"/>
        <v>5.0000000000000001E-3</v>
      </c>
      <c r="W26" s="879">
        <f t="shared" ca="1" si="19"/>
        <v>8.0000000000000002E-3</v>
      </c>
      <c r="X26" s="528">
        <f ca="1">E26*(S26-T26)/AllProps_CAM</f>
        <v>24.640520094562646</v>
      </c>
      <c r="Y26" s="117">
        <f t="shared" ca="1" si="16"/>
        <v>1683.2876712328768</v>
      </c>
      <c r="Z26" s="117">
        <f ca="1">Y26*(S26-T26)/NHHProps_CAM</f>
        <v>40.96</v>
      </c>
      <c r="AA26" s="117">
        <f ca="1">Y26</f>
        <v>1683.2876712328768</v>
      </c>
      <c r="AB26" s="117">
        <f ca="1">AA26*(S26-T26)/NHHProps_CAM</f>
        <v>40.96</v>
      </c>
      <c r="AC26" s="216">
        <f t="shared" ca="1" si="18"/>
        <v>61.871075219331487</v>
      </c>
      <c r="AD26" s="611" t="s">
        <v>398</v>
      </c>
      <c r="AE26" s="627">
        <f ca="1">AC26*NHHProps_CAM/((S26-T26))</f>
        <v>2542.646926821842</v>
      </c>
    </row>
    <row r="27" spans="1:31" x14ac:dyDescent="0.25">
      <c r="A27" s="9" t="s">
        <v>370</v>
      </c>
      <c r="B27" s="9" t="s">
        <v>399</v>
      </c>
      <c r="C27" s="9" t="str">
        <f t="shared" si="20"/>
        <v>NotSafe</v>
      </c>
      <c r="D27" s="514" t="s">
        <v>369</v>
      </c>
      <c r="E27" s="431">
        <f t="shared" ca="1" si="10"/>
        <v>6724</v>
      </c>
      <c r="F27" s="521">
        <f ca="1">INDEX(INDIRECT("SSW_WTPCore2_"&amp;$B27&amp;"_Levels"),2,MATCH(F$4,WTPCore2_AttLevels,0))</f>
        <v>1.2500000000000001E-2</v>
      </c>
      <c r="G27" s="521">
        <f ca="1">INDEX(INDIRECT("SSW_WTPCore2_"&amp;$B27&amp;"_Levels"),2,MATCH(G$4,WTPCore2_AttLevels,0))</f>
        <v>8.3333333333333332E-3</v>
      </c>
      <c r="H27" s="581">
        <f ca="1">INDEX(INDIRECT("SSW_WTPCore2_"&amp;$B27&amp;"_LevelValues"),2,MATCH("S1 MEAN",WTPCore2_LevelValues,0))</f>
        <v>1.5617999911371258E-4</v>
      </c>
      <c r="I27" s="581">
        <f ca="1">INDEX(INDIRECT("SSW_WTPCore2_"&amp;$B27&amp;"_LevelValues"),2,MATCH("S2 MEAN",WTPCore2_LevelValues,0))</f>
        <v>6.9518632551394011E-4</v>
      </c>
      <c r="J27" s="435">
        <f t="shared" ca="1" si="28"/>
        <v>8.5136632462765266E-4</v>
      </c>
      <c r="K27" s="602">
        <f ca="1">E27*(F27-G27)</f>
        <v>28.016666666666673</v>
      </c>
      <c r="L27" s="579">
        <f t="shared" ca="1" si="13"/>
        <v>800.37595925297103</v>
      </c>
      <c r="M27" s="117">
        <f ca="1">L27*($F27-$G27)*(AllProps_SSW/NHHProps_SSW)</f>
        <v>53.088000000000001</v>
      </c>
      <c r="N27" s="117">
        <f ca="1">INDEX(INDIRECT("SSW_WTPCore2_"&amp;$B27&amp;"_UnitValues"),2,MATCH("MEAN",LMH,0))</f>
        <v>56.784428229127826</v>
      </c>
      <c r="O27" s="117">
        <f ca="1">N27*($F27-$G27)*(AllProps_SSW/NHHProps_SSW)</f>
        <v>3.7664446201527362</v>
      </c>
      <c r="P27" s="437">
        <f t="shared" ca="1" si="17"/>
        <v>18.628394912737033</v>
      </c>
      <c r="Q27" s="611" t="s">
        <v>369</v>
      </c>
      <c r="R27" s="627">
        <f ca="1">P27*NHHProps_SSW/((F27-G27)*AllProps_SSW)</f>
        <v>280.84914571325095</v>
      </c>
      <c r="S27" s="837">
        <f ca="1">INDEX(INDIRECT("CAM_WTPCore2_"&amp;$B27&amp;"_Levels"),2,MATCH(S$4,WTPCore2_AttLevels,0))</f>
        <v>1.2500000000000001E-2</v>
      </c>
      <c r="T27" s="837">
        <f ca="1">INDEX(INDIRECT("CAM_WTPCore2_"&amp;$B27&amp;"_Levels"),2,MATCH(T$4,WTPCore2_AttLevels,0))</f>
        <v>8.3333333333333332E-3</v>
      </c>
      <c r="U27" s="767">
        <f ca="1">INDEX(INDIRECT("CAM_WTPCore2_"&amp;$B27&amp;"_LevelValues"),2,MATCH("S1 MEAN",WTPCore2_LevelValues,0))</f>
        <v>1.0438910529886973E-3</v>
      </c>
      <c r="V27" s="767">
        <f ca="1">INDEX(INDIRECT("CAM_WTPCore2_"&amp;$B27&amp;"_LevelValues"),2,MATCH("S2 MEAN",WTPCore2_LevelValues,0))</f>
        <v>6.3529836977335285E-4</v>
      </c>
      <c r="W27" s="879">
        <f t="shared" ca="1" si="19"/>
        <v>1.6791894227620502E-3</v>
      </c>
      <c r="X27" s="528">
        <f ca="1">E27*(S27-T27)</f>
        <v>28.016666666666673</v>
      </c>
      <c r="Y27" s="117">
        <f t="shared" ca="1" si="16"/>
        <v>784.34042553191466</v>
      </c>
      <c r="Z27" s="117">
        <f ca="1">Y27*($S27-$T27)*(AllProps_CAM/NHHProps_CAM)</f>
        <v>46.08</v>
      </c>
      <c r="AA27" s="117">
        <f ca="1">INDEX(INDIRECT("CAM_WTPCore2_"&amp;$B27&amp;"_UnitValues"),2,MATCH("MEAN",LMH,0))</f>
        <v>146.33957182198631</v>
      </c>
      <c r="AB27" s="117">
        <f ca="1">AA27*($S27-$T27)*(AllProps_CAM/NHHProps_CAM)</f>
        <v>8.597449844541698</v>
      </c>
      <c r="AC27" s="216">
        <f t="shared" ca="1" si="18"/>
        <v>70.348405150375868</v>
      </c>
      <c r="AD27" s="611" t="s">
        <v>369</v>
      </c>
      <c r="AE27" s="627">
        <f ca="1">AC27*NHHProps_CAM/((S27-T27)*AllProps_SSW)</f>
        <v>286.64884950917155</v>
      </c>
    </row>
    <row r="28" spans="1:31" x14ac:dyDescent="0.25">
      <c r="D28" s="514"/>
      <c r="E28" s="431"/>
      <c r="F28" s="20"/>
      <c r="G28" s="20"/>
      <c r="H28" s="20"/>
      <c r="I28" s="20"/>
      <c r="J28" s="445">
        <f ca="1">SUM(J18:J27)*AvgNHHBill_SSW</f>
        <v>252.62900671638494</v>
      </c>
      <c r="K28" s="603">
        <f ca="1">SUM(K18:K27)</f>
        <v>317.83206262969259</v>
      </c>
      <c r="L28" s="603"/>
      <c r="M28" s="446">
        <f ca="1">SUM(M17:M27)</f>
        <v>169.99124758431813</v>
      </c>
      <c r="N28" s="446"/>
      <c r="O28" s="446">
        <f ca="1">SUM(O17:O27)</f>
        <v>252.66439871638494</v>
      </c>
      <c r="P28" s="497">
        <f ca="1">SUM(P18:P27)</f>
        <v>211.32782315035152</v>
      </c>
      <c r="Q28" s="612"/>
      <c r="R28" s="628"/>
      <c r="S28" s="216"/>
      <c r="T28" s="216"/>
      <c r="U28" s="216"/>
      <c r="V28" s="216"/>
      <c r="W28" s="881">
        <f ca="1">SUM(W18:W27)*AvgNHHBill_CAM</f>
        <v>1349.8399974822105</v>
      </c>
      <c r="X28" s="532">
        <f ca="1">SUM(X18:X27)</f>
        <v>324.66681453416555</v>
      </c>
      <c r="Y28" s="532"/>
      <c r="Z28" s="446">
        <f ca="1">SUM(Z17:Z27)</f>
        <v>280.22987485077431</v>
      </c>
      <c r="AA28" s="446"/>
      <c r="AB28" s="446">
        <f ca="1">SUM(AB18:AB27)</f>
        <v>1350.213380906376</v>
      </c>
      <c r="AC28" s="52">
        <f ca="1">SUM(AC18:AC27)</f>
        <v>815.22162787857542</v>
      </c>
      <c r="AE28" s="534"/>
    </row>
    <row r="29" spans="1:31" s="60" customFormat="1" x14ac:dyDescent="0.25">
      <c r="D29" s="516"/>
      <c r="E29" s="523"/>
      <c r="F29" s="524"/>
      <c r="G29" s="524"/>
      <c r="H29" s="524"/>
      <c r="I29" s="524"/>
      <c r="J29" s="553"/>
      <c r="K29" s="45"/>
      <c r="L29" s="45"/>
      <c r="M29" s="830" t="s">
        <v>997</v>
      </c>
      <c r="N29" s="737">
        <f ca="1">AVERAGE(M28,O28)</f>
        <v>211.32782315035155</v>
      </c>
      <c r="O29" s="830"/>
      <c r="P29" s="45"/>
      <c r="Q29" s="613"/>
      <c r="R29" s="629"/>
      <c r="S29" s="44"/>
      <c r="T29" s="44"/>
      <c r="U29" s="44"/>
      <c r="V29" s="44"/>
      <c r="W29" s="835"/>
      <c r="X29" s="533"/>
      <c r="Y29" s="533"/>
      <c r="Z29" s="830" t="s">
        <v>997</v>
      </c>
      <c r="AA29" s="737">
        <f ca="1">AVERAGE(Z28,AB28)</f>
        <v>815.22162787857519</v>
      </c>
      <c r="AB29" s="830"/>
      <c r="AC29" s="45"/>
      <c r="AD29" s="45"/>
      <c r="AE29" s="535"/>
    </row>
    <row r="30" spans="1:31" x14ac:dyDescent="0.25">
      <c r="A30" s="237" t="s">
        <v>175</v>
      </c>
      <c r="B30" s="237"/>
      <c r="C30" s="62"/>
      <c r="D30" s="515"/>
      <c r="E30" s="522"/>
      <c r="F30" s="448"/>
      <c r="G30" s="448"/>
      <c r="H30" s="497"/>
      <c r="I30" s="497"/>
      <c r="J30" s="497"/>
      <c r="K30" s="54"/>
      <c r="L30" s="54"/>
      <c r="M30" s="54"/>
      <c r="N30" s="54"/>
      <c r="O30" s="54"/>
      <c r="P30" s="54"/>
      <c r="Q30" s="614"/>
      <c r="R30" s="630"/>
      <c r="S30" s="54"/>
      <c r="T30" s="54"/>
      <c r="U30" s="53"/>
      <c r="V30" s="53"/>
      <c r="W30" s="53"/>
      <c r="X30" s="531"/>
      <c r="Y30" s="531"/>
      <c r="Z30" s="531"/>
      <c r="AA30" s="531"/>
      <c r="AB30" s="531"/>
      <c r="AC30" s="54"/>
      <c r="AE30" s="536"/>
    </row>
    <row r="31" spans="1:31" x14ac:dyDescent="0.25">
      <c r="A31" s="9" t="s">
        <v>25</v>
      </c>
      <c r="B31" s="9" t="s">
        <v>266</v>
      </c>
      <c r="C31" s="9" t="str">
        <f>B31</f>
        <v>Discolour</v>
      </c>
      <c r="D31" s="514" t="s">
        <v>369</v>
      </c>
      <c r="E31" s="431">
        <f t="shared" ref="E31:E40" ca="1" si="30">INDEX(INDIRECT("ExtWTP19_"&amp;$C31&amp;"_UnitValues"),MATCH(A$30, INDIRECT("ExtWTP19_Comps_"&amp;C31),0),MATCH("NHH",ExtWTP_Group,0))</f>
        <v>9635</v>
      </c>
      <c r="F31" s="521">
        <f t="shared" ref="F31:G34" ca="1" si="31">INDEX(INDIRECT("SSW_WTPCore2_"&amp;$B31&amp;"_Levels"),2,MATCH(F$4,WTPCore2_AttLevels,0))</f>
        <v>6.6666666666666666E-2</v>
      </c>
      <c r="G31" s="521">
        <f t="shared" ca="1" si="31"/>
        <v>0.04</v>
      </c>
      <c r="H31" s="581">
        <f ca="1">INDEX(INDIRECT("SSW_WTPCore2_"&amp;$B31&amp;"_LevelValues"),2,MATCH("S1 MEAN",WTPCore2_LevelValues,0))</f>
        <v>1.9376915692789636E-2</v>
      </c>
      <c r="I31" s="581">
        <f ca="1">INDEX(INDIRECT("SSW_WTPCore2_"&amp;$B31&amp;"_LevelValues"),2,MATCH("S2 MEAN",WTPCore2_LevelValues,0))</f>
        <v>4.9841954334050795E-4</v>
      </c>
      <c r="J31" s="435">
        <f ca="1">SUM(H31:I31)</f>
        <v>1.9875335236130144E-2</v>
      </c>
      <c r="K31" s="602">
        <f t="shared" ref="K31:K36" ca="1" si="32">E31*(F31-G31)</f>
        <v>256.93333333333334</v>
      </c>
      <c r="L31" s="579">
        <f t="shared" ref="L31:L40" ca="1" si="33">INDEX(INDIRECT("SSW_WTPCore_DCE_"&amp;$B31&amp;"_UnitValues"),MATCH("COMBINED-NHH",WTPCore_Group,0),MATCH("MEAN",LMH,0))</f>
        <v>44.321585387272407</v>
      </c>
      <c r="M31" s="117">
        <f ca="1">L31*($F31-$G31)*(AllProps_SSW/NHHProps_SSW)</f>
        <v>18.81471264367816</v>
      </c>
      <c r="N31" s="117">
        <f ca="1">INDEX(INDIRECT("SSW_WTPCore2_"&amp;$B31&amp;"_UnitValues"),2,MATCH("MEAN",LMH,0))</f>
        <v>207.13203782671931</v>
      </c>
      <c r="O31" s="117">
        <f ca="1">N31*($F31-$G31)*(AllProps_SSW/NHHProps_SSW)</f>
        <v>87.928483084639765</v>
      </c>
      <c r="P31" s="606">
        <f ca="1">K31*N$42/K$41</f>
        <v>78.62800457850696</v>
      </c>
      <c r="Q31" s="611" t="s">
        <v>369</v>
      </c>
      <c r="R31" s="627">
        <f ca="1">P31*NHHProps_SSW/((F31-G31)*AllProps_SSW)</f>
        <v>185.22301587891073</v>
      </c>
      <c r="S31" s="837">
        <f t="shared" ref="S31:T34" ca="1" si="34">INDEX(INDIRECT("CAM_WTPCore2_"&amp;$B31&amp;"_Levels"),2,MATCH(S$4,WTPCore2_AttLevels,0))</f>
        <v>2.2222222222222223E-2</v>
      </c>
      <c r="T31" s="837">
        <f t="shared" ca="1" si="34"/>
        <v>1.5384615384615385E-2</v>
      </c>
      <c r="U31" s="767">
        <f ca="1">INDEX(INDIRECT("CAM_WTPCore2_"&amp;$B31&amp;"_LevelValues"),2,MATCH("S1 MEAN",WTPCore2_LevelValues,0))</f>
        <v>5.6414013673365619E-2</v>
      </c>
      <c r="V31" s="767">
        <f ca="1">INDEX(INDIRECT("CAM_WTPCore2_"&amp;$B31&amp;"_LevelValues"),2,MATCH("S2 MEAN",WTPCore2_LevelValues,0))</f>
        <v>1.4754621463399648E-4</v>
      </c>
      <c r="W31" s="879">
        <f ca="1">SUM(U31:V31)</f>
        <v>5.6561559887999616E-2</v>
      </c>
      <c r="X31" s="528">
        <f t="shared" ref="X31:X36" ca="1" si="35">E31*(S31-T31)</f>
        <v>65.880341880341874</v>
      </c>
      <c r="Y31" s="117">
        <f t="shared" ref="Y31:Y40" ca="1" si="36">INDEX(INDIRECT("CAM_WTPCore_"&amp;$B31&amp;"_UnitValues"),MATCH("COMBINED-NHH",WTPCore_Group,0),MATCH("MEAN",LMH,0))</f>
        <v>290.49645390070918</v>
      </c>
      <c r="Z31" s="117">
        <f ca="1">Y31*($S31-$T31)*(AllProps_CAM/NHHProps_CAM)</f>
        <v>28.006837606837603</v>
      </c>
      <c r="AA31" s="117">
        <f ca="1">INDEX(INDIRECT("CAM_WTPCore2_"&amp;$B31&amp;"_UnitValues"),2,MATCH("MEAN",LMH,0))</f>
        <v>3003.7798612861075</v>
      </c>
      <c r="AB31" s="117">
        <f ca="1">AA31*($S31-$T31)*(AllProps_CAM/NHHProps_CAM)</f>
        <v>289.59518662655802</v>
      </c>
      <c r="AC31" s="216">
        <f ca="1">X31*AA$42/X$41</f>
        <v>111.63861619354266</v>
      </c>
      <c r="AD31" s="611" t="s">
        <v>369</v>
      </c>
      <c r="AE31" s="534">
        <f ca="1">(AC31*NHHProps_CAM)/((S31-T31)*AllProps_CAM)</f>
        <v>1157.9537317947243</v>
      </c>
    </row>
    <row r="32" spans="1:31" x14ac:dyDescent="0.25">
      <c r="A32" s="9" t="s">
        <v>117</v>
      </c>
      <c r="B32" s="9" t="s">
        <v>265</v>
      </c>
      <c r="C32" s="9" t="str">
        <f>B32</f>
        <v>TasteSmell</v>
      </c>
      <c r="D32" s="514" t="s">
        <v>369</v>
      </c>
      <c r="E32" s="431">
        <f t="shared" ca="1" si="30"/>
        <v>14953</v>
      </c>
      <c r="F32" s="521">
        <f t="shared" ca="1" si="31"/>
        <v>1.6666666666666666E-2</v>
      </c>
      <c r="G32" s="521">
        <f t="shared" ca="1" si="31"/>
        <v>1.1111111111111112E-2</v>
      </c>
      <c r="H32" s="581">
        <f ca="1">INDEX(INDIRECT("SSW_WTPCore2_"&amp;$B32&amp;"_LevelValues"),2,MATCH("S1 MEAN",WTPCore2_LevelValues,0))</f>
        <v>3.6865032727528453E-3</v>
      </c>
      <c r="I32" s="581">
        <f ca="1">INDEX(INDIRECT("SSW_WTPCore2_"&amp;$B32&amp;"_LevelValues"),2,MATCH("S2 MEAN",WTPCore2_LevelValues,0))</f>
        <v>5.1592292451456759E-6</v>
      </c>
      <c r="J32" s="435">
        <f ca="1">SUM(H32:I32)</f>
        <v>3.691662501997991E-3</v>
      </c>
      <c r="K32" s="602">
        <f t="shared" ca="1" si="32"/>
        <v>83.072222222222209</v>
      </c>
      <c r="L32" s="579">
        <f t="shared" ca="1" si="33"/>
        <v>70.914536619635854</v>
      </c>
      <c r="M32" s="117">
        <f ca="1">L32*($F32-$G32)*(AllProps_SSW/NHHProps_SSW)</f>
        <v>6.2715708812260527</v>
      </c>
      <c r="N32" s="117">
        <f ca="1">INDEX(INDIRECT("SSW_WTPCore2_"&amp;$B32&amp;"_UnitValues"),2,MATCH("MEAN",LMH,0))</f>
        <v>184.66986976717914</v>
      </c>
      <c r="O32" s="117">
        <f ca="1">N32*($F32-$G32)*(AllProps_SSW/NHHProps_SSW)</f>
        <v>16.331914908839117</v>
      </c>
      <c r="P32" s="606">
        <f t="shared" ref="P32:P40" ca="1" si="37">K32*N$42/K$41</f>
        <v>25.422170741705898</v>
      </c>
      <c r="Q32" s="611" t="s">
        <v>369</v>
      </c>
      <c r="R32" s="627">
        <f ca="1">P32*NHHProps_SSW/((F32-G32)*AllProps_SSW)</f>
        <v>287.45612417616519</v>
      </c>
      <c r="S32" s="837">
        <f t="shared" ca="1" si="34"/>
        <v>1.4285714285714285E-2</v>
      </c>
      <c r="T32" s="837">
        <f t="shared" ca="1" si="34"/>
        <v>0.01</v>
      </c>
      <c r="U32" s="767">
        <f ca="1">INDEX(INDIRECT("CAM_WTPCore2_"&amp;$B32&amp;"_LevelValues"),2,MATCH("S1 MEAN",WTPCore2_LevelValues,0))</f>
        <v>4.257264223936371E-2</v>
      </c>
      <c r="V32" s="767">
        <f ca="1">INDEX(INDIRECT("CAM_WTPCore2_"&amp;$B32&amp;"_LevelValues"),2,MATCH("S2 MEAN",WTPCore2_LevelValues,0))</f>
        <v>1.0971349631991048E-2</v>
      </c>
      <c r="W32" s="879">
        <f ca="1">SUM(U32:V32)</f>
        <v>5.3543991871354758E-2</v>
      </c>
      <c r="X32" s="528">
        <f t="shared" ca="1" si="35"/>
        <v>64.084285714285699</v>
      </c>
      <c r="Y32" s="117">
        <f t="shared" ca="1" si="36"/>
        <v>181.56028368794324</v>
      </c>
      <c r="Z32" s="117">
        <f ca="1">Y32*($S32-$T32)*(AllProps_CAM/NHHProps_CAM)</f>
        <v>10.971428571428568</v>
      </c>
      <c r="AA32" s="117">
        <f ca="1">INDEX(INDIRECT("CAM_WTPCore2_"&amp;$B32&amp;"_UnitValues"),2,MATCH("MEAN",LMH,0))</f>
        <v>4536.682431842446</v>
      </c>
      <c r="AB32" s="117">
        <f ca="1">AA32*($S32-$T32)*(AllProps_CAM/NHHProps_CAM)</f>
        <v>274.1452383813363</v>
      </c>
      <c r="AC32" s="216">
        <f t="shared" ref="AC32:AC40" ca="1" si="38">X32*AA$42/X$41</f>
        <v>108.59507969598509</v>
      </c>
      <c r="AD32" s="611" t="s">
        <v>369</v>
      </c>
      <c r="AE32" s="534">
        <f ca="1">(AC32*NHHProps_CAM)/((S32-T32)*AllProps_CAM)</f>
        <v>1797.0816970966803</v>
      </c>
    </row>
    <row r="33" spans="1:31" x14ac:dyDescent="0.25">
      <c r="A33" s="9" t="s">
        <v>183</v>
      </c>
      <c r="B33" s="9" t="s">
        <v>269</v>
      </c>
      <c r="C33" s="9" t="s">
        <v>332</v>
      </c>
      <c r="D33" s="514" t="s">
        <v>369</v>
      </c>
      <c r="E33" s="431">
        <f t="shared" ca="1" si="30"/>
        <v>3686</v>
      </c>
      <c r="F33" s="521">
        <f t="shared" ca="1" si="31"/>
        <v>1.2500000000000001E-2</v>
      </c>
      <c r="G33" s="521">
        <f t="shared" ca="1" si="31"/>
        <v>8.3333333333333332E-3</v>
      </c>
      <c r="H33" s="581">
        <f ca="1">INDEX(INDIRECT("SSW_WTPCore2_"&amp;$B33&amp;"_LevelValues"),2,MATCH("S1 MEAN",WTPCore2_LevelValues,0))</f>
        <v>2.3562800507588295E-4</v>
      </c>
      <c r="I33" s="581">
        <f ca="1">INDEX(INDIRECT("SSW_WTPCore2_"&amp;$B33&amp;"_LevelValues"),2,MATCH("S2 MEAN",WTPCore2_LevelValues,0))</f>
        <v>4.1117889914467278E-4</v>
      </c>
      <c r="J33" s="435">
        <f ca="1">SUM(H33:I33)</f>
        <v>6.4680690422055573E-4</v>
      </c>
      <c r="K33" s="602">
        <f t="shared" ca="1" si="32"/>
        <v>15.358333333333336</v>
      </c>
      <c r="L33" s="579">
        <f t="shared" ca="1" si="33"/>
        <v>310.41834897651921</v>
      </c>
      <c r="M33" s="117">
        <f ca="1">L33*($F33-$G33)*(AllProps_SSW/NHHProps_SSW)</f>
        <v>20.589685534591201</v>
      </c>
      <c r="N33" s="117">
        <f ca="1">INDEX(INDIRECT("SSW_WTPCore2_"&amp;$B33&amp;"_UnitValues"),2,MATCH("MEAN",LMH,0))</f>
        <v>43.140724701414321</v>
      </c>
      <c r="O33" s="117">
        <f ca="1">N33*($F33-$G33)*(AllProps_SSW/NHHProps_SSW)</f>
        <v>2.8614737442717391</v>
      </c>
      <c r="P33" s="606">
        <f t="shared" ca="1" si="37"/>
        <v>4.7000328372531248</v>
      </c>
      <c r="Q33" s="611" t="s">
        <v>369</v>
      </c>
      <c r="R33" s="627">
        <f ca="1">P33*NHHProps_SSW/((F33-G33)*AllProps_SSW)</f>
        <v>70.859578259435892</v>
      </c>
      <c r="S33" s="837">
        <f t="shared" ca="1" si="34"/>
        <v>2.5000000000000001E-2</v>
      </c>
      <c r="T33" s="837">
        <f t="shared" ca="1" si="34"/>
        <v>1.6666666666666666E-2</v>
      </c>
      <c r="U33" s="767">
        <f ca="1">INDEX(INDIRECT("CAM_WTPCore2_"&amp;$B33&amp;"_LevelValues"),2,MATCH("S1 MEAN",WTPCore2_LevelValues,0))</f>
        <v>2.654718763279678E-4</v>
      </c>
      <c r="V33" s="767">
        <f ca="1">INDEX(INDIRECT("CAM_WTPCore2_"&amp;$B33&amp;"_LevelValues"),2,MATCH("S2 MEAN",WTPCore2_LevelValues,0))</f>
        <v>1.3401602008677625E-5</v>
      </c>
      <c r="W33" s="879">
        <f ca="1">SUM(U33:V33)</f>
        <v>2.7887347833664542E-4</v>
      </c>
      <c r="X33" s="528">
        <f t="shared" ca="1" si="35"/>
        <v>30.716666666666672</v>
      </c>
      <c r="Y33" s="117">
        <f t="shared" ca="1" si="36"/>
        <v>90.78014184397162</v>
      </c>
      <c r="Z33" s="117">
        <f ca="1">Y33*($S33-$T33)*(AllProps_CAM/NHHProps_CAM)</f>
        <v>10.666666666666668</v>
      </c>
      <c r="AA33" s="117">
        <f ca="1">INDEX(INDIRECT("CAM_WTPCore2_"&amp;$B33&amp;"_UnitValues"),2,MATCH("MEAN",LMH,0))</f>
        <v>12.15176348156276</v>
      </c>
      <c r="AB33" s="117">
        <f ca="1">AA33*($S33-$T33)*(AllProps_CAM/NHHProps_CAM)</f>
        <v>1.4278322090836244</v>
      </c>
      <c r="AC33" s="216">
        <f t="shared" ca="1" si="38"/>
        <v>52.051432382870189</v>
      </c>
      <c r="AD33" s="611" t="s">
        <v>369</v>
      </c>
      <c r="AE33" s="534">
        <f ca="1">(AC33*NHHProps_CAM)/((S33-T33)*AllProps_CAM)</f>
        <v>442.99091389676744</v>
      </c>
    </row>
    <row r="34" spans="1:31" x14ac:dyDescent="0.25">
      <c r="A34" s="9" t="s">
        <v>330</v>
      </c>
      <c r="B34" s="9" t="s">
        <v>319</v>
      </c>
      <c r="C34" s="9" t="str">
        <f>B34</f>
        <v>TempBan</v>
      </c>
      <c r="D34" s="514" t="s">
        <v>369</v>
      </c>
      <c r="E34" s="431">
        <f t="shared" ca="1" si="30"/>
        <v>4506</v>
      </c>
      <c r="F34" s="521">
        <f t="shared" ca="1" si="31"/>
        <v>2.5000000000000001E-2</v>
      </c>
      <c r="G34" s="521">
        <f t="shared" ca="1" si="31"/>
        <v>1.6666666666666666E-2</v>
      </c>
      <c r="H34" s="581">
        <f ca="1">INDEX(INDIRECT("SSW_WTPCore2_"&amp;$B34&amp;"_LevelValues"),2,MATCH("S1 MEAN",WTPCore2_LevelValues,0))</f>
        <v>1.0363458862342743E-3</v>
      </c>
      <c r="I34" s="581">
        <f ca="1">INDEX(INDIRECT("SSW_WTPCore2_"&amp;$B34&amp;"_LevelValues"),2,MATCH("S2 MEAN",WTPCore2_LevelValues,0))</f>
        <v>6.2724159084084235E-4</v>
      </c>
      <c r="J34" s="435">
        <f t="shared" ref="J34:J40" ca="1" si="39">SUM(H34:I34)</f>
        <v>1.6635874770751166E-3</v>
      </c>
      <c r="K34" s="602">
        <f t="shared" ca="1" si="32"/>
        <v>37.550000000000004</v>
      </c>
      <c r="L34" s="579">
        <f t="shared" ca="1" si="33"/>
        <v>196425.59999999998</v>
      </c>
      <c r="M34" s="117">
        <f ca="1">L34*(F34-G34)/NHHProps_SSW*100</f>
        <v>4.4240000000000004</v>
      </c>
      <c r="N34" s="117">
        <f ca="1">INDEX(INDIRECT("SSW_WTPCore2_"&amp;$B34&amp;"_UnitValues"),2,MATCH("MEAN",LMH,0))</f>
        <v>326771.16833696596</v>
      </c>
      <c r="O34" s="117">
        <f ca="1">N34*(F34-G34)/NHHProps_SSW*100</f>
        <v>7.3597109985803151</v>
      </c>
      <c r="P34" s="606">
        <f t="shared" ca="1" si="37"/>
        <v>11.491236009041009</v>
      </c>
      <c r="Q34" s="611" t="s">
        <v>422</v>
      </c>
      <c r="R34" s="627">
        <f ca="1">P34*NHHProps_SSW/((F34-G34)*100)</f>
        <v>510210.87880142068</v>
      </c>
      <c r="S34" s="837">
        <f t="shared" ca="1" si="34"/>
        <v>0.02</v>
      </c>
      <c r="T34" s="837">
        <f t="shared" ca="1" si="34"/>
        <v>1.3333333333333334E-2</v>
      </c>
      <c r="U34" s="767">
        <f ca="1">INDEX(INDIRECT("CAM_WTPCore2_"&amp;$B34&amp;"_LevelValues"),2,MATCH("S1 MEAN",WTPCore2_LevelValues,0))</f>
        <v>1.3694025744847137E-3</v>
      </c>
      <c r="V34" s="767">
        <f ca="1">INDEX(INDIRECT("CAM_WTPCore2_"&amp;$B34&amp;"_LevelValues"),2,MATCH("S2 MEAN",WTPCore2_LevelValues,0))</f>
        <v>1.1073984405910726E-3</v>
      </c>
      <c r="W34" s="879">
        <f t="shared" ref="W34:W40" ca="1" si="40">SUM(U34:V34)</f>
        <v>2.4768010150757864E-3</v>
      </c>
      <c r="X34" s="528">
        <f t="shared" ca="1" si="35"/>
        <v>30.04</v>
      </c>
      <c r="Y34" s="117">
        <f t="shared" ca="1" si="36"/>
        <v>1105919.9999999998</v>
      </c>
      <c r="Z34" s="117">
        <f ca="1">Y34*(S34-T34)/NHHProps_CAM*100</f>
        <v>73.72799999999998</v>
      </c>
      <c r="AA34" s="117">
        <f ca="1">INDEX(INDIRECT("CAM_WTPCore2_"&amp;$B34&amp;"_UnitValues"),2,MATCH("MEAN",LMH,0))</f>
        <v>190218.3179578204</v>
      </c>
      <c r="AB34" s="117">
        <f ca="1">AA34*(S34-T34)/NHHProps_CAM*100</f>
        <v>12.681221197188028</v>
      </c>
      <c r="AC34" s="216">
        <f t="shared" ca="1" si="38"/>
        <v>50.904775760653934</v>
      </c>
      <c r="AD34" s="611" t="s">
        <v>422</v>
      </c>
      <c r="AE34" s="627">
        <f ca="1">AC34*NHHProps_CAM/((S34-T34)*100)</f>
        <v>763571.63640980911</v>
      </c>
    </row>
    <row r="35" spans="1:31" x14ac:dyDescent="0.25">
      <c r="A35" s="9" t="s">
        <v>615</v>
      </c>
      <c r="B35" s="9" t="s">
        <v>323</v>
      </c>
      <c r="C35" s="9" t="str">
        <f t="shared" ref="C35:C40" si="41">B35</f>
        <v>Drought</v>
      </c>
      <c r="D35" s="514" t="s">
        <v>369</v>
      </c>
      <c r="E35" s="431">
        <f t="shared" ca="1" si="30"/>
        <v>4005</v>
      </c>
      <c r="F35" s="521">
        <f t="shared" ref="F35:G39" ca="1" si="42">INDEX(INDIRECT("SSW_WTPCore_DCE_"&amp;$B35&amp;"_Levels"),MATCH("COMBINED-NHH",WTPCore_Group,0),MATCH(F$4,WTPCore_AttLevels,0))</f>
        <v>1.2500000000000001E-2</v>
      </c>
      <c r="G35" s="521">
        <v>8.3000000000000001E-3</v>
      </c>
      <c r="H35" s="581">
        <f t="shared" ref="H35:H39" ca="1" si="43">INDEX(INDIRECT("SSW_WTPCore_DCE_"&amp;$B35&amp;"_LevelValues"),MATCH("COMBINED-NHH",WTPCore_Group,0),MATCH("S1 MEAN",WTPCore_LevelValues,0))</f>
        <v>1E-3</v>
      </c>
      <c r="I35" s="581">
        <f t="shared" ref="I35:I39" ca="1" si="44">INDEX(INDIRECT("SSW_WTPCore_DCE_"&amp;$B35&amp;"_LevelValues"),MATCH("COMBINED-NHH",WTPCore_Group,0),MATCH("S2 MEAN",WTPCore_LevelValues,0))</f>
        <v>8.0000000000000002E-3</v>
      </c>
      <c r="J35" s="435">
        <f ca="1">H35</f>
        <v>1E-3</v>
      </c>
      <c r="K35" s="602">
        <f t="shared" ca="1" si="32"/>
        <v>16.821000000000002</v>
      </c>
      <c r="L35" s="579">
        <f t="shared" ca="1" si="33"/>
        <v>392851.19999999995</v>
      </c>
      <c r="M35" s="117">
        <f ca="1">L35*(F35-G35)/NHHProps_SSW*100</f>
        <v>4.4593920000000002</v>
      </c>
      <c r="N35" s="117">
        <f ca="1">L35</f>
        <v>392851.19999999995</v>
      </c>
      <c r="O35" s="117">
        <f ca="1">N35*(F35-G35)/NHHProps_SSW*100</f>
        <v>4.4593920000000002</v>
      </c>
      <c r="P35" s="606">
        <f t="shared" ca="1" si="37"/>
        <v>5.1476452971525646</v>
      </c>
      <c r="Q35" s="611" t="s">
        <v>422</v>
      </c>
      <c r="R35" s="627">
        <f ca="1">P35*NHHProps_SSW/((F35-G35)*100)</f>
        <v>453483.03808248776</v>
      </c>
      <c r="S35" s="16">
        <f t="shared" ref="S35:T39" ca="1" si="45">INDEX(INDIRECT("CAM_WTPCore_"&amp;$B35&amp;"_Levels"),MATCH("COMBINED-NHH",WTPCore_Group,0),MATCH(S$4,WTPCore_AttLevels,0))</f>
        <v>1.2500000000000001E-2</v>
      </c>
      <c r="T35" s="16">
        <v>8.3000000000000001E-3</v>
      </c>
      <c r="U35" s="587">
        <f t="shared" ref="U35:U39" ca="1" si="46">INDEX(INDIRECT("CAM_WTPCore_"&amp;$B35&amp;"_LevelValues"),MATCH("COMBINED-NHH",WTPCore_Group,0),MATCH("S1 MEAN",WTPCore_LevelValues,0))</f>
        <v>9.1158062540521636E-3</v>
      </c>
      <c r="V35" s="587">
        <f t="shared" ref="V35:V39" ca="1" si="47">INDEX(INDIRECT("CAM_WTPCore_"&amp;$B35&amp;"_LevelValues"),MATCH("COMBINED-NHH",WTPCore_Group,0),MATCH("S2 MEAN",WTPCore_LevelValues,0))</f>
        <v>2.0400790621022298E-3</v>
      </c>
      <c r="W35" s="879">
        <f ca="1">U35</f>
        <v>9.1158062540521636E-3</v>
      </c>
      <c r="X35" s="528">
        <f t="shared" ca="1" si="35"/>
        <v>16.821000000000002</v>
      </c>
      <c r="Y35" s="117">
        <f t="shared" ca="1" si="36"/>
        <v>1120150.2724979296</v>
      </c>
      <c r="Z35" s="117">
        <f ca="1">Y35*(S35-T35)/NHHProps_CAM*100</f>
        <v>47.046311444913052</v>
      </c>
      <c r="AA35" s="117">
        <f ca="1">Y35</f>
        <v>1120150.2724979296</v>
      </c>
      <c r="AB35" s="117">
        <f ca="1">AA35*(S35-T35)/NHHProps_CAM*100</f>
        <v>47.046311444913052</v>
      </c>
      <c r="AC35" s="216">
        <f t="shared" ca="1" si="38"/>
        <v>28.504302032954726</v>
      </c>
      <c r="AD35" s="611" t="s">
        <v>422</v>
      </c>
      <c r="AE35" s="627">
        <f ca="1">AC35*NHHProps_CAM/((S35-T35)*100)</f>
        <v>678673.85792749352</v>
      </c>
    </row>
    <row r="36" spans="1:31" x14ac:dyDescent="0.25">
      <c r="A36" s="9" t="s">
        <v>185</v>
      </c>
      <c r="B36" s="9" t="s">
        <v>270</v>
      </c>
      <c r="C36" s="9" t="str">
        <f t="shared" si="41"/>
        <v>LowPressure</v>
      </c>
      <c r="D36" s="514" t="s">
        <v>369</v>
      </c>
      <c r="E36" s="431">
        <f t="shared" ca="1" si="30"/>
        <v>683</v>
      </c>
      <c r="F36" s="521">
        <f t="shared" ref="F36:G38" ca="1" si="48">INDEX(INDIRECT("SSW_WTPCore2_"&amp;$B36&amp;"_Levels"),2,MATCH(F$4,WTPCore2_AttLevels,0))</f>
        <v>0.1</v>
      </c>
      <c r="G36" s="521">
        <f t="shared" ca="1" si="48"/>
        <v>6.6666666666666666E-2</v>
      </c>
      <c r="H36" s="581">
        <f ca="1">INDEX(INDIRECT("SSW_WTPCore2_"&amp;$B36&amp;"_LevelValues"),2,MATCH("S1 MEAN",WTPCore2_LevelValues,0))</f>
        <v>6.9813125314618224E-5</v>
      </c>
      <c r="I36" s="581">
        <f ca="1">INDEX(INDIRECT("SSW_WTPCore2_"&amp;$B36&amp;"_LevelValues"),2,MATCH("S2 MEAN",WTPCore2_LevelValues,0))</f>
        <v>4.2539865887973236E-4</v>
      </c>
      <c r="J36" s="435">
        <f t="shared" ca="1" si="39"/>
        <v>4.9521178419435058E-4</v>
      </c>
      <c r="K36" s="602">
        <f t="shared" ca="1" si="32"/>
        <v>22.766666666666673</v>
      </c>
      <c r="L36" s="579">
        <f t="shared" ca="1" si="33"/>
        <v>38.286305674962968</v>
      </c>
      <c r="M36" s="117">
        <f ca="1">L36*($F36-$G36)*(AllProps_SSW/NHHProps_SSW)</f>
        <v>20.315886524822695</v>
      </c>
      <c r="N36" s="117">
        <f ca="1">INDEX(INDIRECT("SSW_WTPCore2_"&amp;$B36&amp;"_UnitValues"),2,MATCH("MEAN",LMH,0))</f>
        <v>4.12870423758259</v>
      </c>
      <c r="O36" s="117">
        <f ca="1">N36*($F36-$G36)*(AllProps_SSW/NHHProps_SSW)</f>
        <v>2.1908169332758072</v>
      </c>
      <c r="P36" s="606">
        <f t="shared" ca="1" si="37"/>
        <v>6.9671675048158095</v>
      </c>
      <c r="Q36" s="611" t="s">
        <v>369</v>
      </c>
      <c r="R36" s="627">
        <f ca="1">P36*NHHProps_SSW/((F36-G36)*AllProps_SSW)</f>
        <v>13.129976112640998</v>
      </c>
      <c r="S36" s="837">
        <f t="shared" ref="S36:T36" ca="1" si="49">INDEX(INDIRECT("CAM_WTPCore2_"&amp;$B36&amp;"_Levels"),2,MATCH(S$4,WTPCore2_AttLevels,0))</f>
        <v>9.0909090909090912E-2</v>
      </c>
      <c r="T36" s="837">
        <f t="shared" ca="1" si="49"/>
        <v>6.6666666666666666E-2</v>
      </c>
      <c r="U36" s="767">
        <f ca="1">INDEX(INDIRECT("CAM_WTPCore2_"&amp;$B36&amp;"_LevelValues"),2,MATCH("S1 MEAN",WTPCore2_LevelValues,0))</f>
        <v>4.8585541264324922E-5</v>
      </c>
      <c r="V36" s="767">
        <f ca="1">INDEX(INDIRECT("CAM_WTPCore2_"&amp;$B36&amp;"_LevelValues"),2,MATCH("S2 MEAN",WTPCore2_LevelValues,0))</f>
        <v>4.7427328754792901E-3</v>
      </c>
      <c r="W36" s="879">
        <f t="shared" ref="W36" ca="1" si="50">SUM(U36:V36)</f>
        <v>4.7913184167436155E-3</v>
      </c>
      <c r="X36" s="528">
        <f t="shared" ca="1" si="35"/>
        <v>16.557575757575759</v>
      </c>
      <c r="Y36" s="117">
        <f t="shared" ca="1" si="36"/>
        <v>23.177908555907649</v>
      </c>
      <c r="Z36" s="117">
        <f ca="1">Y36*($S36-$T36)*(AllProps_CAM/NHHProps_CAM)</f>
        <v>7.9226305609284342</v>
      </c>
      <c r="AA36" s="117">
        <f ca="1">INDEX(INDIRECT("CAM_WTPCore2_"&amp;$B36&amp;"_UnitValues"),2,MATCH("MEAN",LMH,0))</f>
        <v>71.767833306117126</v>
      </c>
      <c r="AB36" s="117">
        <f ca="1">AA36*($S36-$T36)*(AllProps_CAM/NHHProps_CAM)</f>
        <v>24.53155029372731</v>
      </c>
      <c r="AC36" s="216">
        <f t="shared" ca="1" si="38"/>
        <v>28.057912153110312</v>
      </c>
      <c r="AD36" s="611" t="s">
        <v>369</v>
      </c>
      <c r="AE36" s="627">
        <f ca="1">AC36*NHHProps_CAM/((S36-T36)*AllProps_CAM)</f>
        <v>82.084317469205686</v>
      </c>
    </row>
    <row r="37" spans="1:31" x14ac:dyDescent="0.25">
      <c r="A37" s="9" t="s">
        <v>3</v>
      </c>
      <c r="B37" s="9" t="s">
        <v>3</v>
      </c>
      <c r="C37" s="9" t="str">
        <f t="shared" si="41"/>
        <v>Leakage</v>
      </c>
      <c r="D37" s="514" t="s">
        <v>666</v>
      </c>
      <c r="E37" s="431">
        <f t="shared" ca="1" si="30"/>
        <v>1996421</v>
      </c>
      <c r="F37" s="600">
        <f t="shared" ca="1" si="48"/>
        <v>70.5</v>
      </c>
      <c r="G37" s="600">
        <f t="shared" ca="1" si="48"/>
        <v>35.25</v>
      </c>
      <c r="H37" s="581">
        <f ca="1">INDEX(INDIRECT("SSW_WTPCore2_"&amp;$B37&amp;"_LevelValues"),2,MATCH("S1 MEAN",WTPCore2_LevelValues,0))</f>
        <v>1.8366495603833657E-2</v>
      </c>
      <c r="I37" s="581">
        <f ca="1">INDEX(INDIRECT("SSW_WTPCore2_"&amp;$B37&amp;"_LevelValues"),2,MATCH("S2 MEAN",WTPCore2_LevelValues,0))</f>
        <v>6.6875105310339848E-3</v>
      </c>
      <c r="J37" s="435">
        <f t="shared" ca="1" si="39"/>
        <v>2.5054006134867642E-2</v>
      </c>
      <c r="K37" s="602">
        <f ca="1">E37*(F37-G37)/AllProps_SSW</f>
        <v>119.48020415959253</v>
      </c>
      <c r="L37" s="579">
        <f t="shared" ca="1" si="33"/>
        <v>23218.156028368794</v>
      </c>
      <c r="M37" s="117">
        <f ca="1">L37*(F37-G37)/NHHProps_SSW</f>
        <v>22.12</v>
      </c>
      <c r="N37" s="117">
        <f ca="1">INDEX(INDIRECT("SSW_WTPCore2_"&amp;$B37&amp;"_UnitValues"),2,MATCH("MEAN",LMH,0))</f>
        <v>116341.56471501317</v>
      </c>
      <c r="O37" s="117">
        <f ca="1">N37*(F37-G37)/NHHProps_SSW</f>
        <v>110.83892314065444</v>
      </c>
      <c r="P37" s="606">
        <f t="shared" ca="1" si="37"/>
        <v>36.563920756492166</v>
      </c>
      <c r="Q37" s="611" t="s">
        <v>666</v>
      </c>
      <c r="R37" s="627">
        <f ca="1">P37*NHHProps_SSW/((F37-G37))</f>
        <v>38379.150864970499</v>
      </c>
      <c r="S37" s="844">
        <f t="shared" ref="S37:T38" ca="1" si="51">INDEX(INDIRECT("CAM_WTPCore2_"&amp;$B37&amp;"_Levels"),2,MATCH(S$4,WTPCore2_AttLevels,0))</f>
        <v>13.5</v>
      </c>
      <c r="T37" s="844">
        <f t="shared" ca="1" si="51"/>
        <v>6.75</v>
      </c>
      <c r="U37" s="581">
        <f ca="1">INDEX(INDIRECT("CAM_WTPCore2_"&amp;$B37&amp;"_LevelValues"),2,MATCH("S1 MEAN",WTPCore2_LevelValues,0))</f>
        <v>7.1569068986342493E-2</v>
      </c>
      <c r="V37" s="581">
        <f ca="1">INDEX(INDIRECT("CAM_WTPCore2_"&amp;$B37&amp;"_LevelValues"),2,MATCH("S2 MEAN",WTPCore2_LevelValues,0))</f>
        <v>3.5284810800562588E-2</v>
      </c>
      <c r="W37" s="879">
        <f t="shared" ca="1" si="40"/>
        <v>0.10685387978690508</v>
      </c>
      <c r="X37" s="528">
        <f ca="1">E37*(S37-T37)/AllProps_CAM</f>
        <v>95.57334574468085</v>
      </c>
      <c r="Y37" s="579">
        <f ca="1">INDEX(INDIRECT("CAM_WTPCore_"&amp;$B37&amp;"_UnitValues"),MATCH("COMBINED-NHH",WTPCore_Group,0),MATCH("MEAN",LMH,0))</f>
        <v>15170.37037037037</v>
      </c>
      <c r="Z37" s="117">
        <f ca="1">Y37*(S37-T37)/NHHProps_CAM</f>
        <v>10.24</v>
      </c>
      <c r="AA37" s="117">
        <f ca="1">INDEX(INDIRECT("CAM_WTPCore2_"&amp;$B37&amp;"_UnitValues"),2,MATCH("MEAN",LMH,0))</f>
        <v>810506.46593919117</v>
      </c>
      <c r="AB37" s="117">
        <f ca="1">AA37*(S37-T37)/NHHProps_CAM</f>
        <v>547.09186450895402</v>
      </c>
      <c r="AC37" s="216">
        <f t="shared" ca="1" si="38"/>
        <v>161.95538394901558</v>
      </c>
      <c r="AD37" s="611" t="s">
        <v>666</v>
      </c>
      <c r="AE37" s="627">
        <f ca="1">AC37*NHHProps_CAM/((S37-T37))</f>
        <v>239933.90214668977</v>
      </c>
    </row>
    <row r="38" spans="1:31" x14ac:dyDescent="0.25">
      <c r="A38" s="9" t="s">
        <v>669</v>
      </c>
      <c r="B38" s="9" t="s">
        <v>315</v>
      </c>
      <c r="C38" s="9" t="str">
        <f t="shared" si="41"/>
        <v>Wildlife</v>
      </c>
      <c r="D38" s="514" t="s">
        <v>397</v>
      </c>
      <c r="E38" s="431">
        <f t="shared" ca="1" si="30"/>
        <v>162432</v>
      </c>
      <c r="F38" s="600">
        <f t="shared" ca="1" si="48"/>
        <v>0</v>
      </c>
      <c r="G38" s="600">
        <f t="shared" ca="1" si="48"/>
        <v>50</v>
      </c>
      <c r="H38" s="581">
        <f ca="1">INDEX(INDIRECT("SSW_WTPCore2_"&amp;$B38&amp;"_LevelValues"),2,MATCH("S1 MEAN",WTPCore2_LevelValues,0))</f>
        <v>3.6163448555426433E-4</v>
      </c>
      <c r="I38" s="581">
        <f ca="1">INDEX(INDIRECT("SSW_WTPCore2_"&amp;$B38&amp;"_LevelValues"),2,MATCH("S2 MEAN",WTPCore2_LevelValues,0))</f>
        <v>1.464595009466312E-3</v>
      </c>
      <c r="J38" s="435">
        <f t="shared" ca="1" si="39"/>
        <v>1.8262294950205764E-3</v>
      </c>
      <c r="K38" s="602">
        <f ca="1">-E38*(F38-G38)/AllProps_SSW</f>
        <v>13.788794567062819</v>
      </c>
      <c r="L38" s="579">
        <f t="shared" ca="1" si="33"/>
        <v>8184.4</v>
      </c>
      <c r="M38" s="117">
        <f ca="1">-L38*(F38-G38)/NHHProps_SSW</f>
        <v>11.06</v>
      </c>
      <c r="N38" s="117">
        <f ca="1">INDEX(INDIRECT("SSW_WTPCore2_"&amp;$B38&amp;"_UnitValues"),2,MATCH("MEAN",LMH,0))</f>
        <v>5978.637071618562</v>
      </c>
      <c r="O38" s="117">
        <f ca="1">-N38*(F38-G38)/NHHProps_SSW</f>
        <v>8.0792392859710294</v>
      </c>
      <c r="P38" s="606">
        <f t="shared" ca="1" si="37"/>
        <v>4.2197148508735358</v>
      </c>
      <c r="Q38" s="611" t="s">
        <v>397</v>
      </c>
      <c r="R38" s="627">
        <f ca="1">-P38*NHHProps_SSW/((F38-G38))</f>
        <v>3122.5889896464168</v>
      </c>
      <c r="S38" s="844">
        <f t="shared" ca="1" si="51"/>
        <v>0</v>
      </c>
      <c r="T38" s="844">
        <f t="shared" ca="1" si="51"/>
        <v>9</v>
      </c>
      <c r="U38" s="767">
        <f ca="1">INDEX(INDIRECT("CAM_WTPCore2_"&amp;$B38&amp;"_LevelValues"),2,MATCH("S1 MEAN",WTPCore2_LevelValues,0))</f>
        <v>1.500948855436721E-2</v>
      </c>
      <c r="V38" s="767">
        <f ca="1">INDEX(INDIRECT("CAM_WTPCore2_"&amp;$B38&amp;"_LevelValues"),2,MATCH("S2 MEAN",WTPCore2_LevelValues,0))</f>
        <v>5.3297158206472399E-3</v>
      </c>
      <c r="W38" s="879">
        <f t="shared" ca="1" si="40"/>
        <v>2.033920437501445E-2</v>
      </c>
      <c r="X38" s="528">
        <f ca="1">-E38*(S38-T38)/AllProps_CAM</f>
        <v>10.368</v>
      </c>
      <c r="Y38" s="117">
        <f t="shared" ca="1" si="36"/>
        <v>5120</v>
      </c>
      <c r="Z38" s="117">
        <f ca="1">-Y38*(S38-T38)/NHHProps_CAM</f>
        <v>4.6079999999999997</v>
      </c>
      <c r="AA38" s="117">
        <f ca="1">INDEX(INDIRECT("CAM_WTPCore2_"&amp;$B38&amp;"_UnitValues"),2,MATCH("MEAN",LMH,0))</f>
        <v>115707.47377785998</v>
      </c>
      <c r="AB38" s="117">
        <f ca="1">-AA38*(S38-T38)/NHHProps_CAM</f>
        <v>104.13672640007398</v>
      </c>
      <c r="AC38" s="216">
        <f t="shared" ca="1" si="38"/>
        <v>17.569264816460056</v>
      </c>
      <c r="AD38" s="611" t="s">
        <v>397</v>
      </c>
      <c r="AE38" s="627">
        <f ca="1">-AC38*NHHProps_CAM/((S38-T38))</f>
        <v>19521.405351622281</v>
      </c>
    </row>
    <row r="39" spans="1:31" x14ac:dyDescent="0.25">
      <c r="A39" s="9" t="s">
        <v>111</v>
      </c>
      <c r="B39" s="9" t="s">
        <v>271</v>
      </c>
      <c r="C39" s="9" t="str">
        <f t="shared" si="41"/>
        <v>Traffic</v>
      </c>
      <c r="D39" s="514" t="s">
        <v>369</v>
      </c>
      <c r="E39" s="431">
        <f t="shared" ca="1" si="30"/>
        <v>23734</v>
      </c>
      <c r="F39" s="600">
        <f t="shared" ca="1" si="42"/>
        <v>608.33333333333337</v>
      </c>
      <c r="G39" s="600">
        <f t="shared" ca="1" si="42"/>
        <v>243.33333333333334</v>
      </c>
      <c r="H39" s="581">
        <f t="shared" ca="1" si="43"/>
        <v>1E-3</v>
      </c>
      <c r="I39" s="581">
        <f t="shared" ca="1" si="44"/>
        <v>1E-3</v>
      </c>
      <c r="J39" s="435">
        <f t="shared" ca="1" si="39"/>
        <v>2E-3</v>
      </c>
      <c r="K39" s="602">
        <f ca="1">E39*(F39-G39)/AllProps_SSW</f>
        <v>14.707826825127334</v>
      </c>
      <c r="L39" s="579">
        <f t="shared" ca="1" si="33"/>
        <v>896.9205479452055</v>
      </c>
      <c r="M39" s="117">
        <f ca="1">L39*(F39-G39)/NHHProps_SSW</f>
        <v>8.8480000000000008</v>
      </c>
      <c r="N39" s="117">
        <f ca="1">L39</f>
        <v>896.9205479452055</v>
      </c>
      <c r="O39" s="117">
        <f ca="1">N39*(F39-G39)/NHHProps_SSW</f>
        <v>8.8480000000000008</v>
      </c>
      <c r="P39" s="606">
        <f t="shared" ca="1" si="37"/>
        <v>4.5009616305630491</v>
      </c>
      <c r="Q39" s="611" t="s">
        <v>398</v>
      </c>
      <c r="R39" s="627">
        <f ca="1">P39*NHHProps_SSW/((F39-G39))</f>
        <v>456.26186392008987</v>
      </c>
      <c r="S39" s="620">
        <f t="shared" ca="1" si="45"/>
        <v>365</v>
      </c>
      <c r="T39" s="620">
        <f t="shared" ca="1" si="45"/>
        <v>121.66666666666667</v>
      </c>
      <c r="U39" s="587">
        <f t="shared" ca="1" si="46"/>
        <v>3.0000000000000001E-3</v>
      </c>
      <c r="V39" s="587">
        <f t="shared" ca="1" si="47"/>
        <v>5.0000000000000001E-3</v>
      </c>
      <c r="W39" s="879">
        <f t="shared" ca="1" si="40"/>
        <v>8.0000000000000002E-3</v>
      </c>
      <c r="X39" s="528">
        <f ca="1">E39*(S39-T39)/AllProps_CAM</f>
        <v>40.959385342789595</v>
      </c>
      <c r="Y39" s="117">
        <f t="shared" ca="1" si="36"/>
        <v>1683.2876712328768</v>
      </c>
      <c r="Z39" s="117">
        <f ca="1">Y39*(S39-T39)/NHHProps_CAM</f>
        <v>40.96</v>
      </c>
      <c r="AA39" s="117">
        <f ca="1">Y39</f>
        <v>1683.2876712328768</v>
      </c>
      <c r="AB39" s="117">
        <f ca="1">AA39*(S39-T39)/NHHProps_CAM</f>
        <v>40.96</v>
      </c>
      <c r="AC39" s="216">
        <f t="shared" ca="1" si="38"/>
        <v>69.40839967273368</v>
      </c>
      <c r="AD39" s="611" t="s">
        <v>398</v>
      </c>
      <c r="AE39" s="627">
        <f ca="1">AC39*NHHProps_CAM/((S39-T39))</f>
        <v>2852.3999865506994</v>
      </c>
    </row>
    <row r="40" spans="1:31" x14ac:dyDescent="0.25">
      <c r="A40" s="9" t="s">
        <v>370</v>
      </c>
      <c r="B40" s="9" t="s">
        <v>399</v>
      </c>
      <c r="C40" s="9" t="str">
        <f t="shared" si="41"/>
        <v>NotSafe</v>
      </c>
      <c r="D40" s="514" t="s">
        <v>369</v>
      </c>
      <c r="E40" s="431">
        <f t="shared" ca="1" si="30"/>
        <v>26419</v>
      </c>
      <c r="F40" s="521">
        <f ca="1">INDEX(INDIRECT("SSW_WTPCore2_"&amp;$B40&amp;"_Levels"),2,MATCH(F$4,WTPCore2_AttLevels,0))</f>
        <v>1.2500000000000001E-2</v>
      </c>
      <c r="G40" s="521">
        <f ca="1">INDEX(INDIRECT("SSW_WTPCore2_"&amp;$B40&amp;"_Levels"),2,MATCH(G$4,WTPCore2_AttLevels,0))</f>
        <v>8.3333333333333332E-3</v>
      </c>
      <c r="H40" s="581">
        <f ca="1">INDEX(INDIRECT("SSW_WTPCore2_"&amp;$B40&amp;"_LevelValues"),2,MATCH("S1 MEAN",WTPCore2_LevelValues,0))</f>
        <v>1.5617999911371258E-4</v>
      </c>
      <c r="I40" s="581">
        <f ca="1">INDEX(INDIRECT("SSW_WTPCore2_"&amp;$B40&amp;"_LevelValues"),2,MATCH("S2 MEAN",WTPCore2_LevelValues,0))</f>
        <v>6.9518632551394011E-4</v>
      </c>
      <c r="J40" s="435">
        <f t="shared" ca="1" si="39"/>
        <v>8.5136632462765266E-4</v>
      </c>
      <c r="K40" s="602">
        <f ca="1">E40*(F40-G40)</f>
        <v>110.07916666666669</v>
      </c>
      <c r="L40" s="579">
        <f t="shared" ca="1" si="33"/>
        <v>800.37595925297103</v>
      </c>
      <c r="M40" s="117">
        <f ca="1">L40*($F40-$G40)*(AllProps_SSW/NHHProps_SSW)</f>
        <v>53.088000000000001</v>
      </c>
      <c r="N40" s="117">
        <f ca="1">INDEX(INDIRECT("SSW_WTPCore2_"&amp;$B40&amp;"_UnitValues"),2,MATCH("MEAN",LMH,0))</f>
        <v>56.784428229127826</v>
      </c>
      <c r="O40" s="117">
        <f ca="1">N40*($F40-$G40)*(AllProps_SSW/NHHProps_SSW)</f>
        <v>3.7664446201527362</v>
      </c>
      <c r="P40" s="606">
        <f t="shared" ca="1" si="37"/>
        <v>33.686968943947456</v>
      </c>
      <c r="Q40" s="611" t="s">
        <v>369</v>
      </c>
      <c r="R40" s="627">
        <f ca="1">P40*NHHProps_SSW/((F40-G40)*AllProps_SSW)</f>
        <v>507.87824146392762</v>
      </c>
      <c r="S40" s="837">
        <f ca="1">INDEX(INDIRECT("CAM_WTPCore2_"&amp;$B40&amp;"_Levels"),2,MATCH(S$4,WTPCore2_AttLevels,0))</f>
        <v>1.2500000000000001E-2</v>
      </c>
      <c r="T40" s="837">
        <f ca="1">INDEX(INDIRECT("CAM_WTPCore2_"&amp;$B40&amp;"_Levels"),2,MATCH(T$4,WTPCore2_AttLevels,0))</f>
        <v>8.3333333333333332E-3</v>
      </c>
      <c r="U40" s="767">
        <f ca="1">INDEX(INDIRECT("CAM_WTPCore2_"&amp;$B40&amp;"_LevelValues"),2,MATCH("S1 MEAN",WTPCore2_LevelValues,0))</f>
        <v>1.0438910529886973E-3</v>
      </c>
      <c r="V40" s="767">
        <f ca="1">INDEX(INDIRECT("CAM_WTPCore2_"&amp;$B40&amp;"_LevelValues"),2,MATCH("S2 MEAN",WTPCore2_LevelValues,0))</f>
        <v>6.3529836977335285E-4</v>
      </c>
      <c r="W40" s="879">
        <f t="shared" ca="1" si="40"/>
        <v>1.6791894227620502E-3</v>
      </c>
      <c r="X40" s="528">
        <f ca="1">E40*(S40-T40)</f>
        <v>110.07916666666669</v>
      </c>
      <c r="Y40" s="117">
        <f t="shared" ca="1" si="36"/>
        <v>784.34042553191466</v>
      </c>
      <c r="Z40" s="117">
        <f ca="1">Y40*($S40-$T40)*(AllProps_CAM/NHHProps_CAM)</f>
        <v>46.08</v>
      </c>
      <c r="AA40" s="117">
        <f ca="1">INDEX(INDIRECT("CAM_WTPCore2_"&amp;$B40&amp;"_UnitValues"),2,MATCH("MEAN",LMH,0))</f>
        <v>146.33957182198631</v>
      </c>
      <c r="AB40" s="117">
        <f ca="1">AA40*($S40-$T40)*(AllProps_CAM/NHHProps_CAM)</f>
        <v>8.597449844541698</v>
      </c>
      <c r="AC40" s="216">
        <f t="shared" ca="1" si="38"/>
        <v>186.536461221249</v>
      </c>
      <c r="AD40" s="611" t="s">
        <v>369</v>
      </c>
      <c r="AE40" s="627">
        <f ca="1">AC40*NHHProps_CAM/((S40-T40)*AllProps_CAM)</f>
        <v>3175.0887016382803</v>
      </c>
    </row>
    <row r="41" spans="1:31" x14ac:dyDescent="0.25">
      <c r="D41" s="514"/>
      <c r="E41" s="431"/>
      <c r="F41" s="20"/>
      <c r="G41" s="20"/>
      <c r="H41" s="20"/>
      <c r="I41" s="20"/>
      <c r="J41" s="445">
        <f ca="1">SUM(J31:J40)*AvgNHHBill_SSW</f>
        <v>252.62900671638494</v>
      </c>
      <c r="K41" s="603">
        <f ca="1">SUM(K31:K40)</f>
        <v>690.55754777400489</v>
      </c>
      <c r="L41" s="603"/>
      <c r="M41" s="446">
        <f ca="1">SUM(M30:M40)</f>
        <v>169.99124758431813</v>
      </c>
      <c r="N41" s="446"/>
      <c r="O41" s="446">
        <f ca="1">SUM(O30:O40)</f>
        <v>252.66439871638494</v>
      </c>
      <c r="P41" s="497">
        <f ca="1">SUM(P31:P40)</f>
        <v>211.32782315035155</v>
      </c>
      <c r="Q41" s="612"/>
      <c r="R41" s="628"/>
      <c r="S41" s="216"/>
      <c r="T41" s="216"/>
      <c r="U41" s="216"/>
      <c r="V41" s="216"/>
      <c r="W41" s="881">
        <f ca="1">SUM(W31:W40)*AvgNHHBill_CAM</f>
        <v>1349.8399974822105</v>
      </c>
      <c r="X41" s="532">
        <f ca="1">SUM(X31:X40)</f>
        <v>481.07976777300712</v>
      </c>
      <c r="Y41" s="532"/>
      <c r="Z41" s="446">
        <f ca="1">SUM(Z30:Z40)</f>
        <v>280.22987485077431</v>
      </c>
      <c r="AA41" s="446"/>
      <c r="AB41" s="284">
        <f ca="1">SUM(AB30:AB40)</f>
        <v>1350.213380906376</v>
      </c>
      <c r="AC41" s="52">
        <f ca="1">SUM(AC31:AC40)</f>
        <v>815.22162787857542</v>
      </c>
      <c r="AE41" s="534"/>
    </row>
    <row r="42" spans="1:31" s="60" customFormat="1" x14ac:dyDescent="0.25">
      <c r="D42" s="516"/>
      <c r="E42" s="523"/>
      <c r="F42" s="524"/>
      <c r="G42" s="524"/>
      <c r="H42" s="524"/>
      <c r="I42" s="524"/>
      <c r="J42" s="553"/>
      <c r="K42" s="31"/>
      <c r="L42" s="31"/>
      <c r="M42" s="830" t="s">
        <v>997</v>
      </c>
      <c r="N42" s="737">
        <f ca="1">AVERAGE(M41,O41)</f>
        <v>211.32782315035155</v>
      </c>
      <c r="O42" s="830"/>
      <c r="P42" s="15"/>
      <c r="Q42" s="617"/>
      <c r="R42" s="629"/>
      <c r="S42" s="44"/>
      <c r="T42" s="44"/>
      <c r="U42" s="44"/>
      <c r="V42" s="44"/>
      <c r="W42" s="835"/>
      <c r="X42" s="31"/>
      <c r="Y42" s="31"/>
      <c r="Z42" s="830" t="s">
        <v>997</v>
      </c>
      <c r="AA42" s="737">
        <f ca="1">AVERAGE(Z41,AB41)</f>
        <v>815.22162787857519</v>
      </c>
      <c r="AB42" s="830"/>
      <c r="AC42" s="15"/>
      <c r="AD42" s="15"/>
      <c r="AE42" s="535"/>
    </row>
    <row r="43" spans="1:31" x14ac:dyDescent="0.25">
      <c r="A43" s="61" t="s">
        <v>164</v>
      </c>
      <c r="B43" s="237"/>
      <c r="D43" s="515"/>
      <c r="E43" s="522"/>
      <c r="F43" s="448"/>
      <c r="G43" s="448"/>
      <c r="H43" s="497"/>
      <c r="I43" s="497"/>
      <c r="J43" s="497"/>
      <c r="K43" s="531"/>
      <c r="L43" s="531"/>
      <c r="M43" s="531"/>
      <c r="N43" s="531"/>
      <c r="O43" s="531"/>
      <c r="P43" s="54"/>
      <c r="Q43" s="614"/>
      <c r="R43" s="630"/>
      <c r="S43" s="54"/>
      <c r="T43" s="54"/>
      <c r="U43" s="53"/>
      <c r="V43" s="53"/>
      <c r="W43" s="53"/>
      <c r="X43" s="531"/>
      <c r="Y43" s="531"/>
      <c r="Z43" s="531"/>
      <c r="AA43" s="531"/>
      <c r="AB43" s="531"/>
      <c r="AC43" s="54"/>
      <c r="AE43" s="536"/>
    </row>
    <row r="44" spans="1:31" x14ac:dyDescent="0.25">
      <c r="A44" s="9" t="s">
        <v>671</v>
      </c>
      <c r="B44" s="9" t="s">
        <v>269</v>
      </c>
      <c r="C44" s="9" t="s">
        <v>328</v>
      </c>
      <c r="D44" s="514" t="s">
        <v>369</v>
      </c>
      <c r="E44" s="431">
        <f ca="1">INDEX(INDIRECT("ExtWTP19_"&amp;$C44&amp;"_UnitValues"),MATCH(A$43, INDIRECT("ExtWTP19_Comps_"&amp;C44),0),MATCH("NHH",ExtWTP_Group,0))</f>
        <v>701</v>
      </c>
      <c r="F44" s="521">
        <f ca="1">INDEX(INDIRECT("SSW_WTPCore2_"&amp;$B44&amp;"_Levels"),2,MATCH(F$4,WTPCore2_AttLevels,0))</f>
        <v>1.2500000000000001E-2</v>
      </c>
      <c r="G44" s="521">
        <f ca="1">INDEX(INDIRECT("SSW_WTPCore2_"&amp;$B44&amp;"_Levels"),2,MATCH(G$4,WTPCore2_AttLevels,0))</f>
        <v>8.3333333333333332E-3</v>
      </c>
      <c r="H44" s="581">
        <f ca="1">INDEX(INDIRECT("SSW_WTPCore2_"&amp;$B44&amp;"_LevelValues"),2,MATCH("S1 MEAN",WTPCore2_LevelValues,0))</f>
        <v>2.3562800507588295E-4</v>
      </c>
      <c r="I44" s="581">
        <f ca="1">INDEX(INDIRECT("SSW_WTPCore2_"&amp;$B44&amp;"_LevelValues"),2,MATCH("S2 MEAN",WTPCore2_LevelValues,0))</f>
        <v>4.1117889914467278E-4</v>
      </c>
      <c r="J44" s="435">
        <f ca="1">SUM(H44:I44)</f>
        <v>6.4680690422055573E-4</v>
      </c>
      <c r="K44" s="602">
        <f ca="1">E44*(F44-G44)</f>
        <v>2.9208333333333338</v>
      </c>
      <c r="L44" s="579">
        <f ca="1">INDEX(INDIRECT("SSW_WTPCore_DCE_"&amp;$B44&amp;"_UnitValues"),MATCH("COMBINED-NHH",WTPCore_Group,0),MATCH("MEAN",LMH,0))</f>
        <v>310.41834897651921</v>
      </c>
      <c r="M44" s="117">
        <f ca="1">L44*($F44-$G44)*(AllProps_SSW/NHHProps_SSW)</f>
        <v>20.589685534591201</v>
      </c>
      <c r="N44" s="117">
        <f ca="1">INDEX(INDIRECT("SSW_WTPCore2_"&amp;$B44&amp;"_UnitValues"),2,MATCH("MEAN",LMH,0))</f>
        <v>43.140724701414321</v>
      </c>
      <c r="O44" s="117">
        <f ca="1">N44*($F44-$G44)*(AllProps_SSW/NHHProps_SSW)</f>
        <v>2.8614737442717391</v>
      </c>
      <c r="P44" s="437">
        <f ca="1">K44*N$50/K$49</f>
        <v>9.5021255857638387</v>
      </c>
      <c r="Q44" s="611" t="s">
        <v>369</v>
      </c>
      <c r="R44" s="627">
        <f ca="1">P44*NHHProps_SSW/((F44-G44)*AllProps_SSW)</f>
        <v>143.25785263426633</v>
      </c>
      <c r="S44" s="837">
        <f ca="1">INDEX(INDIRECT("CAM_WTPCore2_"&amp;$B44&amp;"_Levels"),2,MATCH(S$4,WTPCore2_AttLevels,0))</f>
        <v>2.5000000000000001E-2</v>
      </c>
      <c r="T44" s="837">
        <f ca="1">INDEX(INDIRECT("CAM_WTPCore2_"&amp;$B44&amp;"_Levels"),2,MATCH(T$4,WTPCore2_AttLevels,0))</f>
        <v>1.6666666666666666E-2</v>
      </c>
      <c r="U44" s="767">
        <f ca="1">INDEX(INDIRECT("CAM_WTPCore2_"&amp;$B44&amp;"_LevelValues"),2,MATCH("S1 MEAN",WTPCore2_LevelValues,0))</f>
        <v>2.654718763279678E-4</v>
      </c>
      <c r="V44" s="767">
        <f ca="1">INDEX(INDIRECT("CAM_WTPCore2_"&amp;$B44&amp;"_LevelValues"),2,MATCH("S2 MEAN",WTPCore2_LevelValues,0))</f>
        <v>1.3401602008677625E-5</v>
      </c>
      <c r="W44" s="879">
        <f ca="1">SUM(U44:V44)</f>
        <v>2.7887347833664542E-4</v>
      </c>
      <c r="X44" s="528">
        <f ca="1">E44*(S44-T44)</f>
        <v>5.8416666666666677</v>
      </c>
      <c r="Y44" s="117">
        <f ca="1">INDEX(INDIRECT("CAM_WTPCore_"&amp;$B44&amp;"_UnitValues"),MATCH("COMBINED-NHH",WTPCore_Group,0),MATCH("MEAN",LMH,0))</f>
        <v>90.78014184397162</v>
      </c>
      <c r="Z44" s="117">
        <f ca="1">Y44*($S44-$T44)*(AllProps_CAM/NHHProps_CAM)</f>
        <v>10.666666666666668</v>
      </c>
      <c r="AA44" s="117">
        <f ca="1">INDEX(INDIRECT("CAM_WTPCore2_"&amp;$B44&amp;"_UnitValues"),2,MATCH("MEAN",LMH,0))</f>
        <v>12.15176348156276</v>
      </c>
      <c r="AB44" s="117">
        <f ca="1">AA44*($S44-$T44)*(AllProps_CAM/NHHProps_CAM)</f>
        <v>1.4278322090836244</v>
      </c>
      <c r="AC44" s="216">
        <f ca="1">X44*AA$50/X$49</f>
        <v>72.978591628441734</v>
      </c>
      <c r="AD44" s="611" t="s">
        <v>369</v>
      </c>
      <c r="AE44" s="627">
        <f ca="1">AC44*NHHProps_CAM/((S44-T44)*AllProps_CAM)</f>
        <v>621.09439683780192</v>
      </c>
    </row>
    <row r="45" spans="1:31" x14ac:dyDescent="0.25">
      <c r="A45" s="9" t="s">
        <v>182</v>
      </c>
      <c r="B45" s="9" t="s">
        <v>269</v>
      </c>
      <c r="C45" s="9" t="s">
        <v>326</v>
      </c>
      <c r="D45" s="514" t="s">
        <v>369</v>
      </c>
      <c r="E45" s="431">
        <f ca="1">INDEX(INDIRECT("ExtWTP19_"&amp;$C45&amp;"_UnitValues"),MATCH(A$43, INDIRECT("ExtWTP19_Comps_"&amp;C45),0),MATCH("NHH",ExtWTP_Group,0))</f>
        <v>371</v>
      </c>
      <c r="F45" s="521">
        <f ca="1">INDEX(INDIRECT("SSW_WTPCore2_"&amp;$B45&amp;"_Levels"),2,MATCH(F$4,WTPCore2_AttLevels,0))</f>
        <v>1.2500000000000001E-2</v>
      </c>
      <c r="G45" s="521">
        <f ca="1">INDEX(INDIRECT("SSW_WTPCore2_"&amp;$B45&amp;"_Levels"),2,MATCH(G$4,WTPCore2_AttLevels,0))</f>
        <v>8.3333333333333332E-3</v>
      </c>
      <c r="H45" s="581">
        <f ca="1">INDEX(INDIRECT("SSW_WTPCore2_"&amp;$B45&amp;"_LevelValues"),2,MATCH("S1 MEAN",WTPCore2_LevelValues,0))</f>
        <v>2.3562800507588295E-4</v>
      </c>
      <c r="I45" s="581">
        <f ca="1">INDEX(INDIRECT("SSW_WTPCore2_"&amp;$B45&amp;"_LevelValues"),2,MATCH("S2 MEAN",WTPCore2_LevelValues,0))</f>
        <v>4.1117889914467278E-4</v>
      </c>
      <c r="J45" s="435">
        <f ca="1">SUM(H45:I45)</f>
        <v>6.4680690422055573E-4</v>
      </c>
      <c r="K45" s="602">
        <f ca="1">E45*(F45-G45)</f>
        <v>1.5458333333333336</v>
      </c>
      <c r="L45" s="579">
        <f ca="1">INDEX(INDIRECT("SSW_WTPCore_DCE_"&amp;$B45&amp;"_UnitValues"),MATCH("COMBINED-NHH",WTPCore_Group,0),MATCH("MEAN",LMH,0))</f>
        <v>310.41834897651921</v>
      </c>
      <c r="M45" s="117">
        <f ca="1">L45*($F45-$G45)*(AllProps_SSW/NHHProps_SSW)</f>
        <v>20.589685534591201</v>
      </c>
      <c r="N45" s="117">
        <f ca="1">INDEX(INDIRECT("SSW_WTPCore2_"&amp;$B45&amp;"_UnitValues"),2,MATCH("MEAN",LMH,0))</f>
        <v>43.140724701414321</v>
      </c>
      <c r="O45" s="117">
        <f ca="1">N45*($F45-$G45)*(AllProps_SSW/NHHProps_SSW)</f>
        <v>2.8614737442717391</v>
      </c>
      <c r="P45" s="437">
        <f t="shared" ref="P45:P48" ca="1" si="52">K45*N$50/K$49</f>
        <v>5.0289423570875664</v>
      </c>
      <c r="Q45" s="611" t="s">
        <v>369</v>
      </c>
      <c r="R45" s="627">
        <f ca="1">P45*NHHProps_SSW/((F45-G45)*AllProps_SSW)</f>
        <v>75.818349967635967</v>
      </c>
      <c r="S45" s="837">
        <f ca="1">INDEX(INDIRECT("CAM_WTPCore2_"&amp;$B45&amp;"_Levels"),2,MATCH(S$4,WTPCore2_AttLevels,0))</f>
        <v>2.5000000000000001E-2</v>
      </c>
      <c r="T45" s="837">
        <f ca="1">INDEX(INDIRECT("CAM_WTPCore2_"&amp;$B45&amp;"_Levels"),2,MATCH(T$4,WTPCore2_AttLevels,0))</f>
        <v>1.6666666666666666E-2</v>
      </c>
      <c r="U45" s="767">
        <f ca="1">INDEX(INDIRECT("CAM_WTPCore2_"&amp;$B45&amp;"_LevelValues"),2,MATCH("S1 MEAN",WTPCore2_LevelValues,0))</f>
        <v>2.654718763279678E-4</v>
      </c>
      <c r="V45" s="767">
        <f ca="1">INDEX(INDIRECT("CAM_WTPCore2_"&amp;$B45&amp;"_LevelValues"),2,MATCH("S2 MEAN",WTPCore2_LevelValues,0))</f>
        <v>1.3401602008677625E-5</v>
      </c>
      <c r="W45" s="879">
        <f ca="1">SUM(U45:V45)</f>
        <v>2.7887347833664542E-4</v>
      </c>
      <c r="X45" s="528">
        <f ca="1">E45*(S45-T45)</f>
        <v>3.0916666666666672</v>
      </c>
      <c r="Y45" s="117">
        <f ca="1">INDEX(INDIRECT("CAM_WTPCore_"&amp;$B45&amp;"_UnitValues"),MATCH("COMBINED-NHH",WTPCore_Group,0),MATCH("MEAN",LMH,0))</f>
        <v>90.78014184397162</v>
      </c>
      <c r="Z45" s="117">
        <f ca="1">Y45*($S45-$T45)*(AllProps_CAM/NHHProps_CAM)</f>
        <v>10.666666666666668</v>
      </c>
      <c r="AA45" s="117">
        <f ca="1">INDEX(INDIRECT("CAM_WTPCore2_"&amp;$B45&amp;"_UnitValues"),2,MATCH("MEAN",LMH,0))</f>
        <v>12.15176348156276</v>
      </c>
      <c r="AB45" s="117">
        <f ca="1">AA45*($S45-$T45)*(AllProps_CAM/NHHProps_CAM)</f>
        <v>1.4278322090836244</v>
      </c>
      <c r="AC45" s="216">
        <f t="shared" ref="AC45:AC48" ca="1" si="53">X45*AA$50/X$49</f>
        <v>38.623477167121088</v>
      </c>
      <c r="AD45" s="611" t="s">
        <v>369</v>
      </c>
      <c r="AE45" s="627">
        <f ca="1">AC45*NHHProps_CAM/((S45-T45)*AllProps_CAM)</f>
        <v>328.71044397549855</v>
      </c>
    </row>
    <row r="46" spans="1:31" x14ac:dyDescent="0.25">
      <c r="A46" s="9" t="s">
        <v>615</v>
      </c>
      <c r="B46" s="9" t="s">
        <v>323</v>
      </c>
      <c r="C46" s="9" t="str">
        <f>B46</f>
        <v>Drought</v>
      </c>
      <c r="D46" s="514" t="s">
        <v>369</v>
      </c>
      <c r="E46" s="431">
        <f ca="1">INDEX(INDIRECT("ExtWTP19_"&amp;$C46&amp;"_UnitValues"),MATCH(A$43, INDIRECT("ExtWTP19_Comps_"&amp;C46),0),MATCH("NHH",ExtWTP_Group,0))</f>
        <v>782</v>
      </c>
      <c r="F46" s="521">
        <f t="shared" ref="F46" ca="1" si="54">INDEX(INDIRECT("SSW_WTPCore_DCE_"&amp;$B46&amp;"_Levels"),MATCH("COMBINED-NHH",WTPCore_Group,0),MATCH(F$4,WTPCore_AttLevels,0))</f>
        <v>1.2500000000000001E-2</v>
      </c>
      <c r="G46" s="521">
        <v>8.3000000000000001E-3</v>
      </c>
      <c r="H46" s="581">
        <f ca="1">INDEX(INDIRECT("SSW_WTPCore_DCE_"&amp;$B46&amp;"_LevelValues"),MATCH("COMBINED-NHH",WTPCore_Group,0),MATCH("S1 MEAN",WTPCore_LevelValues,0))</f>
        <v>1E-3</v>
      </c>
      <c r="I46" s="581">
        <f ca="1">INDEX(INDIRECT("SSW_WTPCore_DCE_"&amp;$B46&amp;"_LevelValues"),MATCH("COMBINED-NHH",WTPCore_Group,0),MATCH("S2 MEAN",WTPCore_LevelValues,0))</f>
        <v>8.0000000000000002E-3</v>
      </c>
      <c r="J46" s="435">
        <f ca="1">H46</f>
        <v>1E-3</v>
      </c>
      <c r="K46" s="602">
        <f ca="1">E46*(F46-G46)</f>
        <v>3.2844000000000007</v>
      </c>
      <c r="L46" s="579">
        <f ca="1">INDEX(INDIRECT("SSW_WTPCore_DCE_"&amp;$B46&amp;"_UnitValues"),MATCH("COMBINED-NHH",WTPCore_Group,0),MATCH("MEAN",LMH,0))</f>
        <v>392851.19999999995</v>
      </c>
      <c r="M46" s="117">
        <f ca="1">L46*(F46-G46)/NHHProps_SSW*100</f>
        <v>4.4593920000000002</v>
      </c>
      <c r="N46" s="117">
        <f ca="1">L46</f>
        <v>392851.19999999995</v>
      </c>
      <c r="O46" s="117">
        <f ca="1">N46*(F46-G46)/NHHProps_SSW*100</f>
        <v>4.4593920000000002</v>
      </c>
      <c r="P46" s="437">
        <f t="shared" ca="1" si="52"/>
        <v>10.684889451828617</v>
      </c>
      <c r="Q46" s="611" t="s">
        <v>422</v>
      </c>
      <c r="R46" s="627">
        <f ca="1">P46*NHHProps_SSW/((F46-G46)*100)</f>
        <v>941287.88028013997</v>
      </c>
      <c r="S46" s="16">
        <f t="shared" ref="S46" ca="1" si="55">INDEX(INDIRECT("CAM_WTPCore_"&amp;$B46&amp;"_Levels"),MATCH("COMBINED-NHH",WTPCore_Group,0),MATCH(S$4,WTPCore_AttLevels,0))</f>
        <v>1.2500000000000001E-2</v>
      </c>
      <c r="T46" s="16">
        <v>8.3000000000000001E-3</v>
      </c>
      <c r="U46" s="587">
        <f ca="1">INDEX(INDIRECT("CAM_WTPCore_"&amp;$B46&amp;"_LevelValues"),MATCH("COMBINED-NHH",WTPCore_Group,0),MATCH("S1 MEAN",WTPCore_LevelValues,0))</f>
        <v>9.1158062540521636E-3</v>
      </c>
      <c r="V46" s="587">
        <f ca="1">INDEX(INDIRECT("CAM_WTPCore_"&amp;$B46&amp;"_LevelValues"),MATCH("COMBINED-NHH",WTPCore_Group,0),MATCH("S2 MEAN",WTPCore_LevelValues,0))</f>
        <v>2.0400790621022298E-3</v>
      </c>
      <c r="W46" s="879">
        <f ca="1">U46</f>
        <v>9.1158062540521636E-3</v>
      </c>
      <c r="X46" s="528">
        <f ca="1">E46*(S46-T46)</f>
        <v>3.2844000000000007</v>
      </c>
      <c r="Y46" s="117">
        <f ca="1">INDEX(INDIRECT("CAM_WTPCore_"&amp;$B46&amp;"_UnitValues"),MATCH("COMBINED-NHH",WTPCore_Group,0),MATCH("MEAN",LMH,0))</f>
        <v>1120150.2724979296</v>
      </c>
      <c r="Z46" s="117">
        <f ca="1">Y46*(S46-T46)/NHHProps_CAM*100</f>
        <v>47.046311444913052</v>
      </c>
      <c r="AA46" s="117">
        <f ca="1">Y46</f>
        <v>1120150.2724979296</v>
      </c>
      <c r="AB46" s="117">
        <f ca="1">AA46*(S46-T46)/NHHProps_CAM*100</f>
        <v>47.046311444913052</v>
      </c>
      <c r="AC46" s="216">
        <f t="shared" ca="1" si="53"/>
        <v>41.031250158822374</v>
      </c>
      <c r="AD46" s="611" t="s">
        <v>422</v>
      </c>
      <c r="AE46" s="627">
        <f ca="1">AC46*NHHProps_CAM/((S46-T46)*100)</f>
        <v>976934.52759100881</v>
      </c>
    </row>
    <row r="47" spans="1:31" x14ac:dyDescent="0.25">
      <c r="A47" s="9" t="s">
        <v>3</v>
      </c>
      <c r="B47" s="9" t="s">
        <v>3</v>
      </c>
      <c r="C47" s="9" t="str">
        <f>B47</f>
        <v>Leakage</v>
      </c>
      <c r="D47" s="514" t="s">
        <v>666</v>
      </c>
      <c r="E47" s="431">
        <f ca="1">INDEX(INDIRECT("ExtWTP19_"&amp;$C47&amp;"_UnitValues"),MATCH(A$43, INDIRECT("ExtWTP19_Comps_"&amp;C47),0),MATCH("NHH",ExtWTP_Group,0))</f>
        <v>339374</v>
      </c>
      <c r="F47" s="598">
        <f ca="1">INDEX(INDIRECT("SSW_WTPCore2_"&amp;$B47&amp;"_Levels"),2,MATCH(F$4,WTPCore2_AttLevels,0))</f>
        <v>70.5</v>
      </c>
      <c r="G47" s="598">
        <f ca="1">INDEX(INDIRECT("SSW_WTPCore2_"&amp;$B47&amp;"_Levels"),2,MATCH(G$4,WTPCore2_AttLevels,0))</f>
        <v>35.25</v>
      </c>
      <c r="H47" s="581">
        <f ca="1">INDEX(INDIRECT("SSW_WTPCore2_"&amp;$B47&amp;"_LevelValues"),2,MATCH("S1 MEAN",WTPCore2_LevelValues,0))</f>
        <v>1.8366495603833657E-2</v>
      </c>
      <c r="I47" s="581">
        <f ca="1">INDEX(INDIRECT("SSW_WTPCore2_"&amp;$B47&amp;"_LevelValues"),2,MATCH("S2 MEAN",WTPCore2_LevelValues,0))</f>
        <v>6.6875105310339848E-3</v>
      </c>
      <c r="J47" s="435">
        <f ca="1">SUM(H47:I47)</f>
        <v>2.5054006134867642E-2</v>
      </c>
      <c r="K47" s="602">
        <f ca="1">E47*(F47-G47)/AllProps_SSW</f>
        <v>20.310583191850593</v>
      </c>
      <c r="L47" s="579">
        <f ca="1">INDEX(INDIRECT("SSW_WTPCore_DCE_"&amp;$B47&amp;"_UnitValues"),MATCH("COMBINED-NHH",WTPCore_Group,0),MATCH("MEAN",LMH,0))</f>
        <v>23218.156028368794</v>
      </c>
      <c r="M47" s="117">
        <f ca="1">L47*(F47-G47)/NHHProps_SSW</f>
        <v>22.12</v>
      </c>
      <c r="N47" s="117">
        <f ca="1">INDEX(INDIRECT("SSW_WTPCore2_"&amp;$B47&amp;"_UnitValues"),2,MATCH("MEAN",LMH,0))</f>
        <v>116341.56471501317</v>
      </c>
      <c r="O47" s="117">
        <f ca="1">N47*(F47-G47)/NHHProps_SSW</f>
        <v>110.83892314065444</v>
      </c>
      <c r="P47" s="437">
        <f t="shared" ca="1" si="52"/>
        <v>66.074880071578377</v>
      </c>
      <c r="Q47" s="611" t="s">
        <v>666</v>
      </c>
      <c r="R47" s="627">
        <f ca="1">P47*NHHProps_SSW/((F47-G47))</f>
        <v>69355.193266621267</v>
      </c>
      <c r="S47" s="844">
        <f ca="1">INDEX(INDIRECT("CAM_WTPCore2_"&amp;$B47&amp;"_Levels"),2,MATCH(S$4,WTPCore2_AttLevels,0))</f>
        <v>13.5</v>
      </c>
      <c r="T47" s="844">
        <f ca="1">INDEX(INDIRECT("CAM_WTPCore2_"&amp;$B47&amp;"_Levels"),2,MATCH(T$4,WTPCore2_AttLevels,0))</f>
        <v>6.75</v>
      </c>
      <c r="U47" s="767">
        <f ca="1">INDEX(INDIRECT("CAM_WTPCore2_"&amp;$B47&amp;"_LevelValues"),2,MATCH("S1 MEAN",WTPCore2_LevelValues,0))</f>
        <v>7.1569068986342493E-2</v>
      </c>
      <c r="V47" s="767">
        <f ca="1">INDEX(INDIRECT("CAM_WTPCore2_"&amp;$B47&amp;"_LevelValues"),2,MATCH("S2 MEAN",WTPCore2_LevelValues,0))</f>
        <v>3.5284810800562588E-2</v>
      </c>
      <c r="W47" s="879">
        <f ca="1">SUM(U47:V47)</f>
        <v>0.10685387978690508</v>
      </c>
      <c r="X47" s="528">
        <f ca="1">E47*(S47-T47)/AllProps_CAM</f>
        <v>16.246627659574468</v>
      </c>
      <c r="Y47" s="117">
        <f ca="1">INDEX(INDIRECT("CAM_WTPCore_"&amp;$B47&amp;"_UnitValues"),MATCH("COMBINED-NHH",WTPCore_Group,0),MATCH("MEAN",LMH,0))</f>
        <v>15170.37037037037</v>
      </c>
      <c r="Z47" s="117">
        <f ca="1">Y47*(S47-T47)/NHHProps_CAM</f>
        <v>10.24</v>
      </c>
      <c r="AA47" s="117">
        <f ca="1">INDEX(INDIRECT("CAM_WTPCore2_"&amp;$B47&amp;"_UnitValues"),2,MATCH("MEAN",LMH,0))</f>
        <v>810506.46593919117</v>
      </c>
      <c r="AB47" s="117">
        <f ca="1">AA47*(S47-T47)/NHHProps_CAM</f>
        <v>547.09186450895402</v>
      </c>
      <c r="AC47" s="216">
        <f ca="1">X47*AA$50/X$49</f>
        <v>202.96536467459586</v>
      </c>
      <c r="AD47" s="611" t="s">
        <v>666</v>
      </c>
      <c r="AE47" s="627">
        <f ca="1">AC47*NHHProps_CAM/((S47-T47))</f>
        <v>300689.42914754944</v>
      </c>
    </row>
    <row r="48" spans="1:31" x14ac:dyDescent="0.25">
      <c r="A48" s="9" t="s">
        <v>669</v>
      </c>
      <c r="B48" s="9" t="s">
        <v>315</v>
      </c>
      <c r="C48" s="9" t="str">
        <f>B48</f>
        <v>Wildlife</v>
      </c>
      <c r="D48" s="514" t="s">
        <v>397</v>
      </c>
      <c r="E48" s="431">
        <f ca="1">INDEX(INDIRECT("ExtWTP19_"&amp;$C48&amp;"_UnitValues"),MATCH(A$43, INDIRECT("ExtWTP19_Comps_"&amp;C48),0),MATCH("NHH",ExtWTP_Group,0))</f>
        <v>45874</v>
      </c>
      <c r="F48" s="600">
        <f ca="1">INDEX(INDIRECT("SSW_WTPCore2_"&amp;$B48&amp;"_Levels"),2,MATCH(F$4,WTPCore2_AttLevels,0))</f>
        <v>0</v>
      </c>
      <c r="G48" s="600">
        <f ca="1">INDEX(INDIRECT("SSW_WTPCore2_"&amp;$B48&amp;"_Levels"),2,MATCH(G$4,WTPCore2_AttLevels,0))</f>
        <v>50</v>
      </c>
      <c r="H48" s="581">
        <f ca="1">INDEX(INDIRECT("SSW_WTPCore2_"&amp;$B48&amp;"_LevelValues"),2,MATCH("S1 MEAN",WTPCore2_LevelValues,0))</f>
        <v>3.6163448555426433E-4</v>
      </c>
      <c r="I48" s="581">
        <f ca="1">INDEX(INDIRECT("SSW_WTPCore2_"&amp;$B48&amp;"_LevelValues"),2,MATCH("S2 MEAN",WTPCore2_LevelValues,0))</f>
        <v>1.464595009466312E-3</v>
      </c>
      <c r="J48" s="435">
        <f ca="1">SUM(H48:I48)</f>
        <v>1.8262294950205764E-3</v>
      </c>
      <c r="K48" s="602">
        <f ca="1">-E48*(F48-G48)/AllProps_SSW</f>
        <v>3.8942275042444821</v>
      </c>
      <c r="L48" s="579">
        <f ca="1">INDEX(INDIRECT("SSW_WTPCore_DCE_"&amp;$B48&amp;"_UnitValues"),MATCH("COMBINED-NHH",WTPCore_Group,0),MATCH("MEAN",LMH,0))</f>
        <v>8184.4</v>
      </c>
      <c r="M48" s="117">
        <f ca="1">-L48*(F48-G48)/NHHProps_SSW</f>
        <v>11.06</v>
      </c>
      <c r="N48" s="117">
        <f ca="1">INDEX(INDIRECT("SSW_WTPCore2_"&amp;$B48&amp;"_UnitValues"),2,MATCH("MEAN",LMH,0))</f>
        <v>5978.637071618562</v>
      </c>
      <c r="O48" s="117">
        <f ca="1">-N48*(F48-G48)/NHHProps_SSW</f>
        <v>8.0792392859710294</v>
      </c>
      <c r="P48" s="437">
        <f t="shared" ca="1" si="52"/>
        <v>12.668795025917289</v>
      </c>
      <c r="Q48" s="611" t="s">
        <v>397</v>
      </c>
      <c r="R48" s="627">
        <f ca="1">-P48*NHHProps_SSW/((F48-G48))</f>
        <v>9374.908319178794</v>
      </c>
      <c r="S48" s="844">
        <f ca="1">INDEX(INDIRECT("CAM_WTPCore2_"&amp;$B48&amp;"_Levels"),2,MATCH(S$4,WTPCore2_AttLevels,0))</f>
        <v>0</v>
      </c>
      <c r="T48" s="844">
        <f ca="1">INDEX(INDIRECT("CAM_WTPCore2_"&amp;$B48&amp;"_Levels"),2,MATCH(T$4,WTPCore2_AttLevels,0))</f>
        <v>9</v>
      </c>
      <c r="U48" s="767">
        <f ca="1">INDEX(INDIRECT("CAM_WTPCore2_"&amp;$B48&amp;"_LevelValues"),2,MATCH("S1 MEAN",WTPCore2_LevelValues,0))</f>
        <v>1.500948855436721E-2</v>
      </c>
      <c r="V48" s="767">
        <f ca="1">INDEX(INDIRECT("CAM_WTPCore2_"&amp;$B48&amp;"_LevelValues"),2,MATCH("S2 MEAN",WTPCore2_LevelValues,0))</f>
        <v>5.3297158206472399E-3</v>
      </c>
      <c r="W48" s="879">
        <f ca="1">SUM(U48:V48)</f>
        <v>2.033920437501445E-2</v>
      </c>
      <c r="X48" s="528">
        <f ca="1">-E48*(S48-T48)/AllProps_CAM</f>
        <v>2.9281276595744683</v>
      </c>
      <c r="Y48" s="117">
        <f ca="1">INDEX(INDIRECT("CAM_WTPCore_"&amp;$B48&amp;"_UnitValues"),MATCH("COMBINED-NHH",WTPCore_Group,0),MATCH("MEAN",LMH,0))</f>
        <v>5120</v>
      </c>
      <c r="Z48" s="117">
        <f ca="1">-Y48*(S48-T48)/NHHProps_CAM</f>
        <v>4.6079999999999997</v>
      </c>
      <c r="AA48" s="117">
        <f ca="1">INDEX(INDIRECT("CAM_WTPCore2_"&amp;$B48&amp;"_UnitValues"),2,MATCH("MEAN",LMH,0))</f>
        <v>115707.47377785998</v>
      </c>
      <c r="AB48" s="117">
        <f ca="1">-AA48*(S48-T48)/NHHProps_CAM</f>
        <v>104.13672640007398</v>
      </c>
      <c r="AC48" s="216">
        <f t="shared" ca="1" si="53"/>
        <v>36.580422146196277</v>
      </c>
      <c r="AD48" s="611" t="s">
        <v>397</v>
      </c>
      <c r="AE48" s="627">
        <f ca="1">-AC48*NHHProps_CAM/((S48-T48))</f>
        <v>40644.913495773646</v>
      </c>
    </row>
    <row r="49" spans="1:31" x14ac:dyDescent="0.25">
      <c r="D49" s="514"/>
      <c r="E49" s="431"/>
      <c r="F49" s="20"/>
      <c r="G49" s="20"/>
      <c r="H49" s="20"/>
      <c r="I49" s="20"/>
      <c r="J49" s="445">
        <f ca="1">SUM(J44:J48)*AvgNHHBill_SSW</f>
        <v>129.06510991516896</v>
      </c>
      <c r="K49" s="603">
        <f ca="1">SUM(K44:K48)</f>
        <v>31.955877362761747</v>
      </c>
      <c r="L49" s="603"/>
      <c r="M49" s="446">
        <f ca="1">SUM(M44:M48)</f>
        <v>78.81876306918241</v>
      </c>
      <c r="N49" s="446"/>
      <c r="O49" s="446">
        <f ca="1">SUM(O44:O48)</f>
        <v>129.10050191516896</v>
      </c>
      <c r="P49" s="497">
        <f ca="1">SUM(P44:P48)</f>
        <v>103.95963249217569</v>
      </c>
      <c r="Q49" s="612"/>
      <c r="R49" s="628"/>
      <c r="S49" s="216"/>
      <c r="T49" s="216"/>
      <c r="U49" s="216"/>
      <c r="V49" s="216"/>
      <c r="W49" s="881">
        <f ca="1">SUM(W44:W48)*AvgNHHBill_CAM</f>
        <v>700.75718334794237</v>
      </c>
      <c r="X49" s="532">
        <f ca="1">SUM(X44:X48)</f>
        <v>31.392488652482271</v>
      </c>
      <c r="Y49" s="532"/>
      <c r="Z49" s="446">
        <f ca="1">SUM(Z44:Z48)</f>
        <v>83.227644778246386</v>
      </c>
      <c r="AA49" s="446"/>
      <c r="AB49" s="446">
        <f ca="1">SUM(AB44:AB48)</f>
        <v>701.1305667721083</v>
      </c>
      <c r="AC49" s="52">
        <f ca="1">SUM(AC44:AC48)</f>
        <v>392.17910577517728</v>
      </c>
      <c r="AE49" s="534"/>
    </row>
    <row r="50" spans="1:31" s="60" customFormat="1" x14ac:dyDescent="0.25">
      <c r="D50" s="516"/>
      <c r="E50" s="523"/>
      <c r="F50" s="524"/>
      <c r="G50" s="524"/>
      <c r="H50" s="524"/>
      <c r="I50" s="524"/>
      <c r="J50" s="553"/>
      <c r="K50" s="31"/>
      <c r="L50" s="31"/>
      <c r="M50" s="830" t="s">
        <v>997</v>
      </c>
      <c r="N50" s="737">
        <f ca="1">AVERAGE(M49,O49)</f>
        <v>103.95963249217569</v>
      </c>
      <c r="O50" s="830"/>
      <c r="P50" s="15"/>
      <c r="Q50" s="617"/>
      <c r="R50" s="629"/>
      <c r="S50" s="44"/>
      <c r="T50" s="44"/>
      <c r="U50" s="44"/>
      <c r="V50" s="44"/>
      <c r="W50" s="835"/>
      <c r="X50" s="31"/>
      <c r="Y50" s="31"/>
      <c r="Z50" s="830" t="s">
        <v>997</v>
      </c>
      <c r="AA50" s="737">
        <f ca="1">AVERAGE(Z49,AB49)</f>
        <v>392.17910577517733</v>
      </c>
      <c r="AB50" s="830"/>
      <c r="AC50" s="15"/>
      <c r="AD50" s="15"/>
      <c r="AE50" s="535"/>
    </row>
    <row r="51" spans="1:31" x14ac:dyDescent="0.25">
      <c r="A51" s="61" t="s">
        <v>167</v>
      </c>
      <c r="B51" s="237"/>
      <c r="D51" s="515"/>
      <c r="E51" s="522"/>
      <c r="F51" s="448"/>
      <c r="G51" s="448"/>
      <c r="H51" s="497"/>
      <c r="I51" s="497"/>
      <c r="J51" s="497"/>
      <c r="K51" s="531"/>
      <c r="L51" s="531"/>
      <c r="M51" s="531"/>
      <c r="N51" s="531"/>
      <c r="O51" s="531"/>
      <c r="P51" s="54"/>
      <c r="Q51" s="614"/>
      <c r="R51" s="630"/>
      <c r="S51" s="54"/>
      <c r="T51" s="54"/>
      <c r="U51" s="53"/>
      <c r="V51" s="53"/>
      <c r="W51" s="53"/>
      <c r="X51" s="531"/>
      <c r="Y51" s="531"/>
      <c r="Z51" s="531"/>
      <c r="AA51" s="531"/>
      <c r="AB51" s="531"/>
      <c r="AC51" s="54"/>
      <c r="AE51" s="536"/>
    </row>
    <row r="52" spans="1:31" x14ac:dyDescent="0.25">
      <c r="A52" s="9" t="s">
        <v>117</v>
      </c>
      <c r="B52" s="9" t="s">
        <v>265</v>
      </c>
      <c r="C52" s="9" t="str">
        <f>B52</f>
        <v>TasteSmell</v>
      </c>
      <c r="D52" s="514" t="s">
        <v>369</v>
      </c>
      <c r="E52" s="431">
        <f ca="1">INDEX(INDIRECT("ExtWTP19_"&amp;$C52&amp;"_UnitValues"),MATCH(A$51, INDIRECT("ExtWTP19_Comps_"&amp;C52),0),MATCH("NHH",ExtWTP_Group,0))</f>
        <v>234737</v>
      </c>
      <c r="F52" s="521">
        <f t="shared" ref="F52:G55" ca="1" si="56">INDEX(INDIRECT("SSW_WTPCore2_"&amp;$B52&amp;"_Levels"),2,MATCH(F$4,WTPCore2_AttLevels,0))</f>
        <v>1.6666666666666666E-2</v>
      </c>
      <c r="G52" s="521">
        <f t="shared" ca="1" si="56"/>
        <v>1.1111111111111112E-2</v>
      </c>
      <c r="H52" s="581">
        <f ca="1">INDEX(INDIRECT("SSW_WTPCore2_"&amp;$B52&amp;"_LevelValues"),2,MATCH("S1 MEAN",WTPCore2_LevelValues,0))</f>
        <v>3.6865032727528453E-3</v>
      </c>
      <c r="I52" s="581">
        <f ca="1">INDEX(INDIRECT("SSW_WTPCore2_"&amp;$B52&amp;"_LevelValues"),2,MATCH("S2 MEAN",WTPCore2_LevelValues,0))</f>
        <v>5.1592292451456759E-6</v>
      </c>
      <c r="J52" s="435">
        <f ca="1">SUM(H52:I52)</f>
        <v>3.691662501997991E-3</v>
      </c>
      <c r="K52" s="602">
        <f ca="1">E52*(F52-G52)</f>
        <v>1304.0944444444442</v>
      </c>
      <c r="L52" s="579">
        <f ca="1">INDEX(INDIRECT("SSW_WTPCore_DCE_"&amp;$B52&amp;"_UnitValues"),MATCH("COMBINED-NHH",WTPCore_Group,0),MATCH("MEAN",LMH,0))</f>
        <v>70.914536619635854</v>
      </c>
      <c r="M52" s="117">
        <f ca="1">L52*($F52-$G52)*(AllProps_SSW/NHHProps_SSW)</f>
        <v>6.2715708812260527</v>
      </c>
      <c r="N52" s="117">
        <f ca="1">INDEX(INDIRECT("SSW_WTPCore2_"&amp;$B52&amp;"_UnitValues"),2,MATCH("MEAN",LMH,0))</f>
        <v>184.66986976717914</v>
      </c>
      <c r="O52" s="117">
        <f ca="1">N52*($F52-$G52)*(AllProps_SSW/NHHProps_SSW)</f>
        <v>16.331914908839117</v>
      </c>
      <c r="P52" s="527">
        <f ca="1">K52*$N$57/K$56</f>
        <v>85.069935010084762</v>
      </c>
      <c r="Q52" s="611" t="s">
        <v>369</v>
      </c>
      <c r="R52" s="627">
        <f ca="1">P52*NHHProps_SSW/((F52-G52)*AllProps_SSW)</f>
        <v>961.91131946887026</v>
      </c>
      <c r="S52" s="837">
        <f t="shared" ref="S52:T55" ca="1" si="57">INDEX(INDIRECT("CAM_WTPCore2_"&amp;$B52&amp;"_Levels"),2,MATCH(S$4,WTPCore2_AttLevels,0))</f>
        <v>1.4285714285714285E-2</v>
      </c>
      <c r="T52" s="837">
        <f t="shared" ca="1" si="57"/>
        <v>0.01</v>
      </c>
      <c r="U52" s="767">
        <f ca="1">INDEX(INDIRECT("CAM_WTPCore2_"&amp;$B52&amp;"_LevelValues"),2,MATCH("S1 MEAN",WTPCore2_LevelValues,0))</f>
        <v>4.257264223936371E-2</v>
      </c>
      <c r="V52" s="767">
        <f ca="1">INDEX(INDIRECT("CAM_WTPCore2_"&amp;$B52&amp;"_LevelValues"),2,MATCH("S2 MEAN",WTPCore2_LevelValues,0))</f>
        <v>1.0971349631991048E-2</v>
      </c>
      <c r="W52" s="879">
        <f ca="1">SUM(U52:V52)</f>
        <v>5.3543991871354758E-2</v>
      </c>
      <c r="X52" s="528">
        <f ca="1">E52*(S52-T52)</f>
        <v>1006.0157142857141</v>
      </c>
      <c r="Y52" s="117">
        <f ca="1">INDEX(INDIRECT("CAM_WTPCore_"&amp;$B52&amp;"_UnitValues"),MATCH("COMBINED-NHH",WTPCore_Group,0),MATCH("MEAN",LMH,0))</f>
        <v>181.56028368794324</v>
      </c>
      <c r="Z52" s="117">
        <f ca="1">Y52*($S52-$T52)*(AllProps_CAM/NHHProps_CAM)</f>
        <v>10.971428571428568</v>
      </c>
      <c r="AA52" s="117">
        <f ca="1">INDEX(INDIRECT("CAM_WTPCore2_"&amp;$B52&amp;"_UnitValues"),2,MATCH("MEAN",LMH,0))</f>
        <v>4536.682431842446</v>
      </c>
      <c r="AB52" s="117">
        <f ca="1">AA52*($S52-$T52)*(AllProps_CAM/NHHProps_CAM)</f>
        <v>274.1452383813363</v>
      </c>
      <c r="AC52" s="216">
        <f ca="1">X52*AA$57/X$56</f>
        <v>426.16315505176783</v>
      </c>
      <c r="AD52" s="611" t="s">
        <v>369</v>
      </c>
      <c r="AE52" s="627">
        <f ca="1">AC52*NHHProps_CAM/((S52-T52)*AllProps_CAM)</f>
        <v>7052.3453554666075</v>
      </c>
    </row>
    <row r="53" spans="1:31" x14ac:dyDescent="0.25">
      <c r="A53" s="9" t="s">
        <v>180</v>
      </c>
      <c r="B53" s="9" t="s">
        <v>269</v>
      </c>
      <c r="C53" s="9" t="s">
        <v>331</v>
      </c>
      <c r="D53" s="514" t="s">
        <v>369</v>
      </c>
      <c r="E53" s="431">
        <f ca="1">INDEX(INDIRECT("ExtWTP19_"&amp;$C53&amp;"_UnitValues"),MATCH(A$51, INDIRECT("ExtWTP19_Comps_"&amp;C53),0),MATCH("NHH",ExtWTP_Group,0))</f>
        <v>961</v>
      </c>
      <c r="F53" s="521">
        <f t="shared" ca="1" si="56"/>
        <v>1.2500000000000001E-2</v>
      </c>
      <c r="G53" s="521">
        <f t="shared" ca="1" si="56"/>
        <v>8.3333333333333332E-3</v>
      </c>
      <c r="H53" s="581">
        <f ca="1">INDEX(INDIRECT("SSW_WTPCore2_"&amp;$B53&amp;"_LevelValues"),2,MATCH("S1 MEAN",WTPCore2_LevelValues,0))</f>
        <v>2.3562800507588295E-4</v>
      </c>
      <c r="I53" s="581">
        <f ca="1">INDEX(INDIRECT("SSW_WTPCore2_"&amp;$B53&amp;"_LevelValues"),2,MATCH("S2 MEAN",WTPCore2_LevelValues,0))</f>
        <v>4.1117889914467278E-4</v>
      </c>
      <c r="J53" s="435">
        <f ca="1">SUM(H53:I53)</f>
        <v>6.4680690422055573E-4</v>
      </c>
      <c r="K53" s="602">
        <f ca="1">E53*(F53-G53)</f>
        <v>4.0041666666666673</v>
      </c>
      <c r="L53" s="579">
        <f ca="1">INDEX(INDIRECT("SSW_WTPCore_DCE_"&amp;$B53&amp;"_UnitValues"),MATCH("COMBINED-NHH",WTPCore_Group,0),MATCH("MEAN",LMH,0))</f>
        <v>310.41834897651921</v>
      </c>
      <c r="M53" s="117">
        <f ca="1">L53*($F53-$G53)*(AllProps_SSW/NHHProps_SSW)</f>
        <v>20.589685534591201</v>
      </c>
      <c r="N53" s="117">
        <f ca="1">INDEX(INDIRECT("SSW_WTPCore2_"&amp;$B53&amp;"_UnitValues"),2,MATCH("MEAN",LMH,0))</f>
        <v>43.140724701414321</v>
      </c>
      <c r="O53" s="117">
        <f ca="1">N53*($F53-$G53)*(AllProps_SSW/NHHProps_SSW)</f>
        <v>2.8614737442717391</v>
      </c>
      <c r="P53" s="527">
        <f t="shared" ref="P53:P55" ca="1" si="58">K53*$N$57/K$56</f>
        <v>0.26120362643519607</v>
      </c>
      <c r="Q53" s="611" t="s">
        <v>369</v>
      </c>
      <c r="R53" s="627">
        <f ca="1">P53*NHHProps_SSW/((F53-G53)*AllProps_SSW)</f>
        <v>3.9380105309754514</v>
      </c>
      <c r="S53" s="837">
        <f t="shared" ca="1" si="57"/>
        <v>2.5000000000000001E-2</v>
      </c>
      <c r="T53" s="837">
        <f t="shared" ca="1" si="57"/>
        <v>1.6666666666666666E-2</v>
      </c>
      <c r="U53" s="767">
        <f ca="1">INDEX(INDIRECT("CAM_WTPCore2_"&amp;$B53&amp;"_LevelValues"),2,MATCH("S1 MEAN",WTPCore2_LevelValues,0))</f>
        <v>2.654718763279678E-4</v>
      </c>
      <c r="V53" s="767">
        <f ca="1">INDEX(INDIRECT("CAM_WTPCore2_"&amp;$B53&amp;"_LevelValues"),2,MATCH("S2 MEAN",WTPCore2_LevelValues,0))</f>
        <v>1.3401602008677625E-5</v>
      </c>
      <c r="W53" s="879">
        <f ca="1">SUM(U53:V53)</f>
        <v>2.7887347833664542E-4</v>
      </c>
      <c r="X53" s="528">
        <f ca="1">E53*(S53-T53)</f>
        <v>8.0083333333333346</v>
      </c>
      <c r="Y53" s="117">
        <f ca="1">INDEX(INDIRECT("CAM_WTPCore_"&amp;$B53&amp;"_UnitValues"),MATCH("COMBINED-NHH",WTPCore_Group,0),MATCH("MEAN",LMH,0))</f>
        <v>90.78014184397162</v>
      </c>
      <c r="Z53" s="117">
        <f ca="1">Y53*($S53-$T53)*(AllProps_CAM/NHHProps_CAM)</f>
        <v>10.666666666666668</v>
      </c>
      <c r="AA53" s="117">
        <f ca="1">INDEX(INDIRECT("CAM_WTPCore2_"&amp;$B53&amp;"_UnitValues"),2,MATCH("MEAN",LMH,0))</f>
        <v>12.15176348156276</v>
      </c>
      <c r="AB53" s="117">
        <f ca="1">AA53*($S53-$T53)*(AllProps_CAM/NHHProps_CAM)</f>
        <v>1.4278322090836244</v>
      </c>
      <c r="AC53" s="216">
        <f t="shared" ref="AC53:AC55" ca="1" si="59">X53*AA$57/X$56</f>
        <v>3.3924485985417761</v>
      </c>
      <c r="AD53" s="611" t="s">
        <v>369</v>
      </c>
      <c r="AE53" s="627">
        <f ca="1">AC53*NHHProps_CAM/((S53-T53)*AllProps_CAM)</f>
        <v>28.871902966312984</v>
      </c>
    </row>
    <row r="54" spans="1:31" x14ac:dyDescent="0.25">
      <c r="A54" s="9" t="s">
        <v>330</v>
      </c>
      <c r="B54" s="9" t="s">
        <v>319</v>
      </c>
      <c r="C54" s="9" t="str">
        <f>B54</f>
        <v>TempBan</v>
      </c>
      <c r="D54" s="514" t="s">
        <v>369</v>
      </c>
      <c r="E54" s="431">
        <f ca="1">INDEX(INDIRECT("ExtWTP19_NEUseBan_UnitValues"),1,2)</f>
        <v>346</v>
      </c>
      <c r="F54" s="521">
        <f t="shared" ca="1" si="56"/>
        <v>2.5000000000000001E-2</v>
      </c>
      <c r="G54" s="521">
        <f t="shared" ca="1" si="56"/>
        <v>1.6666666666666666E-2</v>
      </c>
      <c r="H54" s="581">
        <f ca="1">INDEX(INDIRECT("SSW_WTPCore2_"&amp;$B54&amp;"_LevelValues"),2,MATCH("S1 MEAN",WTPCore2_LevelValues,0))</f>
        <v>1.0363458862342743E-3</v>
      </c>
      <c r="I54" s="581">
        <f ca="1">INDEX(INDIRECT("SSW_WTPCore2_"&amp;$B54&amp;"_LevelValues"),2,MATCH("S2 MEAN",WTPCore2_LevelValues,0))</f>
        <v>6.2724159084084235E-4</v>
      </c>
      <c r="J54" s="435">
        <f ca="1">SUM(H54:I54)</f>
        <v>1.6635874770751166E-3</v>
      </c>
      <c r="K54" s="602">
        <f ca="1">E54*(F54-G54)</f>
        <v>2.8833333333333337</v>
      </c>
      <c r="L54" s="579">
        <f ca="1">INDEX(INDIRECT("SSW_WTPCore_DCE_"&amp;$B54&amp;"_UnitValues"),MATCH("COMBINED-NHH",WTPCore_Group,0),MATCH("MEAN",LMH,0))</f>
        <v>196425.59999999998</v>
      </c>
      <c r="M54" s="117">
        <f ca="1">L54*(F54-G54)/NHHProps_SSW</f>
        <v>4.4240000000000002E-2</v>
      </c>
      <c r="N54" s="117">
        <f ca="1">INDEX(INDIRECT("SSW_WTPCore2_"&amp;$B54&amp;"_UnitValues"),2,MATCH("MEAN",LMH,0))</f>
        <v>326771.16833696596</v>
      </c>
      <c r="O54" s="117">
        <f ca="1">N54*(F54-G54)/NHHProps_SSW*100</f>
        <v>7.3597109985803151</v>
      </c>
      <c r="P54" s="527">
        <f t="shared" ca="1" si="58"/>
        <v>0.18808835535187893</v>
      </c>
      <c r="Q54" s="615" t="s">
        <v>422</v>
      </c>
      <c r="R54" s="627">
        <f ca="1">P54*NHHProps_SSW/((F54-G54)*100)</f>
        <v>8351.1229776234231</v>
      </c>
      <c r="S54" s="837">
        <f t="shared" ca="1" si="57"/>
        <v>0.02</v>
      </c>
      <c r="T54" s="837">
        <f t="shared" ca="1" si="57"/>
        <v>1.3333333333333334E-2</v>
      </c>
      <c r="U54" s="767">
        <f ca="1">INDEX(INDIRECT("CAM_WTPCore2_"&amp;$B54&amp;"_LevelValues"),2,MATCH("S1 MEAN",WTPCore2_LevelValues,0))</f>
        <v>1.3694025744847137E-3</v>
      </c>
      <c r="V54" s="767">
        <f ca="1">INDEX(INDIRECT("CAM_WTPCore2_"&amp;$B54&amp;"_LevelValues"),2,MATCH("S2 MEAN",WTPCore2_LevelValues,0))</f>
        <v>1.1073984405910726E-3</v>
      </c>
      <c r="W54" s="879">
        <f ca="1">SUM(U54:V54)</f>
        <v>2.4768010150757864E-3</v>
      </c>
      <c r="X54" s="528">
        <f ca="1">E54*(S54-T54)</f>
        <v>2.3066666666666666</v>
      </c>
      <c r="Y54" s="117">
        <f ca="1">INDEX(INDIRECT("CAM_WTPCore_"&amp;$B54&amp;"_UnitValues"),MATCH("COMBINED-NHH",WTPCore_Group,0),MATCH("MEAN",LMH,0))</f>
        <v>1105919.9999999998</v>
      </c>
      <c r="Z54" s="117">
        <f ca="1">Y54*(S54-T54)/NHHProps_CAM*100</f>
        <v>73.72799999999998</v>
      </c>
      <c r="AA54" s="117">
        <f ca="1">INDEX(INDIRECT("CAM_WTPCore2_"&amp;$B54&amp;"_UnitValues"),2,MATCH("MEAN",LMH,0))</f>
        <v>190218.3179578204</v>
      </c>
      <c r="AB54" s="117">
        <f ca="1">AA54*(S54-T54)/NHHProps_CAM*100</f>
        <v>12.681221197188028</v>
      </c>
      <c r="AC54" s="216">
        <f t="shared" ca="1" si="59"/>
        <v>0.97713816032920231</v>
      </c>
      <c r="AD54" s="615" t="s">
        <v>422</v>
      </c>
      <c r="AE54" s="627">
        <f ca="1">AC54*NHHProps_CAM/((S54-T54)*100)</f>
        <v>14657.072404938033</v>
      </c>
    </row>
    <row r="55" spans="1:31" x14ac:dyDescent="0.25">
      <c r="A55" s="9" t="s">
        <v>3</v>
      </c>
      <c r="B55" s="9" t="s">
        <v>3</v>
      </c>
      <c r="C55" s="9" t="str">
        <f>B55</f>
        <v>Leakage</v>
      </c>
      <c r="D55" s="514" t="s">
        <v>666</v>
      </c>
      <c r="E55" s="431">
        <f ca="1">INDEX(INDIRECT("ExtWTP19_"&amp;$C55&amp;"_UnitValues"),MATCH(A$51, INDIRECT("ExtWTP19_Comps_"&amp;C55),0),MATCH("NHH",ExtWTP_Group,0))</f>
        <v>1969650</v>
      </c>
      <c r="F55" s="598">
        <f t="shared" ca="1" si="56"/>
        <v>70.5</v>
      </c>
      <c r="G55" s="598">
        <f t="shared" ca="1" si="56"/>
        <v>35.25</v>
      </c>
      <c r="H55" s="581">
        <f ca="1">INDEX(INDIRECT("SSW_WTPCore2_"&amp;$B55&amp;"_LevelValues"),2,MATCH("S1 MEAN",WTPCore2_LevelValues,0))</f>
        <v>1.8366495603833657E-2</v>
      </c>
      <c r="I55" s="581">
        <f ca="1">INDEX(INDIRECT("SSW_WTPCore2_"&amp;$B55&amp;"_LevelValues"),2,MATCH("S2 MEAN",WTPCore2_LevelValues,0))</f>
        <v>6.6875105310339848E-3</v>
      </c>
      <c r="J55" s="435">
        <f ca="1">SUM(H55:I55)</f>
        <v>2.5054006134867642E-2</v>
      </c>
      <c r="K55" s="602">
        <f ca="1">E55*(F55-G55)/AllProps_SSW</f>
        <v>117.87803480475382</v>
      </c>
      <c r="L55" s="579">
        <f ca="1">INDEX(INDIRECT("SSW_WTPCore_DCE_"&amp;$B55&amp;"_UnitValues"),MATCH("COMBINED-NHH",WTPCore_Group,0),MATCH("MEAN",LMH,0))</f>
        <v>23218.156028368794</v>
      </c>
      <c r="M55" s="117">
        <f ca="1">L55*(F55-G55)/NHHProps_SSW</f>
        <v>22.12</v>
      </c>
      <c r="N55" s="117">
        <f ca="1">INDEX(INDIRECT("SSW_WTPCore2_"&amp;$B55&amp;"_UnitValues"),2,MATCH("MEAN",LMH,0))</f>
        <v>116341.56471501317</v>
      </c>
      <c r="O55" s="117">
        <f ca="1">N55*(F55-G55)/NHHProps_SSW</f>
        <v>110.83892314065444</v>
      </c>
      <c r="P55" s="527">
        <f t="shared" ca="1" si="58"/>
        <v>7.6895326122096019</v>
      </c>
      <c r="Q55" s="611" t="s">
        <v>666</v>
      </c>
      <c r="R55" s="627">
        <f ca="1">P55*NHHProps_SSW/((F55-G55))</f>
        <v>8071.2824582058229</v>
      </c>
      <c r="S55" s="844">
        <f t="shared" ca="1" si="57"/>
        <v>13.5</v>
      </c>
      <c r="T55" s="844">
        <f t="shared" ca="1" si="57"/>
        <v>6.75</v>
      </c>
      <c r="U55" s="767">
        <f ca="1">INDEX(INDIRECT("CAM_WTPCore2_"&amp;$B55&amp;"_LevelValues"),2,MATCH("S1 MEAN",WTPCore2_LevelValues,0))</f>
        <v>7.1569068986342493E-2</v>
      </c>
      <c r="V55" s="767">
        <f ca="1">INDEX(INDIRECT("CAM_WTPCore2_"&amp;$B55&amp;"_LevelValues"),2,MATCH("S2 MEAN",WTPCore2_LevelValues,0))</f>
        <v>3.5284810800562588E-2</v>
      </c>
      <c r="W55" s="879">
        <f ca="1">SUM(U55:V55)</f>
        <v>0.10685387978690508</v>
      </c>
      <c r="X55" s="528">
        <f ca="1">E55*(S55-T55)/AllProps_CAM</f>
        <v>94.291755319148933</v>
      </c>
      <c r="Y55" s="117">
        <f ca="1">INDEX(INDIRECT("CAM_WTPCore_"&amp;$B55&amp;"_UnitValues"),MATCH("COMBINED-NHH",WTPCore_Group,0),MATCH("MEAN",LMH,0))</f>
        <v>15170.37037037037</v>
      </c>
      <c r="Z55" s="117">
        <f ca="1">Y55*(S55-T55)/NHHProps_CAM</f>
        <v>10.24</v>
      </c>
      <c r="AA55" s="117">
        <f ca="1">INDEX(INDIRECT("CAM_WTPCore2_"&amp;$B55&amp;"_UnitValues"),2,MATCH("MEAN",LMH,0))</f>
        <v>810506.46593919117</v>
      </c>
      <c r="AB55" s="117">
        <f ca="1">AA55*(S55-T55)/NHHProps_CAM</f>
        <v>547.09186450895402</v>
      </c>
      <c r="AC55" s="216">
        <f t="shared" ca="1" si="59"/>
        <v>39.943383956689793</v>
      </c>
      <c r="AD55" s="611" t="s">
        <v>666</v>
      </c>
      <c r="AE55" s="627">
        <f ca="1">AC55*NHHProps_CAM/((S55-T55))</f>
        <v>59175.383639540436</v>
      </c>
    </row>
    <row r="56" spans="1:31" x14ac:dyDescent="0.25">
      <c r="D56" s="514"/>
      <c r="E56" s="431"/>
      <c r="F56" s="20"/>
      <c r="G56" s="20"/>
      <c r="H56" s="20"/>
      <c r="I56" s="20"/>
      <c r="J56" s="445">
        <f ca="1">SUM(J52:J55)*AvgNHHBill_SSW</f>
        <v>137.39202279234561</v>
      </c>
      <c r="K56" s="446">
        <f ca="1">SUM(K52:K55)</f>
        <v>1428.859979249198</v>
      </c>
      <c r="L56" s="446"/>
      <c r="M56" s="446">
        <f ca="1">SUM(M51:M55)</f>
        <v>49.025496415817251</v>
      </c>
      <c r="N56" s="446"/>
      <c r="O56" s="446">
        <f ca="1">SUM(O51:O55)</f>
        <v>137.39202279234561</v>
      </c>
      <c r="P56" s="445">
        <f ca="1">SUM(P52:P55)</f>
        <v>93.208759604081436</v>
      </c>
      <c r="Q56" s="618"/>
      <c r="R56" s="628"/>
      <c r="S56" s="216"/>
      <c r="T56" s="216"/>
      <c r="U56" s="216"/>
      <c r="V56" s="216"/>
      <c r="W56" s="52">
        <f ca="1">SUM(W52:W55)*AvgNHHBill_CAM</f>
        <v>835.34615629656196</v>
      </c>
      <c r="X56" s="532">
        <f ca="1">SUM(X52:X55)</f>
        <v>1110.622469604863</v>
      </c>
      <c r="Y56" s="532"/>
      <c r="Z56" s="446">
        <f ca="1">SUM(Z51:Z55)</f>
        <v>105.60609523809521</v>
      </c>
      <c r="AA56" s="446"/>
      <c r="AB56" s="446">
        <f ca="1">SUM(AB51:AB55)</f>
        <v>835.34615629656196</v>
      </c>
      <c r="AC56" s="52">
        <f ca="1">SUM(AC52:AC55)</f>
        <v>470.4761257673286</v>
      </c>
      <c r="AE56" s="534"/>
    </row>
    <row r="57" spans="1:31" s="60" customFormat="1" x14ac:dyDescent="0.25">
      <c r="D57" s="516"/>
      <c r="E57" s="523"/>
      <c r="F57" s="524"/>
      <c r="G57" s="524"/>
      <c r="H57" s="524"/>
      <c r="I57" s="524"/>
      <c r="J57" s="553"/>
      <c r="K57" s="31"/>
      <c r="L57" s="31"/>
      <c r="M57" s="830" t="s">
        <v>997</v>
      </c>
      <c r="N57" s="737">
        <f ca="1">AVERAGE(M56,O56)</f>
        <v>93.208759604081436</v>
      </c>
      <c r="O57" s="830"/>
      <c r="P57" s="15"/>
      <c r="Q57" s="617"/>
      <c r="R57" s="629"/>
      <c r="S57" s="44"/>
      <c r="T57" s="44"/>
      <c r="U57" s="44"/>
      <c r="V57" s="44"/>
      <c r="W57" s="835"/>
      <c r="X57" s="31"/>
      <c r="Y57" s="31"/>
      <c r="Z57" s="830" t="s">
        <v>997</v>
      </c>
      <c r="AA57" s="737">
        <f ca="1">AVERAGE(Z56,AB56)</f>
        <v>470.4761257673286</v>
      </c>
      <c r="AB57" s="830"/>
      <c r="AC57" s="15"/>
      <c r="AD57" s="15"/>
      <c r="AE57" s="535"/>
    </row>
    <row r="58" spans="1:31" x14ac:dyDescent="0.25">
      <c r="A58" s="61" t="s">
        <v>179</v>
      </c>
      <c r="B58" s="237"/>
      <c r="D58" s="515"/>
      <c r="E58" s="522"/>
      <c r="F58" s="448"/>
      <c r="G58" s="448"/>
      <c r="H58" s="497"/>
      <c r="I58" s="497"/>
      <c r="J58" s="497"/>
      <c r="K58" s="531"/>
      <c r="L58" s="531"/>
      <c r="M58" s="531"/>
      <c r="N58" s="531"/>
      <c r="O58" s="531"/>
      <c r="P58" s="54"/>
      <c r="Q58" s="614"/>
      <c r="R58" s="630"/>
      <c r="S58" s="54"/>
      <c r="T58" s="54"/>
      <c r="U58" s="53"/>
      <c r="V58" s="53"/>
      <c r="W58" s="53"/>
      <c r="X58" s="531"/>
      <c r="Y58" s="531"/>
      <c r="Z58" s="531"/>
      <c r="AA58" s="531"/>
      <c r="AB58" s="531"/>
      <c r="AC58" s="54"/>
      <c r="AE58" s="536"/>
    </row>
    <row r="59" spans="1:31" x14ac:dyDescent="0.25">
      <c r="A59" s="9" t="s">
        <v>180</v>
      </c>
      <c r="B59" s="9" t="s">
        <v>269</v>
      </c>
      <c r="C59" s="9" t="s">
        <v>331</v>
      </c>
      <c r="D59" s="514" t="s">
        <v>369</v>
      </c>
      <c r="E59" s="431">
        <f ca="1">INDEX(INDIRECT("ExtWTP19_"&amp;$C59&amp;"_UnitValues"),MATCH(A$58, INDIRECT("ExtWTP19_Comps_"&amp;C59),0),MATCH("NHH",ExtWTP_Group,0))</f>
        <v>5161</v>
      </c>
      <c r="F59" s="521">
        <f t="shared" ref="F59:G62" ca="1" si="60">INDEX(INDIRECT("SSW_WTPCore2_"&amp;$B59&amp;"_Levels"),2,MATCH(F$4,WTPCore2_AttLevels,0))</f>
        <v>1.2500000000000001E-2</v>
      </c>
      <c r="G59" s="521">
        <f t="shared" ca="1" si="60"/>
        <v>8.3333333333333332E-3</v>
      </c>
      <c r="H59" s="581">
        <f ca="1">INDEX(INDIRECT("SSW_WTPCore2_"&amp;$B59&amp;"_LevelValues"),2,MATCH("S1 MEAN",WTPCore2_LevelValues,0))</f>
        <v>2.3562800507588295E-4</v>
      </c>
      <c r="I59" s="581">
        <f ca="1">INDEX(INDIRECT("SSW_WTPCore2_"&amp;$B59&amp;"_LevelValues"),2,MATCH("S2 MEAN",WTPCore2_LevelValues,0))</f>
        <v>4.1117889914467278E-4</v>
      </c>
      <c r="J59" s="435">
        <f ca="1">SUM(H59:I59)</f>
        <v>6.4680690422055573E-4</v>
      </c>
      <c r="K59" s="602">
        <f ca="1">E59*(F59-G59)</f>
        <v>21.50416666666667</v>
      </c>
      <c r="L59" s="579">
        <f ca="1">INDEX(INDIRECT("SSW_WTPCore_DCE_"&amp;$B59&amp;"_UnitValues"),MATCH("COMBINED-NHH",WTPCore_Group,0),MATCH("MEAN",LMH,0))</f>
        <v>310.41834897651921</v>
      </c>
      <c r="M59" s="117">
        <f ca="1">L59*($F59-$G59)*(AllProps_SSW/NHHProps_SSW)</f>
        <v>20.589685534591201</v>
      </c>
      <c r="N59" s="117">
        <f ca="1">INDEX(INDIRECT("SSW_WTPCore2_"&amp;$B59&amp;"_UnitValues"),2,MATCH("MEAN",LMH,0))</f>
        <v>43.140724701414321</v>
      </c>
      <c r="O59" s="117">
        <f ca="1">N59*($F59-$G59)*(AllProps_SSW/NHHProps_SSW)</f>
        <v>2.8614737442717391</v>
      </c>
      <c r="P59" s="527">
        <f ca="1">K59*N$64/K$63</f>
        <v>5.1407795055815138</v>
      </c>
      <c r="Q59" s="611" t="s">
        <v>369</v>
      </c>
      <c r="R59" s="627">
        <f ca="1">P59*NHHProps_SSW/((F59-G59)*AllProps_SSW)</f>
        <v>77.504451629140647</v>
      </c>
      <c r="S59" s="837">
        <f t="shared" ref="S59:T62" ca="1" si="61">INDEX(INDIRECT("CAM_WTPCore2_"&amp;$B59&amp;"_Levels"),2,MATCH(S$4,WTPCore2_AttLevels,0))</f>
        <v>2.5000000000000001E-2</v>
      </c>
      <c r="T59" s="837">
        <f t="shared" ca="1" si="61"/>
        <v>1.6666666666666666E-2</v>
      </c>
      <c r="U59" s="767">
        <f ca="1">INDEX(INDIRECT("CAM_WTPCore2_"&amp;$B59&amp;"_LevelValues"),2,MATCH("S1 MEAN",WTPCore2_LevelValues,0))</f>
        <v>2.654718763279678E-4</v>
      </c>
      <c r="V59" s="767">
        <f ca="1">INDEX(INDIRECT("CAM_WTPCore2_"&amp;$B59&amp;"_LevelValues"),2,MATCH("S2 MEAN",WTPCore2_LevelValues,0))</f>
        <v>1.3401602008677625E-5</v>
      </c>
      <c r="W59" s="879">
        <f ca="1">SUM(U59:V59)</f>
        <v>2.7887347833664542E-4</v>
      </c>
      <c r="X59" s="528">
        <f ca="1">E59*(S59-T59)</f>
        <v>43.00833333333334</v>
      </c>
      <c r="Y59" s="117">
        <f ca="1">INDEX(INDIRECT("CAM_WTPCore_"&amp;$B59&amp;"_UnitValues"),MATCH("COMBINED-NHH",WTPCore_Group,0),MATCH("MEAN",LMH,0))</f>
        <v>90.78014184397162</v>
      </c>
      <c r="Z59" s="117">
        <f ca="1">Y59*($S59-$T59)*(AllProps_CAM/NHHProps_CAM)</f>
        <v>10.666666666666668</v>
      </c>
      <c r="AA59" s="117">
        <f ca="1">INDEX(INDIRECT("CAM_WTPCore2_"&amp;$B59&amp;"_UnitValues"),2,MATCH("MEAN",LMH,0))</f>
        <v>12.15176348156276</v>
      </c>
      <c r="AB59" s="117">
        <f ca="1">AA59*($S59-$T59)*(AllProps_CAM/NHHProps_CAM)</f>
        <v>1.4278322090836244</v>
      </c>
      <c r="AC59" s="216">
        <f ca="1">X59*AA$64/X$63</f>
        <v>49.684933246790756</v>
      </c>
      <c r="AD59" s="611" t="s">
        <v>369</v>
      </c>
      <c r="AE59" s="627">
        <f ca="1">AC59*NHHProps_CAM/((S59-T59)*AllProps_CAM)</f>
        <v>422.85049571736806</v>
      </c>
    </row>
    <row r="60" spans="1:31" x14ac:dyDescent="0.25">
      <c r="A60" s="9" t="s">
        <v>330</v>
      </c>
      <c r="B60" s="9" t="s">
        <v>319</v>
      </c>
      <c r="C60" s="9" t="str">
        <f>B60</f>
        <v>TempBan</v>
      </c>
      <c r="D60" s="514" t="s">
        <v>369</v>
      </c>
      <c r="E60" s="431">
        <f ca="1">INDEX(INDIRECT("ExtWTP19_NEUseBan_UnitValues"),2,2)</f>
        <v>0</v>
      </c>
      <c r="F60" s="521">
        <f t="shared" ca="1" si="60"/>
        <v>2.5000000000000001E-2</v>
      </c>
      <c r="G60" s="521">
        <f t="shared" ca="1" si="60"/>
        <v>1.6666666666666666E-2</v>
      </c>
      <c r="H60" s="581">
        <f ca="1">INDEX(INDIRECT("SSW_WTPCore2_"&amp;$B60&amp;"_LevelValues"),2,MATCH("S1 MEAN",WTPCore2_LevelValues,0))</f>
        <v>1.0363458862342743E-3</v>
      </c>
      <c r="I60" s="581">
        <f ca="1">INDEX(INDIRECT("SSW_WTPCore2_"&amp;$B60&amp;"_LevelValues"),2,MATCH("S2 MEAN",WTPCore2_LevelValues,0))</f>
        <v>6.2724159084084235E-4</v>
      </c>
      <c r="J60" s="435">
        <f ca="1">SUM(H60:I60)</f>
        <v>1.6635874770751166E-3</v>
      </c>
      <c r="K60" s="602">
        <f ca="1">E60*(F60-G60)</f>
        <v>0</v>
      </c>
      <c r="L60" s="579">
        <f ca="1">INDEX(INDIRECT("SSW_WTPCore_DCE_"&amp;$B60&amp;"_UnitValues"),MATCH("COMBINED-NHH",WTPCore_Group,0),MATCH("MEAN",LMH,0))</f>
        <v>196425.59999999998</v>
      </c>
      <c r="M60" s="117">
        <f ca="1">L60*(F60-G60)/NHHProps_SSW</f>
        <v>4.4240000000000002E-2</v>
      </c>
      <c r="N60" s="117">
        <f ca="1">INDEX(INDIRECT("SSW_WTPCore2_"&amp;$B60&amp;"_UnitValues"),2,MATCH("MEAN",LMH,0))</f>
        <v>326771.16833696596</v>
      </c>
      <c r="O60" s="117">
        <f ca="1">N60*(F60-G60)/NHHProps_SSW*100</f>
        <v>7.3597109985803151</v>
      </c>
      <c r="P60" s="527">
        <f t="shared" ref="P60:P62" ca="1" si="62">K60*N$64/K$63</f>
        <v>0</v>
      </c>
      <c r="Q60" s="615" t="s">
        <v>422</v>
      </c>
      <c r="R60" s="627">
        <f ca="1">P60*NHHProps_SSW/((F60-G60)*100)</f>
        <v>0</v>
      </c>
      <c r="S60" s="837">
        <f t="shared" ca="1" si="61"/>
        <v>0.02</v>
      </c>
      <c r="T60" s="837">
        <f t="shared" ca="1" si="61"/>
        <v>1.3333333333333334E-2</v>
      </c>
      <c r="U60" s="767">
        <f ca="1">INDEX(INDIRECT("CAM_WTPCore2_"&amp;$B60&amp;"_LevelValues"),2,MATCH("S1 MEAN",WTPCore2_LevelValues,0))</f>
        <v>1.3694025744847137E-3</v>
      </c>
      <c r="V60" s="767">
        <f ca="1">INDEX(INDIRECT("CAM_WTPCore2_"&amp;$B60&amp;"_LevelValues"),2,MATCH("S2 MEAN",WTPCore2_LevelValues,0))</f>
        <v>1.1073984405910726E-3</v>
      </c>
      <c r="W60" s="879">
        <f ca="1">SUM(U60:V60)</f>
        <v>2.4768010150757864E-3</v>
      </c>
      <c r="X60" s="528">
        <f ca="1">E60*(S60-T60)</f>
        <v>0</v>
      </c>
      <c r="Y60" s="117">
        <f ca="1">INDEX(INDIRECT("CAM_WTPCore_"&amp;$B60&amp;"_UnitValues"),MATCH("COMBINED-NHH",WTPCore_Group,0),MATCH("MEAN",LMH,0))</f>
        <v>1105919.9999999998</v>
      </c>
      <c r="Z60" s="117">
        <f ca="1">Y60*(S60-T60)/NHHProps_CAM*100</f>
        <v>73.72799999999998</v>
      </c>
      <c r="AA60" s="117">
        <f ca="1">INDEX(INDIRECT("CAM_WTPCore2_"&amp;$B60&amp;"_UnitValues"),2,MATCH("MEAN",LMH,0))</f>
        <v>190218.3179578204</v>
      </c>
      <c r="AB60" s="117">
        <f ca="1">AA60*(S60-T60)/NHHProps_CAM*100</f>
        <v>12.681221197188028</v>
      </c>
      <c r="AC60" s="216">
        <f t="shared" ref="AC60:AC62" ca="1" si="63">X60*AA$64/X$63</f>
        <v>0</v>
      </c>
      <c r="AD60" s="615" t="s">
        <v>422</v>
      </c>
      <c r="AE60" s="627">
        <f ca="1">AC60*NHHProps_CAM/((S60-T60)*100)</f>
        <v>0</v>
      </c>
    </row>
    <row r="61" spans="1:31" x14ac:dyDescent="0.25">
      <c r="A61" s="9" t="s">
        <v>3</v>
      </c>
      <c r="B61" s="9" t="s">
        <v>3</v>
      </c>
      <c r="C61" s="9" t="str">
        <f>B61</f>
        <v>Leakage</v>
      </c>
      <c r="D61" s="514" t="s">
        <v>666</v>
      </c>
      <c r="E61" s="431">
        <f ca="1">INDEX(INDIRECT("ExtWTP19_"&amp;$C61&amp;"_UnitValues"),MATCH(A$58, INDIRECT("ExtWTP19_Comps_"&amp;C61),0),MATCH("NHH",ExtWTP_Group,0))</f>
        <v>5694943</v>
      </c>
      <c r="F61" s="600">
        <f t="shared" ca="1" si="60"/>
        <v>70.5</v>
      </c>
      <c r="G61" s="600">
        <f t="shared" ca="1" si="60"/>
        <v>35.25</v>
      </c>
      <c r="H61" s="581">
        <f ca="1">INDEX(INDIRECT("SSW_WTPCore2_"&amp;$B61&amp;"_LevelValues"),2,MATCH("S1 MEAN",WTPCore2_LevelValues,0))</f>
        <v>1.8366495603833657E-2</v>
      </c>
      <c r="I61" s="581">
        <f ca="1">INDEX(INDIRECT("SSW_WTPCore2_"&amp;$B61&amp;"_LevelValues"),2,MATCH("S2 MEAN",WTPCore2_LevelValues,0))</f>
        <v>6.6875105310339848E-3</v>
      </c>
      <c r="J61" s="435">
        <f ca="1">SUM(H61:I61)</f>
        <v>2.5054006134867642E-2</v>
      </c>
      <c r="K61" s="602">
        <f ca="1">E61*(F61-G61)/AllProps_SSW</f>
        <v>340.82638497453308</v>
      </c>
      <c r="L61" s="579">
        <f ca="1">INDEX(INDIRECT("SSW_WTPCore_DCE_"&amp;$B61&amp;"_UnitValues"),MATCH("COMBINED-NHH",WTPCore_Group,0),MATCH("MEAN",LMH,0))</f>
        <v>23218.156028368794</v>
      </c>
      <c r="M61" s="117">
        <f ca="1">L61*(F61-G61)/NHHProps_SSW</f>
        <v>22.12</v>
      </c>
      <c r="N61" s="117">
        <f ca="1">INDEX(INDIRECT("SSW_WTPCore2_"&amp;$B61&amp;"_UnitValues"),2,MATCH("MEAN",LMH,0))</f>
        <v>116341.56471501317</v>
      </c>
      <c r="O61" s="117">
        <f ca="1">N61*(F61-G61)/NHHProps_SSW</f>
        <v>110.83892314065444</v>
      </c>
      <c r="P61" s="527">
        <f ca="1">K61*N$64/K$63</f>
        <v>81.477851339128748</v>
      </c>
      <c r="Q61" s="611" t="s">
        <v>666</v>
      </c>
      <c r="R61" s="627">
        <f ca="1">P61*NHHProps_SSW/((F61-G61))</f>
        <v>85522.851051000383</v>
      </c>
      <c r="S61" s="844">
        <f t="shared" ca="1" si="61"/>
        <v>13.5</v>
      </c>
      <c r="T61" s="844">
        <f t="shared" ca="1" si="61"/>
        <v>6.75</v>
      </c>
      <c r="U61" s="767">
        <f ca="1">INDEX(INDIRECT("CAM_WTPCore2_"&amp;$B61&amp;"_LevelValues"),2,MATCH("S1 MEAN",WTPCore2_LevelValues,0))</f>
        <v>7.1569068986342493E-2</v>
      </c>
      <c r="V61" s="767">
        <f ca="1">INDEX(INDIRECT("CAM_WTPCore2_"&amp;$B61&amp;"_LevelValues"),2,MATCH("S2 MEAN",WTPCore2_LevelValues,0))</f>
        <v>3.5284810800562588E-2</v>
      </c>
      <c r="W61" s="879">
        <f ca="1">SUM(U61:V61)</f>
        <v>0.10685387978690508</v>
      </c>
      <c r="X61" s="528">
        <f ca="1">E61*(S61-T61)/AllProps_CAM</f>
        <v>272.63024999999999</v>
      </c>
      <c r="Y61" s="117">
        <f ca="1">INDEX(INDIRECT("CAM_WTPCore_"&amp;$B61&amp;"_UnitValues"),MATCH("COMBINED-NHH",WTPCore_Group,0),MATCH("MEAN",LMH,0))</f>
        <v>15170.37037037037</v>
      </c>
      <c r="Z61" s="117">
        <f ca="1">Y61*(S61-T61)/NHHProps_CAM</f>
        <v>10.24</v>
      </c>
      <c r="AA61" s="117">
        <f ca="1">INDEX(INDIRECT("CAM_WTPCore2_"&amp;$B61&amp;"_UnitValues"),2,MATCH("MEAN",LMH,0))</f>
        <v>810506.46593919117</v>
      </c>
      <c r="AB61" s="117">
        <f ca="1">AA61*(S61-T61)/NHHProps_CAM</f>
        <v>547.09186450895402</v>
      </c>
      <c r="AC61" s="216">
        <f t="shared" ca="1" si="63"/>
        <v>314.95328282827069</v>
      </c>
      <c r="AD61" s="611" t="s">
        <v>666</v>
      </c>
      <c r="AE61" s="627">
        <f ca="1">AC61*NHHProps_CAM/((S61-T61))</f>
        <v>466597.45604188251</v>
      </c>
    </row>
    <row r="62" spans="1:31" x14ac:dyDescent="0.25">
      <c r="A62" s="9" t="s">
        <v>669</v>
      </c>
      <c r="B62" s="9" t="s">
        <v>315</v>
      </c>
      <c r="C62" s="9" t="str">
        <f>B62</f>
        <v>Wildlife</v>
      </c>
      <c r="D62" s="514" t="s">
        <v>397</v>
      </c>
      <c r="E62" s="431">
        <f ca="1">INDEX(INDIRECT("ExtWTP19_"&amp;$C62&amp;"_UnitValues"),MATCH(A$58, INDIRECT("ExtWTP19_Comps_"&amp;C62),0),MATCH("NHH",ExtWTP_Group,0))</f>
        <v>239385</v>
      </c>
      <c r="F62" s="600">
        <f t="shared" ca="1" si="60"/>
        <v>0</v>
      </c>
      <c r="G62" s="600">
        <f t="shared" ca="1" si="60"/>
        <v>50</v>
      </c>
      <c r="H62" s="581">
        <f ca="1">INDEX(INDIRECT("SSW_WTPCore2_"&amp;$B62&amp;"_LevelValues"),2,MATCH("S1 MEAN",WTPCore2_LevelValues,0))</f>
        <v>3.6163448555426433E-4</v>
      </c>
      <c r="I62" s="581">
        <f ca="1">INDEX(INDIRECT("SSW_WTPCore2_"&amp;$B62&amp;"_LevelValues"),2,MATCH("S2 MEAN",WTPCore2_LevelValues,0))</f>
        <v>1.464595009466312E-3</v>
      </c>
      <c r="J62" s="435">
        <f ca="1">SUM(H62:I62)</f>
        <v>1.8262294950205764E-3</v>
      </c>
      <c r="K62" s="602">
        <f ca="1">-E62*(F62-G62)/AllProps_SSW</f>
        <v>20.321307300509339</v>
      </c>
      <c r="L62" s="579">
        <f ca="1">INDEX(INDIRECT("SSW_WTPCore_DCE_"&amp;$B62&amp;"_UnitValues"),MATCH("COMBINED-NHH",WTPCore_Group,0),MATCH("MEAN",LMH,0))</f>
        <v>8184.4</v>
      </c>
      <c r="M62" s="117">
        <f ca="1">-L62*(F62-G62)/NHHProps_SSW</f>
        <v>11.06</v>
      </c>
      <c r="N62" s="117">
        <f ca="1">INDEX(INDIRECT("SSW_WTPCore2_"&amp;$B62&amp;"_UnitValues"),2,MATCH("MEAN",LMH,0))</f>
        <v>5978.637071618562</v>
      </c>
      <c r="O62" s="117">
        <f ca="1">-N62*(F62-G62)/NHHProps_SSW</f>
        <v>8.0792392859710294</v>
      </c>
      <c r="P62" s="527">
        <f t="shared" ca="1" si="62"/>
        <v>4.8580055073241182</v>
      </c>
      <c r="Q62" s="611" t="s">
        <v>397</v>
      </c>
      <c r="R62" s="627">
        <f ca="1">-P62*NHHProps_SSW/((F62-G62))</f>
        <v>3594.9240754198477</v>
      </c>
      <c r="S62" s="844">
        <f t="shared" ca="1" si="61"/>
        <v>0</v>
      </c>
      <c r="T62" s="844">
        <f t="shared" ca="1" si="61"/>
        <v>9</v>
      </c>
      <c r="U62" s="767">
        <f ca="1">INDEX(INDIRECT("CAM_WTPCore2_"&amp;$B62&amp;"_LevelValues"),2,MATCH("S1 MEAN",WTPCore2_LevelValues,0))</f>
        <v>1.500948855436721E-2</v>
      </c>
      <c r="V62" s="767">
        <f ca="1">INDEX(INDIRECT("CAM_WTPCore2_"&amp;$B62&amp;"_LevelValues"),2,MATCH("S2 MEAN",WTPCore2_LevelValues,0))</f>
        <v>5.3297158206472399E-3</v>
      </c>
      <c r="W62" s="879">
        <f ca="1">SUM(U62:V62)</f>
        <v>2.033920437501445E-2</v>
      </c>
      <c r="X62" s="528">
        <f ca="1">-E62*(S62-T62)/AllProps_CAM</f>
        <v>15.279893617021276</v>
      </c>
      <c r="Y62" s="117">
        <f ca="1">INDEX(INDIRECT("CAM_WTPCore_"&amp;$B62&amp;"_UnitValues"),MATCH("COMBINED-NHH",WTPCore_Group,0),MATCH("MEAN",LMH,0))</f>
        <v>5120</v>
      </c>
      <c r="Z62" s="117">
        <f ca="1">-Y62*(S62-T62)/NHHProps_CAM</f>
        <v>4.6079999999999997</v>
      </c>
      <c r="AA62" s="117">
        <f ca="1">INDEX(INDIRECT("CAM_WTPCore2_"&amp;$B62&amp;"_UnitValues"),2,MATCH("MEAN",LMH,0))</f>
        <v>115707.47377785998</v>
      </c>
      <c r="AB62" s="117">
        <f ca="1">-AA62*(S62-T62)/NHHProps_CAM</f>
        <v>104.13672640007398</v>
      </c>
      <c r="AC62" s="216">
        <f t="shared" ca="1" si="63"/>
        <v>17.65193941592171</v>
      </c>
      <c r="AD62" s="611" t="s">
        <v>397</v>
      </c>
      <c r="AE62" s="627">
        <f ca="1">-AC62*NHHProps_CAM/((S62-T62))</f>
        <v>19613.266017690788</v>
      </c>
    </row>
    <row r="63" spans="1:31" x14ac:dyDescent="0.25">
      <c r="D63" s="514"/>
      <c r="E63" s="431"/>
      <c r="F63" s="521"/>
      <c r="G63" s="521"/>
      <c r="H63" s="20"/>
      <c r="I63" s="20"/>
      <c r="J63" s="445">
        <f ca="1">SUM(J59:J62)*AvgNHHBill_SSW</f>
        <v>129.13934716947753</v>
      </c>
      <c r="K63" s="603">
        <f ca="1">SUM(K59:K62)</f>
        <v>382.65185894170907</v>
      </c>
      <c r="L63" s="579"/>
      <c r="M63" s="446">
        <f ca="1">SUM(M58:M62)</f>
        <v>53.813925534591206</v>
      </c>
      <c r="N63" s="446"/>
      <c r="O63" s="446">
        <f ca="1">SUM(O58:O62)</f>
        <v>129.13934716947753</v>
      </c>
      <c r="P63" s="497">
        <f ca="1">SUM(P59:P60)</f>
        <v>5.1407795055815138</v>
      </c>
      <c r="Q63" s="618"/>
      <c r="R63" s="631"/>
      <c r="S63" s="16"/>
      <c r="T63" s="16"/>
      <c r="U63" s="216"/>
      <c r="V63" s="216"/>
      <c r="W63" s="52">
        <f ca="1">SUM(W59:W62)*AvgNHHBill_CAM</f>
        <v>665.3376443152996</v>
      </c>
      <c r="X63" s="532">
        <f ca="1">SUM(X59:X62)</f>
        <v>330.9184769503546</v>
      </c>
      <c r="Y63" s="532"/>
      <c r="Z63" s="446">
        <f ca="1">SUM(Z58:Z62)</f>
        <v>99.242666666666651</v>
      </c>
      <c r="AA63" s="446"/>
      <c r="AB63" s="446">
        <f ca="1">SUM(AB58:AB62)</f>
        <v>665.3376443152996</v>
      </c>
      <c r="AC63" s="52">
        <f ca="1">SUM(AC59:AC62)</f>
        <v>382.29015549098318</v>
      </c>
      <c r="AE63" s="534"/>
    </row>
    <row r="64" spans="1:31" s="60" customFormat="1" x14ac:dyDescent="0.25">
      <c r="D64" s="516"/>
      <c r="E64" s="523"/>
      <c r="F64" s="524"/>
      <c r="G64" s="524"/>
      <c r="H64" s="524"/>
      <c r="I64" s="524"/>
      <c r="J64" s="553"/>
      <c r="K64" s="31"/>
      <c r="L64" s="31"/>
      <c r="M64" s="830" t="s">
        <v>997</v>
      </c>
      <c r="N64" s="737">
        <f ca="1">AVERAGE(M63,O63)</f>
        <v>91.476636352034376</v>
      </c>
      <c r="O64" s="830"/>
      <c r="P64" s="15"/>
      <c r="Q64" s="617"/>
      <c r="R64" s="629"/>
      <c r="S64" s="44"/>
      <c r="T64" s="44"/>
      <c r="U64" s="44"/>
      <c r="V64" s="44"/>
      <c r="W64" s="835"/>
      <c r="X64" s="31"/>
      <c r="Y64" s="31"/>
      <c r="Z64" s="830" t="s">
        <v>997</v>
      </c>
      <c r="AA64" s="737">
        <f ca="1">AVERAGE(Z63,AB63)</f>
        <v>382.29015549098312</v>
      </c>
      <c r="AB64" s="830"/>
      <c r="AC64" s="15"/>
      <c r="AD64" s="15"/>
      <c r="AE64" s="535"/>
    </row>
    <row r="65" spans="1:31" x14ac:dyDescent="0.25">
      <c r="A65" s="61" t="s">
        <v>174</v>
      </c>
      <c r="B65" s="237"/>
      <c r="D65" s="515"/>
      <c r="E65" s="522"/>
      <c r="F65" s="448"/>
      <c r="G65" s="448"/>
      <c r="H65" s="497"/>
      <c r="I65" s="497"/>
      <c r="J65" s="497"/>
      <c r="K65" s="531"/>
      <c r="L65" s="531"/>
      <c r="M65" s="531"/>
      <c r="N65" s="531"/>
      <c r="O65" s="531"/>
      <c r="P65" s="54"/>
      <c r="Q65" s="614"/>
      <c r="R65" s="630"/>
      <c r="S65" s="54"/>
      <c r="T65" s="54"/>
      <c r="U65" s="53"/>
      <c r="V65" s="53"/>
      <c r="W65" s="53"/>
      <c r="X65" s="531"/>
      <c r="Y65" s="531"/>
      <c r="Z65" s="531"/>
      <c r="AA65" s="531"/>
      <c r="AB65" s="531"/>
      <c r="AC65" s="54"/>
      <c r="AE65" s="536"/>
    </row>
    <row r="66" spans="1:31" x14ac:dyDescent="0.25">
      <c r="A66" s="9" t="s">
        <v>117</v>
      </c>
      <c r="B66" s="9" t="s">
        <v>265</v>
      </c>
      <c r="C66" s="9" t="str">
        <f>B66</f>
        <v>TasteSmell</v>
      </c>
      <c r="D66" s="514" t="s">
        <v>369</v>
      </c>
      <c r="E66" s="431">
        <f ca="1">INDEX(INDIRECT("ExtWTP19_"&amp;$C66&amp;"_UnitValues"),MATCH(A$65, INDIRECT("ExtWTP19_Comps_"&amp;C66),0),MATCH("NHH",ExtWTP_Group,0))</f>
        <v>3325</v>
      </c>
      <c r="F66" s="521">
        <f t="shared" ref="F66:G69" ca="1" si="64">INDEX(INDIRECT("SSW_WTPCore2_"&amp;$B66&amp;"_Levels"),2,MATCH(F$4,WTPCore2_AttLevels,0))</f>
        <v>1.6666666666666666E-2</v>
      </c>
      <c r="G66" s="521">
        <f t="shared" ca="1" si="64"/>
        <v>1.1111111111111112E-2</v>
      </c>
      <c r="H66" s="581">
        <f ca="1">INDEX(INDIRECT("SSW_WTPCore2_"&amp;$B66&amp;"_LevelValues"),2,MATCH("S1 MEAN",WTPCore2_LevelValues,0))</f>
        <v>3.6865032727528453E-3</v>
      </c>
      <c r="I66" s="581">
        <f ca="1">INDEX(INDIRECT("SSW_WTPCore2_"&amp;$B66&amp;"_LevelValues"),2,MATCH("S2 MEAN",WTPCore2_LevelValues,0))</f>
        <v>5.1592292451456759E-6</v>
      </c>
      <c r="J66" s="435">
        <f ca="1">SUM(H66:I66)</f>
        <v>3.691662501997991E-3</v>
      </c>
      <c r="K66" s="602">
        <f ca="1">E66*(F66-G66)</f>
        <v>18.472222222222221</v>
      </c>
      <c r="L66" s="579">
        <f ca="1">INDEX(INDIRECT("SSW_WTPCore_DCE_"&amp;$B66&amp;"_UnitValues"),MATCH("COMBINED-NHH",WTPCore_Group,0),MATCH("MEAN",LMH,0))</f>
        <v>70.914536619635854</v>
      </c>
      <c r="M66" s="117">
        <f ca="1">L66*($F66-$G66)*(AllProps_SSW/NHHProps_SSW)</f>
        <v>6.2715708812260527</v>
      </c>
      <c r="N66" s="117">
        <f ca="1">INDEX(INDIRECT("SSW_WTPCore2_"&amp;$B66&amp;"_UnitValues"),2,MATCH("MEAN",LMH,0))</f>
        <v>184.66986976717914</v>
      </c>
      <c r="O66" s="117">
        <f ca="1">N66*($F66-$G66)*(AllProps_SSW/NHHProps_SSW)</f>
        <v>16.331914908839117</v>
      </c>
      <c r="P66" s="527">
        <f ca="1">K66*N$71/K$70</f>
        <v>16.023869699021535</v>
      </c>
      <c r="Q66" s="616" t="s">
        <v>369</v>
      </c>
      <c r="R66" s="627">
        <f ca="1">P66*NHHProps_SSW/((F66-G66)*AllProps_SSW)</f>
        <v>181.18671000930973</v>
      </c>
      <c r="S66" s="837">
        <f t="shared" ref="S66:T69" ca="1" si="65">INDEX(INDIRECT("CAM_WTPCore2_"&amp;$B66&amp;"_Levels"),2,MATCH(S$4,WTPCore2_AttLevels,0))</f>
        <v>1.4285714285714285E-2</v>
      </c>
      <c r="T66" s="837">
        <f t="shared" ca="1" si="65"/>
        <v>0.01</v>
      </c>
      <c r="U66" s="767">
        <f ca="1">INDEX(INDIRECT("CAM_WTPCore2_"&amp;$B66&amp;"_LevelValues"),2,MATCH("S1 MEAN",WTPCore2_LevelValues,0))</f>
        <v>4.257264223936371E-2</v>
      </c>
      <c r="V66" s="767">
        <f ca="1">INDEX(INDIRECT("CAM_WTPCore2_"&amp;$B66&amp;"_LevelValues"),2,MATCH("S2 MEAN",WTPCore2_LevelValues,0))</f>
        <v>1.0971349631991048E-2</v>
      </c>
      <c r="W66" s="879">
        <f ca="1">SUM(U66:V66)</f>
        <v>5.3543991871354758E-2</v>
      </c>
      <c r="X66" s="528">
        <f ca="1">E66*(S66-T66)</f>
        <v>14.249999999999998</v>
      </c>
      <c r="Y66" s="117">
        <f ca="1">INDEX(INDIRECT("CAM_WTPCore_"&amp;$B66&amp;"_UnitValues"),MATCH("COMBINED-NHH",WTPCore_Group,0),MATCH("MEAN",LMH,0))</f>
        <v>181.56028368794324</v>
      </c>
      <c r="Z66" s="117">
        <f ca="1">Y66*($S66-$T66)*(AllProps_CAM/NHHProps_CAM)</f>
        <v>10.971428571428568</v>
      </c>
      <c r="AA66" s="117">
        <f ca="1">INDEX(INDIRECT("CAM_WTPCore2_"&amp;$B66&amp;"_UnitValues"),2,MATCH("MEAN",LMH,0))</f>
        <v>4536.682431842446</v>
      </c>
      <c r="AB66" s="117">
        <f ca="1">AA66*($S66-$T66)*(AllProps_CAM/NHHProps_CAM)</f>
        <v>274.1452383813363</v>
      </c>
      <c r="AC66" s="216">
        <f ca="1">X66*AA$71/X$70</f>
        <v>46.482418454380209</v>
      </c>
      <c r="AD66" s="616" t="s">
        <v>369</v>
      </c>
      <c r="AE66" s="627">
        <f ca="1">AC66*NHHProps_CAM/((S66-T66)*AllProps_CAM)</f>
        <v>769.21259853584286</v>
      </c>
    </row>
    <row r="67" spans="1:31" x14ac:dyDescent="0.25">
      <c r="A67" s="9" t="s">
        <v>672</v>
      </c>
      <c r="B67" s="9" t="s">
        <v>269</v>
      </c>
      <c r="C67" s="9" t="s">
        <v>328</v>
      </c>
      <c r="D67" s="514" t="s">
        <v>369</v>
      </c>
      <c r="E67" s="431">
        <f ca="1">INDEX(INDIRECT("ExtWTP19_"&amp;$C67&amp;"_UnitValues"),MATCH(A$65, INDIRECT("ExtWTP19_Comps_"&amp;C67),0),MATCH("NHH",ExtWTP_Group,0))</f>
        <v>2524</v>
      </c>
      <c r="F67" s="521">
        <f t="shared" ca="1" si="64"/>
        <v>1.2500000000000001E-2</v>
      </c>
      <c r="G67" s="521">
        <f t="shared" ca="1" si="64"/>
        <v>8.3333333333333332E-3</v>
      </c>
      <c r="H67" s="581">
        <f ca="1">INDEX(INDIRECT("SSW_WTPCore2_"&amp;$B67&amp;"_LevelValues"),2,MATCH("S1 MEAN",WTPCore2_LevelValues,0))</f>
        <v>2.3562800507588295E-4</v>
      </c>
      <c r="I67" s="581">
        <f ca="1">INDEX(INDIRECT("SSW_WTPCore2_"&amp;$B67&amp;"_LevelValues"),2,MATCH("S2 MEAN",WTPCore2_LevelValues,0))</f>
        <v>4.1117889914467278E-4</v>
      </c>
      <c r="J67" s="435">
        <f ca="1">SUM(H67:I67)</f>
        <v>6.4680690422055573E-4</v>
      </c>
      <c r="K67" s="602">
        <f ca="1">E67*(F67-G67)</f>
        <v>10.516666666666669</v>
      </c>
      <c r="L67" s="579">
        <f ca="1">INDEX(INDIRECT("SSW_WTPCore_DCE_"&amp;$B67&amp;"_UnitValues"),MATCH("COMBINED-NHH",WTPCore_Group,0),MATCH("MEAN",LMH,0))</f>
        <v>310.41834897651921</v>
      </c>
      <c r="M67" s="117">
        <f ca="1">L67*($F67-$G67)*(AllProps_SSW/NHHProps_SSW)</f>
        <v>20.589685534591201</v>
      </c>
      <c r="N67" s="117">
        <f ca="1">INDEX(INDIRECT("SSW_WTPCore2_"&amp;$B67&amp;"_UnitValues"),2,MATCH("MEAN",LMH,0))</f>
        <v>43.140724701414321</v>
      </c>
      <c r="O67" s="117">
        <f ca="1">N67*($F67-$G67)*(AllProps_SSW/NHHProps_SSW)</f>
        <v>2.8614737442717391</v>
      </c>
      <c r="P67" s="527">
        <f t="shared" ref="P67:P69" ca="1" si="66">K67*N$71/K$70</f>
        <v>9.1227625083451969</v>
      </c>
      <c r="Q67" s="611" t="s">
        <v>369</v>
      </c>
      <c r="R67" s="627">
        <f ca="1">P67*NHHProps_SSW/((F67-G67)*AllProps_SSW)</f>
        <v>137.53842287623996</v>
      </c>
      <c r="S67" s="837">
        <f t="shared" ca="1" si="65"/>
        <v>2.5000000000000001E-2</v>
      </c>
      <c r="T67" s="837">
        <f t="shared" ca="1" si="65"/>
        <v>1.6666666666666666E-2</v>
      </c>
      <c r="U67" s="767">
        <f ca="1">INDEX(INDIRECT("CAM_WTPCore2_"&amp;$B67&amp;"_LevelValues"),2,MATCH("S1 MEAN",WTPCore2_LevelValues,0))</f>
        <v>2.654718763279678E-4</v>
      </c>
      <c r="V67" s="767">
        <f ca="1">INDEX(INDIRECT("CAM_WTPCore2_"&amp;$B67&amp;"_LevelValues"),2,MATCH("S2 MEAN",WTPCore2_LevelValues,0))</f>
        <v>1.3401602008677625E-5</v>
      </c>
      <c r="W67" s="879">
        <f ca="1">SUM(U67:V67)</f>
        <v>2.7887347833664542E-4</v>
      </c>
      <c r="X67" s="528">
        <f ca="1">E67*(S67-T67)</f>
        <v>21.033333333333339</v>
      </c>
      <c r="Y67" s="117">
        <f ca="1">INDEX(INDIRECT("CAM_WTPCore_"&amp;$B67&amp;"_UnitValues"),MATCH("COMBINED-NHH",WTPCore_Group,0),MATCH("MEAN",LMH,0))</f>
        <v>90.78014184397162</v>
      </c>
      <c r="Z67" s="117">
        <f ca="1">Y67*($S67-$T67)*(AllProps_CAM/NHHProps_CAM)</f>
        <v>10.666666666666668</v>
      </c>
      <c r="AA67" s="117">
        <f ca="1">INDEX(INDIRECT("CAM_WTPCore2_"&amp;$B67&amp;"_UnitValues"),2,MATCH("MEAN",LMH,0))</f>
        <v>12.15176348156276</v>
      </c>
      <c r="AB67" s="117">
        <f ca="1">AA67*($S67-$T67)*(AllProps_CAM/NHHProps_CAM)</f>
        <v>1.4278322090836244</v>
      </c>
      <c r="AC67" s="216">
        <f t="shared" ref="AC67:AC69" ca="1" si="67">X67*AA$71/X$70</f>
        <v>68.609136946699238</v>
      </c>
      <c r="AD67" s="611" t="s">
        <v>369</v>
      </c>
      <c r="AE67" s="627">
        <f ca="1">AC67*NHHProps_CAM/((S67-T67)*AllProps_CAM)</f>
        <v>583.90754848254653</v>
      </c>
    </row>
    <row r="68" spans="1:31" x14ac:dyDescent="0.25">
      <c r="A68" s="9" t="s">
        <v>673</v>
      </c>
      <c r="B68" s="9" t="s">
        <v>269</v>
      </c>
      <c r="C68" s="9" t="s">
        <v>326</v>
      </c>
      <c r="D68" s="514" t="s">
        <v>369</v>
      </c>
      <c r="E68" s="431">
        <f ca="1">INDEX(INDIRECT("ExtWTP19_"&amp;$C68&amp;"_UnitValues"),MATCH(A$65, INDIRECT("ExtWTP19_Comps_"&amp;C68),0),MATCH("NHH",ExtWTP_Group,0))</f>
        <v>2620</v>
      </c>
      <c r="F68" s="521">
        <f t="shared" ca="1" si="64"/>
        <v>1.2500000000000001E-2</v>
      </c>
      <c r="G68" s="521">
        <f t="shared" ca="1" si="64"/>
        <v>8.3333333333333332E-3</v>
      </c>
      <c r="H68" s="581">
        <f ca="1">INDEX(INDIRECT("SSW_WTPCore2_"&amp;$B68&amp;"_LevelValues"),2,MATCH("S1 MEAN",WTPCore2_LevelValues,0))</f>
        <v>2.3562800507588295E-4</v>
      </c>
      <c r="I68" s="581">
        <f ca="1">INDEX(INDIRECT("SSW_WTPCore2_"&amp;$B68&amp;"_LevelValues"),2,MATCH("S2 MEAN",WTPCore2_LevelValues,0))</f>
        <v>4.1117889914467278E-4</v>
      </c>
      <c r="J68" s="435">
        <f ca="1">SUM(H68:I68)</f>
        <v>6.4680690422055573E-4</v>
      </c>
      <c r="K68" s="602">
        <f ca="1">E68*(F68-G68)</f>
        <v>10.91666666666667</v>
      </c>
      <c r="L68" s="579">
        <f ca="1">INDEX(INDIRECT("SSW_WTPCore_DCE_"&amp;$B68&amp;"_UnitValues"),MATCH("COMBINED-NHH",WTPCore_Group,0),MATCH("MEAN",LMH,0))</f>
        <v>310.41834897651921</v>
      </c>
      <c r="M68" s="117">
        <f ca="1">L68*($F68-$G68)*(AllProps_SSW/NHHProps_SSW)</f>
        <v>20.589685534591201</v>
      </c>
      <c r="N68" s="117">
        <f ca="1">INDEX(INDIRECT("SSW_WTPCore2_"&amp;$B68&amp;"_UnitValues"),2,MATCH("MEAN",LMH,0))</f>
        <v>43.140724701414321</v>
      </c>
      <c r="O68" s="117">
        <f ca="1">N68*($F68-$G68)*(AllProps_SSW/NHHProps_SSW)</f>
        <v>2.8614737442717391</v>
      </c>
      <c r="P68" s="527">
        <f t="shared" ca="1" si="66"/>
        <v>9.4697455514518278</v>
      </c>
      <c r="Q68" s="611" t="s">
        <v>369</v>
      </c>
      <c r="R68" s="627">
        <f ca="1">P68*NHHProps_SSW/((F68-G68)*AllProps_SSW)</f>
        <v>142.76967826297491</v>
      </c>
      <c r="S68" s="837">
        <f t="shared" ca="1" si="65"/>
        <v>2.5000000000000001E-2</v>
      </c>
      <c r="T68" s="837">
        <f t="shared" ca="1" si="65"/>
        <v>1.6666666666666666E-2</v>
      </c>
      <c r="U68" s="767">
        <f ca="1">INDEX(INDIRECT("CAM_WTPCore2_"&amp;$B68&amp;"_LevelValues"),2,MATCH("S1 MEAN",WTPCore2_LevelValues,0))</f>
        <v>2.654718763279678E-4</v>
      </c>
      <c r="V68" s="767">
        <f ca="1">INDEX(INDIRECT("CAM_WTPCore2_"&amp;$B68&amp;"_LevelValues"),2,MATCH("S2 MEAN",WTPCore2_LevelValues,0))</f>
        <v>1.3401602008677625E-5</v>
      </c>
      <c r="W68" s="879">
        <f ca="1">SUM(U68:V68)</f>
        <v>2.7887347833664542E-4</v>
      </c>
      <c r="X68" s="528">
        <f ca="1">E68*(S68-T68)</f>
        <v>21.833333333333339</v>
      </c>
      <c r="Y68" s="117">
        <f ca="1">INDEX(INDIRECT("CAM_WTPCore_"&amp;$B68&amp;"_UnitValues"),MATCH("COMBINED-NHH",WTPCore_Group,0),MATCH("MEAN",LMH,0))</f>
        <v>90.78014184397162</v>
      </c>
      <c r="Z68" s="117">
        <f ca="1">Y68*($S68-$T68)*(AllProps_CAM/NHHProps_CAM)</f>
        <v>10.666666666666668</v>
      </c>
      <c r="AA68" s="117">
        <f ca="1">INDEX(INDIRECT("CAM_WTPCore2_"&amp;$B68&amp;"_UnitValues"),2,MATCH("MEAN",LMH,0))</f>
        <v>12.15176348156276</v>
      </c>
      <c r="AB68" s="117">
        <f ca="1">AA68*($S68-$T68)*(AllProps_CAM/NHHProps_CAM)</f>
        <v>1.4278322090836244</v>
      </c>
      <c r="AC68" s="216">
        <f t="shared" ca="1" si="67"/>
        <v>71.218676228348656</v>
      </c>
      <c r="AD68" s="611" t="s">
        <v>369</v>
      </c>
      <c r="AE68" s="627">
        <f ca="1">AC68*NHHProps_CAM/((S68-T68)*AllProps_CAM)</f>
        <v>606.11639343275442</v>
      </c>
    </row>
    <row r="69" spans="1:31" x14ac:dyDescent="0.25">
      <c r="A69" s="9" t="s">
        <v>330</v>
      </c>
      <c r="B69" s="9" t="s">
        <v>319</v>
      </c>
      <c r="C69" s="9" t="str">
        <f>B69</f>
        <v>TempBan</v>
      </c>
      <c r="D69" s="514" t="s">
        <v>369</v>
      </c>
      <c r="E69" s="431">
        <f ca="1">INDEX(INDIRECT("ExtWTP19_NEUseBan_UnitValues"),3,2)</f>
        <v>531</v>
      </c>
      <c r="F69" s="521">
        <f t="shared" ca="1" si="64"/>
        <v>2.5000000000000001E-2</v>
      </c>
      <c r="G69" s="521">
        <f t="shared" ca="1" si="64"/>
        <v>1.6666666666666666E-2</v>
      </c>
      <c r="H69" s="581">
        <f ca="1">INDEX(INDIRECT("SSW_WTPCore2_"&amp;$B69&amp;"_LevelValues"),2,MATCH("S1 MEAN",WTPCore2_LevelValues,0))</f>
        <v>1.0363458862342743E-3</v>
      </c>
      <c r="I69" s="581">
        <f ca="1">INDEX(INDIRECT("SSW_WTPCore2_"&amp;$B69&amp;"_LevelValues"),2,MATCH("S2 MEAN",WTPCore2_LevelValues,0))</f>
        <v>6.2724159084084235E-4</v>
      </c>
      <c r="J69" s="435">
        <f ca="1">SUM(H69:I69)</f>
        <v>1.6635874770751166E-3</v>
      </c>
      <c r="K69" s="602">
        <f ca="1">E69*(F69-G69)</f>
        <v>4.4250000000000007</v>
      </c>
      <c r="L69" s="579">
        <f ca="1">INDEX(INDIRECT("SSW_WTPCore_DCE_"&amp;$B69&amp;"_UnitValues"),MATCH("COMBINED-NHH",WTPCore_Group,0),MATCH("MEAN",LMH,0))</f>
        <v>196425.59999999998</v>
      </c>
      <c r="M69" s="117">
        <f ca="1">L69*(F69-G69)/NHHProps_SSW</f>
        <v>4.4240000000000002E-2</v>
      </c>
      <c r="N69" s="117">
        <f ca="1">INDEX(INDIRECT("SSW_WTPCore2_"&amp;$B69&amp;"_UnitValues"),2,MATCH("MEAN",LMH,0))</f>
        <v>326771.16833696596</v>
      </c>
      <c r="O69" s="117">
        <f ca="1">N69*(F69-G69)/NHHProps_SSW*100</f>
        <v>7.3597109985803151</v>
      </c>
      <c r="P69" s="527">
        <f t="shared" ca="1" si="66"/>
        <v>3.8384999143671146</v>
      </c>
      <c r="Q69" s="615" t="s">
        <v>422</v>
      </c>
      <c r="R69" s="627">
        <f ca="1">P69*NHHProps_SSW/((F69-G69)*100)</f>
        <v>170429.39619789986</v>
      </c>
      <c r="S69" s="837">
        <f t="shared" ca="1" si="65"/>
        <v>0.02</v>
      </c>
      <c r="T69" s="837">
        <f t="shared" ca="1" si="65"/>
        <v>1.3333333333333334E-2</v>
      </c>
      <c r="U69" s="767">
        <f ca="1">INDEX(INDIRECT("CAM_WTPCore2_"&amp;$B69&amp;"_LevelValues"),2,MATCH("S1 MEAN",WTPCore2_LevelValues,0))</f>
        <v>1.3694025744847137E-3</v>
      </c>
      <c r="V69" s="767">
        <f ca="1">INDEX(INDIRECT("CAM_WTPCore2_"&amp;$B69&amp;"_LevelValues"),2,MATCH("S2 MEAN",WTPCore2_LevelValues,0))</f>
        <v>1.1073984405910726E-3</v>
      </c>
      <c r="W69" s="879">
        <f ca="1">SUM(U69:V69)</f>
        <v>2.4768010150757864E-3</v>
      </c>
      <c r="X69" s="528">
        <f ca="1">E69*(S69-T69)</f>
        <v>3.5399999999999996</v>
      </c>
      <c r="Y69" s="117">
        <f ca="1">INDEX(INDIRECT("CAM_WTPCore_"&amp;$B69&amp;"_UnitValues"),MATCH("COMBINED-NHH",WTPCore_Group,0),MATCH("MEAN",LMH,0))</f>
        <v>1105919.9999999998</v>
      </c>
      <c r="Z69" s="117">
        <f ca="1">Y69*(S69-T69)/NHHProps_CAM*100</f>
        <v>73.72799999999998</v>
      </c>
      <c r="AA69" s="117">
        <f ca="1">INDEX(INDIRECT("CAM_WTPCore2_"&amp;$B69&amp;"_UnitValues"),2,MATCH("MEAN",LMH,0))</f>
        <v>190218.3179578204</v>
      </c>
      <c r="AB69" s="117">
        <f ca="1">AA69*(S69-T69)/NHHProps_CAM*100</f>
        <v>12.681221197188028</v>
      </c>
      <c r="AC69" s="216">
        <f t="shared" ca="1" si="67"/>
        <v>11.547211321298663</v>
      </c>
      <c r="AD69" s="615" t="s">
        <v>422</v>
      </c>
      <c r="AE69" s="627">
        <f ca="1">AC69*NHHProps_CAM/((S69-T69)*100)</f>
        <v>173208.16981947995</v>
      </c>
    </row>
    <row r="70" spans="1:31" x14ac:dyDescent="0.25">
      <c r="D70" s="514"/>
      <c r="E70" s="431"/>
      <c r="F70" s="521"/>
      <c r="G70" s="521"/>
      <c r="H70" s="20"/>
      <c r="I70" s="20"/>
      <c r="J70" s="445">
        <f ca="1">SUM(J66:J69)*AvgNHHBill_SSW</f>
        <v>29.414573395962908</v>
      </c>
      <c r="K70" s="603">
        <f ca="1">SUM(K66:K69)</f>
        <v>44.330555555555563</v>
      </c>
      <c r="L70" s="603"/>
      <c r="M70" s="446">
        <f ca="1">SUM(M65:M69)</f>
        <v>47.495181950408451</v>
      </c>
      <c r="N70" s="446"/>
      <c r="O70" s="446">
        <f ca="1">SUM(O65:O69)</f>
        <v>29.414573395962908</v>
      </c>
      <c r="P70" s="497">
        <f ca="1">SUM(P66:P69)</f>
        <v>38.454877673185671</v>
      </c>
      <c r="Q70" s="618"/>
      <c r="R70" s="631"/>
      <c r="S70" s="16"/>
      <c r="T70" s="16"/>
      <c r="U70" s="216"/>
      <c r="V70" s="216"/>
      <c r="W70" s="52">
        <f ca="1">SUM(W66:W69)*AvgNHHBill_CAM</f>
        <v>289.68212399669164</v>
      </c>
      <c r="X70" s="532">
        <f ca="1">SUM(X66:X69)</f>
        <v>60.656666666666673</v>
      </c>
      <c r="Y70" s="532"/>
      <c r="Z70" s="446">
        <f ca="1">SUM(Z65:Z69)</f>
        <v>106.03276190476188</v>
      </c>
      <c r="AA70" s="446"/>
      <c r="AB70" s="446">
        <f ca="1">SUM(AB65:AB69)</f>
        <v>289.68212399669164</v>
      </c>
      <c r="AC70" s="52">
        <f ca="1">SUM(AC66:AC69)</f>
        <v>197.85744295072678</v>
      </c>
      <c r="AE70" s="534"/>
    </row>
    <row r="71" spans="1:31" s="60" customFormat="1" x14ac:dyDescent="0.25">
      <c r="D71" s="516"/>
      <c r="E71" s="523"/>
      <c r="F71" s="524"/>
      <c r="G71" s="524"/>
      <c r="H71" s="524"/>
      <c r="I71" s="524"/>
      <c r="J71" s="553"/>
      <c r="K71" s="31"/>
      <c r="L71" s="31"/>
      <c r="M71" s="830" t="s">
        <v>997</v>
      </c>
      <c r="N71" s="737">
        <f ca="1">AVERAGE(M70,O70)</f>
        <v>38.454877673185678</v>
      </c>
      <c r="O71" s="830"/>
      <c r="P71" s="15"/>
      <c r="Q71" s="617"/>
      <c r="R71" s="629"/>
      <c r="S71" s="44"/>
      <c r="T71" s="44"/>
      <c r="U71" s="44"/>
      <c r="V71" s="44"/>
      <c r="W71" s="835"/>
      <c r="X71" s="31"/>
      <c r="Y71" s="31"/>
      <c r="Z71" s="830" t="s">
        <v>997</v>
      </c>
      <c r="AA71" s="737">
        <f ca="1">AVERAGE(Z70,AB70)</f>
        <v>197.85744295072675</v>
      </c>
      <c r="AB71" s="830"/>
      <c r="AC71" s="15"/>
      <c r="AD71" s="15"/>
      <c r="AE71" s="535"/>
    </row>
    <row r="72" spans="1:31" s="64" customFormat="1" x14ac:dyDescent="0.25">
      <c r="A72" s="165" t="s">
        <v>168</v>
      </c>
      <c r="D72" s="517"/>
      <c r="E72" s="526"/>
      <c r="F72" s="527"/>
      <c r="G72" s="527"/>
      <c r="H72" s="527"/>
      <c r="I72" s="527"/>
      <c r="J72" s="437"/>
      <c r="K72" s="217"/>
      <c r="L72" s="217"/>
      <c r="M72" s="217"/>
      <c r="N72" s="217"/>
      <c r="O72" s="840"/>
      <c r="P72" s="10"/>
      <c r="Q72" s="619"/>
      <c r="R72" s="628"/>
      <c r="S72" s="748"/>
      <c r="T72" s="748"/>
      <c r="U72" s="748"/>
      <c r="V72" s="748"/>
      <c r="W72" s="880"/>
      <c r="X72" s="217"/>
      <c r="Y72" s="217"/>
      <c r="Z72" s="217"/>
      <c r="AA72" s="217"/>
      <c r="AB72" s="217"/>
      <c r="AC72" s="10"/>
      <c r="AE72" s="627"/>
    </row>
    <row r="73" spans="1:31" s="64" customFormat="1" x14ac:dyDescent="0.25">
      <c r="A73" s="9" t="s">
        <v>25</v>
      </c>
      <c r="B73" s="9" t="s">
        <v>266</v>
      </c>
      <c r="C73" s="9" t="str">
        <f>B73</f>
        <v>Discolour</v>
      </c>
      <c r="D73" s="514" t="s">
        <v>369</v>
      </c>
      <c r="E73" s="431">
        <f t="shared" ref="E73:E80" ca="1" si="68">INDEX(INDIRECT("ExtWTP19_"&amp;$C73&amp;"_UnitValues"),MATCH(A$72, INDIRECT("ExtWTP19_Comps_"&amp;C73),0),MATCH("NHH",ExtWTP_Group,0))</f>
        <v>353</v>
      </c>
      <c r="F73" s="521">
        <f t="shared" ref="F73:G79" ca="1" si="69">INDEX(INDIRECT("SSW_WTPCore2_"&amp;$B73&amp;"_Levels"),2,MATCH(F$4,WTPCore2_AttLevels,0))</f>
        <v>6.6666666666666666E-2</v>
      </c>
      <c r="G73" s="521">
        <f t="shared" ca="1" si="69"/>
        <v>0.04</v>
      </c>
      <c r="H73" s="581">
        <f t="shared" ref="H73:H79" ca="1" si="70">INDEX(INDIRECT("SSW_WTPCore2_"&amp;$B73&amp;"_LevelValues"),2,MATCH("S1 MEAN",WTPCore2_LevelValues,0))</f>
        <v>1.9376915692789636E-2</v>
      </c>
      <c r="I73" s="581">
        <f t="shared" ref="I73:I79" ca="1" si="71">INDEX(INDIRECT("SSW_WTPCore2_"&amp;$B73&amp;"_LevelValues"),2,MATCH("S2 MEAN",WTPCore2_LevelValues,0))</f>
        <v>4.9841954334050795E-4</v>
      </c>
      <c r="J73" s="435">
        <f t="shared" ref="J73:J80" ca="1" si="72">SUM(H73:I73)</f>
        <v>1.9875335236130144E-2</v>
      </c>
      <c r="K73" s="602">
        <f t="shared" ref="K73:K79" ca="1" si="73">E73*(F73-G73)</f>
        <v>9.4133333333333322</v>
      </c>
      <c r="L73" s="579">
        <f t="shared" ref="L73:L80" ca="1" si="74">INDEX(INDIRECT("SSW_WTPCore_DCE_"&amp;$B73&amp;"_UnitValues"),MATCH("COMBINED-NHH",WTPCore_Group,0),MATCH("MEAN",LMH,0))</f>
        <v>44.321585387272407</v>
      </c>
      <c r="M73" s="117">
        <f ca="1">L73*($F73-$G73)*(AllProps_SSW/NHHProps_SSW)</f>
        <v>18.81471264367816</v>
      </c>
      <c r="N73" s="117">
        <f t="shared" ref="N73:N79" ca="1" si="75">INDEX(INDIRECT("SSW_WTPCore2_"&amp;$B73&amp;"_UnitValues"),2,MATCH("MEAN",LMH,0))</f>
        <v>207.13203782671931</v>
      </c>
      <c r="O73" s="117">
        <f ca="1">N73*($F73-$G73)*(AllProps_SSW/NHHProps_SSW)</f>
        <v>87.928483084639765</v>
      </c>
      <c r="P73" s="527">
        <f ca="1">K73*N$82/K$81</f>
        <v>21.938780989307055</v>
      </c>
      <c r="Q73" s="611" t="s">
        <v>369</v>
      </c>
      <c r="R73" s="627">
        <f ca="1">P73*NHHProps_SSW/((F73-G73)*AllProps_SSW)</f>
        <v>51.680914469717386</v>
      </c>
      <c r="S73" s="837">
        <f t="shared" ref="S73:T79" ca="1" si="76">INDEX(INDIRECT("CAM_WTPCore2_"&amp;$B73&amp;"_Levels"),2,MATCH(S$4,WTPCore2_AttLevels,0))</f>
        <v>2.2222222222222223E-2</v>
      </c>
      <c r="T73" s="837">
        <f t="shared" ca="1" si="76"/>
        <v>1.5384615384615385E-2</v>
      </c>
      <c r="U73" s="767">
        <f t="shared" ref="U73:U79" ca="1" si="77">INDEX(INDIRECT("CAM_WTPCore2_"&amp;$B73&amp;"_LevelValues"),2,MATCH("S1 MEAN",WTPCore2_LevelValues,0))</f>
        <v>5.6414013673365619E-2</v>
      </c>
      <c r="V73" s="767">
        <f t="shared" ref="V73:V79" ca="1" si="78">INDEX(INDIRECT("CAM_WTPCore2_"&amp;$B73&amp;"_LevelValues"),2,MATCH("S2 MEAN",WTPCore2_LevelValues,0))</f>
        <v>1.4754621463399648E-4</v>
      </c>
      <c r="W73" s="879">
        <f t="shared" ref="W73:W80" ca="1" si="79">SUM(U73:V73)</f>
        <v>5.6561559887999616E-2</v>
      </c>
      <c r="X73" s="528">
        <f t="shared" ref="X73:X79" ca="1" si="80">E73*(S73-T73)</f>
        <v>2.4136752136752135</v>
      </c>
      <c r="Y73" s="117">
        <f t="shared" ref="Y73:Y80" ca="1" si="81">INDEX(INDIRECT("CAM_WTPCore_"&amp;$B73&amp;"_UnitValues"),MATCH("COMBINED-NHH",WTPCore_Group,0),MATCH("MEAN",LMH,0))</f>
        <v>290.49645390070918</v>
      </c>
      <c r="Z73" s="117">
        <f ca="1">Y73*($S73-$T73)*(AllProps_CAM/NHHProps_CAM)</f>
        <v>28.006837606837603</v>
      </c>
      <c r="AA73" s="117">
        <f t="shared" ref="AA73:AA79" ca="1" si="82">INDEX(INDIRECT("CAM_WTPCore2_"&amp;$B73&amp;"_UnitValues"),2,MATCH("MEAN",LMH,0))</f>
        <v>3003.7798612861075</v>
      </c>
      <c r="AB73" s="117">
        <f ca="1">AA73*($S73-$T73)*(AllProps_CAM/NHHProps_CAM)</f>
        <v>289.59518662655802</v>
      </c>
      <c r="AC73" s="216">
        <f ca="1">X73*AA$82/X$81</f>
        <v>14.877911257063527</v>
      </c>
      <c r="AD73" s="611" t="s">
        <v>369</v>
      </c>
      <c r="AE73" s="627">
        <f ca="1">AC73*NHHProps_CAM/((S73-T73)*AllProps_CAM)</f>
        <v>154.31876037911638</v>
      </c>
    </row>
    <row r="74" spans="1:31" s="64" customFormat="1" x14ac:dyDescent="0.25">
      <c r="A74" s="9" t="s">
        <v>117</v>
      </c>
      <c r="B74" s="9" t="s">
        <v>265</v>
      </c>
      <c r="C74" s="9" t="str">
        <f>B74</f>
        <v>TasteSmell</v>
      </c>
      <c r="D74" s="514" t="s">
        <v>369</v>
      </c>
      <c r="E74" s="431">
        <f t="shared" ca="1" si="68"/>
        <v>804</v>
      </c>
      <c r="F74" s="521">
        <f t="shared" ca="1" si="69"/>
        <v>1.6666666666666666E-2</v>
      </c>
      <c r="G74" s="521">
        <f t="shared" ca="1" si="69"/>
        <v>1.1111111111111112E-2</v>
      </c>
      <c r="H74" s="581">
        <f t="shared" ca="1" si="70"/>
        <v>3.6865032727528453E-3</v>
      </c>
      <c r="I74" s="581">
        <f t="shared" ca="1" si="71"/>
        <v>5.1592292451456759E-6</v>
      </c>
      <c r="J74" s="435">
        <f t="shared" ca="1" si="72"/>
        <v>3.691662501997991E-3</v>
      </c>
      <c r="K74" s="602">
        <f t="shared" ca="1" si="73"/>
        <v>4.4666666666666659</v>
      </c>
      <c r="L74" s="579">
        <f t="shared" ca="1" si="74"/>
        <v>70.914536619635854</v>
      </c>
      <c r="M74" s="117">
        <f ca="1">L74*($F74-$G74)*(AllProps_SSW/NHHProps_SSW)</f>
        <v>6.2715708812260527</v>
      </c>
      <c r="N74" s="117">
        <f t="shared" ca="1" si="75"/>
        <v>184.66986976717914</v>
      </c>
      <c r="O74" s="117">
        <f ca="1">N74*($F74-$G74)*(AllProps_SSW/NHHProps_SSW)</f>
        <v>16.331914908839117</v>
      </c>
      <c r="P74" s="527">
        <f t="shared" ref="P74:P80" ca="1" si="83">K74*N$82/K$81</f>
        <v>10.410044803708024</v>
      </c>
      <c r="Q74" s="611" t="s">
        <v>369</v>
      </c>
      <c r="R74" s="627">
        <f ca="1">P74*NHHProps_SSW/((F74-G74)*AllProps_SSW)</f>
        <v>117.70950491119771</v>
      </c>
      <c r="S74" s="837">
        <f t="shared" ca="1" si="76"/>
        <v>1.4285714285714285E-2</v>
      </c>
      <c r="T74" s="837">
        <f t="shared" ca="1" si="76"/>
        <v>0.01</v>
      </c>
      <c r="U74" s="767">
        <f t="shared" ca="1" si="77"/>
        <v>4.257264223936371E-2</v>
      </c>
      <c r="V74" s="767">
        <f t="shared" ca="1" si="78"/>
        <v>1.0971349631991048E-2</v>
      </c>
      <c r="W74" s="879">
        <f t="shared" ca="1" si="79"/>
        <v>5.3543991871354758E-2</v>
      </c>
      <c r="X74" s="528">
        <f t="shared" ca="1" si="80"/>
        <v>3.4457142857142853</v>
      </c>
      <c r="Y74" s="117">
        <f t="shared" ca="1" si="81"/>
        <v>181.56028368794324</v>
      </c>
      <c r="Z74" s="117">
        <f ca="1">Y74*($S74-$T74)*(AllProps_CAM/NHHProps_CAM)</f>
        <v>10.971428571428568</v>
      </c>
      <c r="AA74" s="117">
        <f t="shared" ca="1" si="82"/>
        <v>4536.682431842446</v>
      </c>
      <c r="AB74" s="117">
        <f ca="1">AA74*($S74-$T74)*(AllProps_CAM/NHHProps_CAM)</f>
        <v>274.1452383813363</v>
      </c>
      <c r="AC74" s="216">
        <f t="shared" ref="AC74:AC80" ca="1" si="84">X74*AA$82/X$81</f>
        <v>21.239407468577273</v>
      </c>
      <c r="AD74" s="611" t="s">
        <v>369</v>
      </c>
      <c r="AE74" s="627">
        <f ca="1">AC74*NHHProps_CAM/((S74-T74)*AllProps_CAM)</f>
        <v>351.47955621759087</v>
      </c>
    </row>
    <row r="75" spans="1:31" s="64" customFormat="1" x14ac:dyDescent="0.25">
      <c r="A75" s="9" t="s">
        <v>181</v>
      </c>
      <c r="B75" s="9" t="s">
        <v>269</v>
      </c>
      <c r="C75" s="9" t="s">
        <v>328</v>
      </c>
      <c r="D75" s="514" t="s">
        <v>369</v>
      </c>
      <c r="E75" s="431">
        <f t="shared" ca="1" si="68"/>
        <v>1565</v>
      </c>
      <c r="F75" s="521">
        <f t="shared" ca="1" si="69"/>
        <v>1.2500000000000001E-2</v>
      </c>
      <c r="G75" s="521">
        <f t="shared" ca="1" si="69"/>
        <v>8.3333333333333332E-3</v>
      </c>
      <c r="H75" s="581">
        <f t="shared" ca="1" si="70"/>
        <v>2.3562800507588295E-4</v>
      </c>
      <c r="I75" s="581">
        <f t="shared" ca="1" si="71"/>
        <v>4.1117889914467278E-4</v>
      </c>
      <c r="J75" s="435">
        <f t="shared" ca="1" si="72"/>
        <v>6.4680690422055573E-4</v>
      </c>
      <c r="K75" s="602">
        <f t="shared" ca="1" si="73"/>
        <v>6.5208333333333348</v>
      </c>
      <c r="L75" s="579">
        <f t="shared" ca="1" si="74"/>
        <v>310.41834897651921</v>
      </c>
      <c r="M75" s="117">
        <f ca="1">L75*($F75-$G75)*(AllProps_SSW/NHHProps_SSW)</f>
        <v>20.589685534591201</v>
      </c>
      <c r="N75" s="117">
        <f t="shared" ca="1" si="75"/>
        <v>43.140724701414321</v>
      </c>
      <c r="O75" s="117">
        <f ca="1">N75*($F75-$G75)*(AllProps_SSW/NHHProps_SSW)</f>
        <v>2.8614737442717391</v>
      </c>
      <c r="P75" s="527">
        <f t="shared" ca="1" si="83"/>
        <v>15.197500109890917</v>
      </c>
      <c r="Q75" s="611" t="s">
        <v>369</v>
      </c>
      <c r="R75" s="627">
        <f ca="1">P75*NHHProps_SSW/((F75-G75)*AllProps_SSW)</f>
        <v>229.1236009776423</v>
      </c>
      <c r="S75" s="837">
        <f t="shared" ca="1" si="76"/>
        <v>2.5000000000000001E-2</v>
      </c>
      <c r="T75" s="837">
        <f t="shared" ca="1" si="76"/>
        <v>1.6666666666666666E-2</v>
      </c>
      <c r="U75" s="767">
        <f t="shared" ca="1" si="77"/>
        <v>2.654718763279678E-4</v>
      </c>
      <c r="V75" s="767">
        <f t="shared" ca="1" si="78"/>
        <v>1.3401602008677625E-5</v>
      </c>
      <c r="W75" s="879">
        <f t="shared" ca="1" si="79"/>
        <v>2.7887347833664542E-4</v>
      </c>
      <c r="X75" s="528">
        <f t="shared" ca="1" si="80"/>
        <v>13.04166666666667</v>
      </c>
      <c r="Y75" s="117">
        <f t="shared" ca="1" si="81"/>
        <v>90.78014184397162</v>
      </c>
      <c r="Z75" s="117">
        <f ca="1">Y75*($S75-$T75)*(AllProps_CAM/NHHProps_CAM)</f>
        <v>10.666666666666668</v>
      </c>
      <c r="AA75" s="117">
        <f t="shared" ca="1" si="82"/>
        <v>12.15176348156276</v>
      </c>
      <c r="AB75" s="117">
        <f ca="1">AA75*($S75-$T75)*(AllProps_CAM/NHHProps_CAM)</f>
        <v>1.4278322090836244</v>
      </c>
      <c r="AC75" s="216">
        <f t="shared" ca="1" si="84"/>
        <v>80.388926485027682</v>
      </c>
      <c r="AD75" s="611" t="s">
        <v>369</v>
      </c>
      <c r="AE75" s="627">
        <f ca="1">AC75*NHHProps_CAM/((S75-T75)*AllProps_CAM)</f>
        <v>684.16107646832063</v>
      </c>
    </row>
    <row r="76" spans="1:31" s="64" customFormat="1" x14ac:dyDescent="0.25">
      <c r="A76" s="9" t="s">
        <v>674</v>
      </c>
      <c r="B76" s="9" t="s">
        <v>269</v>
      </c>
      <c r="C76" s="9" t="s">
        <v>326</v>
      </c>
      <c r="D76" s="514" t="s">
        <v>369</v>
      </c>
      <c r="E76" s="431">
        <f t="shared" ca="1" si="68"/>
        <v>1941</v>
      </c>
      <c r="F76" s="521">
        <f t="shared" ca="1" si="69"/>
        <v>1.2500000000000001E-2</v>
      </c>
      <c r="G76" s="521">
        <f t="shared" ca="1" si="69"/>
        <v>8.3333333333333332E-3</v>
      </c>
      <c r="H76" s="581">
        <f t="shared" ca="1" si="70"/>
        <v>2.3562800507588295E-4</v>
      </c>
      <c r="I76" s="581">
        <f t="shared" ca="1" si="71"/>
        <v>4.1117889914467278E-4</v>
      </c>
      <c r="J76" s="435">
        <f t="shared" ca="1" si="72"/>
        <v>6.4680690422055573E-4</v>
      </c>
      <c r="K76" s="602">
        <f t="shared" ca="1" si="73"/>
        <v>8.0875000000000021</v>
      </c>
      <c r="L76" s="579">
        <f t="shared" ca="1" si="74"/>
        <v>310.41834897651921</v>
      </c>
      <c r="M76" s="117">
        <f ca="1">L76*($F76-$G76)*(AllProps_SSW/NHHProps_SSW)</f>
        <v>20.589685534591201</v>
      </c>
      <c r="N76" s="117">
        <f t="shared" ca="1" si="75"/>
        <v>43.140724701414321</v>
      </c>
      <c r="O76" s="117">
        <f ca="1">N76*($F76-$G76)*(AllProps_SSW/NHHProps_SSW)</f>
        <v>2.8614737442717391</v>
      </c>
      <c r="P76" s="527">
        <f t="shared" ca="1" si="83"/>
        <v>18.848784481340747</v>
      </c>
      <c r="Q76" s="611" t="s">
        <v>369</v>
      </c>
      <c r="R76" s="627">
        <f ca="1">P76*NHHProps_SSW/((F76-G76)*AllProps_SSW)</f>
        <v>284.17182715501832</v>
      </c>
      <c r="S76" s="837">
        <f t="shared" ca="1" si="76"/>
        <v>2.5000000000000001E-2</v>
      </c>
      <c r="T76" s="837">
        <f t="shared" ca="1" si="76"/>
        <v>1.6666666666666666E-2</v>
      </c>
      <c r="U76" s="767">
        <f t="shared" ca="1" si="77"/>
        <v>2.654718763279678E-4</v>
      </c>
      <c r="V76" s="767">
        <f t="shared" ca="1" si="78"/>
        <v>1.3401602008677625E-5</v>
      </c>
      <c r="W76" s="879">
        <f t="shared" ca="1" si="79"/>
        <v>2.7887347833664542E-4</v>
      </c>
      <c r="X76" s="528">
        <f t="shared" ca="1" si="80"/>
        <v>16.175000000000004</v>
      </c>
      <c r="Y76" s="117">
        <f t="shared" ca="1" si="81"/>
        <v>90.78014184397162</v>
      </c>
      <c r="Z76" s="117">
        <f ca="1">Y76*($S76-$T76)*(AllProps_CAM/NHHProps_CAM)</f>
        <v>10.666666666666668</v>
      </c>
      <c r="AA76" s="117">
        <f t="shared" ca="1" si="82"/>
        <v>12.15176348156276</v>
      </c>
      <c r="AB76" s="117">
        <f ca="1">AA76*($S76-$T76)*(AllProps_CAM/NHHProps_CAM)</f>
        <v>1.4278322090836244</v>
      </c>
      <c r="AC76" s="216">
        <f t="shared" ca="1" si="84"/>
        <v>99.702815531909735</v>
      </c>
      <c r="AD76" s="611" t="s">
        <v>369</v>
      </c>
      <c r="AE76" s="627">
        <f ca="1">AC76*NHHProps_CAM/((S76-T76)*AllProps_CAM)</f>
        <v>848.534600271572</v>
      </c>
    </row>
    <row r="77" spans="1:31" s="64" customFormat="1" x14ac:dyDescent="0.25">
      <c r="A77" s="9" t="s">
        <v>675</v>
      </c>
      <c r="B77" s="9" t="s">
        <v>269</v>
      </c>
      <c r="C77" s="9" t="s">
        <v>332</v>
      </c>
      <c r="D77" s="514" t="s">
        <v>369</v>
      </c>
      <c r="E77" s="431">
        <f t="shared" ca="1" si="68"/>
        <v>2661</v>
      </c>
      <c r="F77" s="521">
        <f t="shared" ca="1" si="69"/>
        <v>1.2500000000000001E-2</v>
      </c>
      <c r="G77" s="521">
        <f t="shared" ca="1" si="69"/>
        <v>8.3333333333333332E-3</v>
      </c>
      <c r="H77" s="581">
        <f t="shared" ca="1" si="70"/>
        <v>2.3562800507588295E-4</v>
      </c>
      <c r="I77" s="581">
        <f t="shared" ca="1" si="71"/>
        <v>4.1117889914467278E-4</v>
      </c>
      <c r="J77" s="435">
        <f t="shared" ca="1" si="72"/>
        <v>6.4680690422055573E-4</v>
      </c>
      <c r="K77" s="602">
        <f t="shared" ca="1" si="73"/>
        <v>11.087500000000002</v>
      </c>
      <c r="L77" s="579">
        <f t="shared" ca="1" si="74"/>
        <v>310.41834897651921</v>
      </c>
      <c r="M77" s="117">
        <f ca="1">L77*($F77-$G77)*(AllProps_SSW/NHHProps_SSW)</f>
        <v>20.589685534591201</v>
      </c>
      <c r="N77" s="117">
        <f t="shared" ca="1" si="75"/>
        <v>43.140724701414321</v>
      </c>
      <c r="O77" s="117">
        <f ca="1">N77*($F77-$G77)*(AllProps_SSW/NHHProps_SSW)</f>
        <v>2.8614737442717391</v>
      </c>
      <c r="P77" s="527">
        <f t="shared" ca="1" si="83"/>
        <v>25.840605618159572</v>
      </c>
      <c r="Q77" s="611" t="s">
        <v>369</v>
      </c>
      <c r="R77" s="627">
        <f ca="1">P77*NHHProps_SSW/((F77-G77)*AllProps_SSW)</f>
        <v>389.5833240904193</v>
      </c>
      <c r="S77" s="837">
        <f t="shared" ca="1" si="76"/>
        <v>2.5000000000000001E-2</v>
      </c>
      <c r="T77" s="837">
        <f t="shared" ca="1" si="76"/>
        <v>1.6666666666666666E-2</v>
      </c>
      <c r="U77" s="767">
        <f t="shared" ca="1" si="77"/>
        <v>2.654718763279678E-4</v>
      </c>
      <c r="V77" s="767">
        <f t="shared" ca="1" si="78"/>
        <v>1.3401602008677625E-5</v>
      </c>
      <c r="W77" s="879">
        <f t="shared" ca="1" si="79"/>
        <v>2.7887347833664542E-4</v>
      </c>
      <c r="X77" s="528">
        <f t="shared" ca="1" si="80"/>
        <v>22.175000000000004</v>
      </c>
      <c r="Y77" s="117">
        <f t="shared" ca="1" si="81"/>
        <v>90.78014184397162</v>
      </c>
      <c r="Z77" s="117">
        <f ca="1">Y77*($S77-$T77)*(AllProps_CAM/NHHProps_CAM)</f>
        <v>10.666666666666668</v>
      </c>
      <c r="AA77" s="117">
        <f t="shared" ca="1" si="82"/>
        <v>12.15176348156276</v>
      </c>
      <c r="AB77" s="117">
        <f ca="1">AA77*($S77-$T77)*(AllProps_CAM/NHHProps_CAM)</f>
        <v>1.4278322090836244</v>
      </c>
      <c r="AC77" s="216">
        <f t="shared" ca="1" si="84"/>
        <v>136.68685838764131</v>
      </c>
      <c r="AD77" s="611" t="s">
        <v>369</v>
      </c>
      <c r="AE77" s="627">
        <f ca="1">AC77*NHHProps_CAM/((S77-T77)*AllProps_CAM)</f>
        <v>1163.292411809713</v>
      </c>
    </row>
    <row r="78" spans="1:31" s="64" customFormat="1" x14ac:dyDescent="0.25">
      <c r="A78" s="9" t="s">
        <v>330</v>
      </c>
      <c r="B78" s="9" t="s">
        <v>319</v>
      </c>
      <c r="C78" s="9" t="str">
        <f>B78</f>
        <v>TempBan</v>
      </c>
      <c r="D78" s="514" t="s">
        <v>369</v>
      </c>
      <c r="E78" s="431">
        <f t="shared" ca="1" si="68"/>
        <v>211</v>
      </c>
      <c r="F78" s="521">
        <f t="shared" ca="1" si="69"/>
        <v>2.5000000000000001E-2</v>
      </c>
      <c r="G78" s="521">
        <f t="shared" ca="1" si="69"/>
        <v>1.6666666666666666E-2</v>
      </c>
      <c r="H78" s="581">
        <f t="shared" ca="1" si="70"/>
        <v>1.0363458862342743E-3</v>
      </c>
      <c r="I78" s="581">
        <f t="shared" ca="1" si="71"/>
        <v>6.2724159084084235E-4</v>
      </c>
      <c r="J78" s="435">
        <f t="shared" ca="1" si="72"/>
        <v>1.6635874770751166E-3</v>
      </c>
      <c r="K78" s="602">
        <f t="shared" ca="1" si="73"/>
        <v>1.7583333333333337</v>
      </c>
      <c r="L78" s="579">
        <f t="shared" ca="1" si="74"/>
        <v>196425.59999999998</v>
      </c>
      <c r="M78" s="117">
        <f ca="1">L78*(F78-G78)/NHHProps_SSW</f>
        <v>4.4240000000000002E-2</v>
      </c>
      <c r="N78" s="117">
        <f t="shared" ca="1" si="75"/>
        <v>326771.16833696596</v>
      </c>
      <c r="O78" s="117">
        <f ca="1">N78*(F78-G78)/NHHProps_SSW*100</f>
        <v>7.3597109985803151</v>
      </c>
      <c r="P78" s="527">
        <f t="shared" ca="1" si="83"/>
        <v>4.0979840551910334</v>
      </c>
      <c r="Q78" s="615" t="s">
        <v>422</v>
      </c>
      <c r="R78" s="627">
        <f ca="1">P78*NHHProps_SSW/((F78-G78)*100)</f>
        <v>181950.49205048184</v>
      </c>
      <c r="S78" s="837">
        <f t="shared" ca="1" si="76"/>
        <v>0.02</v>
      </c>
      <c r="T78" s="837">
        <f t="shared" ca="1" si="76"/>
        <v>1.3333333333333334E-2</v>
      </c>
      <c r="U78" s="767">
        <f t="shared" ca="1" si="77"/>
        <v>1.3694025744847137E-3</v>
      </c>
      <c r="V78" s="767">
        <f t="shared" ca="1" si="78"/>
        <v>1.1073984405910726E-3</v>
      </c>
      <c r="W78" s="879">
        <f t="shared" ca="1" si="79"/>
        <v>2.4768010150757864E-3</v>
      </c>
      <c r="X78" s="528">
        <f t="shared" ca="1" si="80"/>
        <v>1.4066666666666665</v>
      </c>
      <c r="Y78" s="117">
        <f t="shared" ca="1" si="81"/>
        <v>1105919.9999999998</v>
      </c>
      <c r="Z78" s="117">
        <f ca="1">Y78*(S78-T78)/NHHProps_CAM*100</f>
        <v>73.72799999999998</v>
      </c>
      <c r="AA78" s="117">
        <f t="shared" ca="1" si="82"/>
        <v>190218.3179578204</v>
      </c>
      <c r="AB78" s="117">
        <f ca="1">AA78*(S78-T78)/NHHProps_CAM*100</f>
        <v>12.681221197188028</v>
      </c>
      <c r="AC78" s="216">
        <f t="shared" ca="1" si="84"/>
        <v>8.6707033806215126</v>
      </c>
      <c r="AD78" s="615" t="s">
        <v>422</v>
      </c>
      <c r="AE78" s="627">
        <f ca="1">AC78*NHHProps_CAM/((S78-T78)*100)</f>
        <v>130060.55070932269</v>
      </c>
    </row>
    <row r="79" spans="1:31" s="64" customFormat="1" x14ac:dyDescent="0.25">
      <c r="A79" s="9" t="s">
        <v>185</v>
      </c>
      <c r="B79" s="9" t="s">
        <v>270</v>
      </c>
      <c r="C79" s="9" t="str">
        <f>B79</f>
        <v>LowPressure</v>
      </c>
      <c r="D79" s="514" t="s">
        <v>369</v>
      </c>
      <c r="E79" s="431">
        <f t="shared" ca="1" si="68"/>
        <v>338</v>
      </c>
      <c r="F79" s="521">
        <f t="shared" ca="1" si="69"/>
        <v>0.1</v>
      </c>
      <c r="G79" s="521">
        <f t="shared" ca="1" si="69"/>
        <v>6.6666666666666666E-2</v>
      </c>
      <c r="H79" s="581">
        <f t="shared" ca="1" si="70"/>
        <v>6.9813125314618224E-5</v>
      </c>
      <c r="I79" s="581">
        <f t="shared" ca="1" si="71"/>
        <v>4.2539865887973236E-4</v>
      </c>
      <c r="J79" s="435">
        <f t="shared" ca="1" si="72"/>
        <v>4.9521178419435058E-4</v>
      </c>
      <c r="K79" s="602">
        <f t="shared" ca="1" si="73"/>
        <v>11.266666666666669</v>
      </c>
      <c r="L79" s="579">
        <f t="shared" ca="1" si="74"/>
        <v>38.286305674962968</v>
      </c>
      <c r="M79" s="117">
        <f ca="1">L79*($F79-$G79)*(AllProps_SSW/NHHProps_SSW)</f>
        <v>20.315886524822695</v>
      </c>
      <c r="N79" s="117">
        <f t="shared" ca="1" si="75"/>
        <v>4.12870423758259</v>
      </c>
      <c r="O79" s="117">
        <f ca="1">N79*($F79-$G79)*(AllProps_SSW/NHHProps_SSW)</f>
        <v>2.1908169332758072</v>
      </c>
      <c r="P79" s="527">
        <f t="shared" ca="1" si="83"/>
        <v>26.2581727138307</v>
      </c>
      <c r="Q79" s="611" t="s">
        <v>369</v>
      </c>
      <c r="R79" s="627">
        <f ca="1">P79*NHHProps_SSW/((F79-G79)*AllProps_SSW)</f>
        <v>49.48484161689656</v>
      </c>
      <c r="S79" s="837">
        <f t="shared" ca="1" si="76"/>
        <v>9.0909090909090912E-2</v>
      </c>
      <c r="T79" s="837">
        <f t="shared" ca="1" si="76"/>
        <v>6.6666666666666666E-2</v>
      </c>
      <c r="U79" s="767">
        <f t="shared" ca="1" si="77"/>
        <v>4.8585541264324922E-5</v>
      </c>
      <c r="V79" s="767">
        <f t="shared" ca="1" si="78"/>
        <v>4.7427328754792901E-3</v>
      </c>
      <c r="W79" s="879">
        <f t="shared" ca="1" si="79"/>
        <v>4.7913184167436155E-3</v>
      </c>
      <c r="X79" s="528">
        <f t="shared" ca="1" si="80"/>
        <v>8.1939393939393952</v>
      </c>
      <c r="Y79" s="117">
        <f t="shared" ca="1" si="81"/>
        <v>23.177908555907649</v>
      </c>
      <c r="Z79" s="117">
        <f ca="1">Y79*($S79-$T79)*(AllProps_CAM/NHHProps_CAM)</f>
        <v>7.9226305609284342</v>
      </c>
      <c r="AA79" s="117">
        <f t="shared" ca="1" si="82"/>
        <v>71.767833306117126</v>
      </c>
      <c r="AB79" s="117">
        <f ca="1">AA79*($S79-$T79)*(AllProps_CAM/NHHProps_CAM)</f>
        <v>24.53155029372731</v>
      </c>
      <c r="AC79" s="216">
        <f t="shared" ca="1" si="84"/>
        <v>50.507500950453633</v>
      </c>
      <c r="AD79" s="611" t="s">
        <v>369</v>
      </c>
      <c r="AE79" s="627">
        <f ca="1">AC79*NHHProps_CAM/((S79-T79)*AllProps_CAM)</f>
        <v>147.7613059720718</v>
      </c>
    </row>
    <row r="80" spans="1:31" s="64" customFormat="1" x14ac:dyDescent="0.25">
      <c r="A80" s="9" t="s">
        <v>111</v>
      </c>
      <c r="B80" s="9" t="s">
        <v>271</v>
      </c>
      <c r="C80" s="9" t="str">
        <f>B80</f>
        <v>Traffic</v>
      </c>
      <c r="D80" s="514" t="s">
        <v>369</v>
      </c>
      <c r="E80" s="431">
        <f t="shared" ca="1" si="68"/>
        <v>735</v>
      </c>
      <c r="F80" s="600">
        <f t="shared" ref="F80:G80" ca="1" si="85">INDEX(INDIRECT("SSW_WTPCore_DCE_"&amp;$B80&amp;"_Levels"),MATCH("COMBINED-NHH",WTPCore_Group,0),MATCH(F$4,WTPCore_AttLevels,0))</f>
        <v>608.33333333333337</v>
      </c>
      <c r="G80" s="600">
        <f t="shared" ca="1" si="85"/>
        <v>243.33333333333334</v>
      </c>
      <c r="H80" s="581">
        <f t="shared" ref="H80" ca="1" si="86">INDEX(INDIRECT("SSW_WTPCore_DCE_"&amp;$B80&amp;"_LevelValues"),MATCH("COMBINED-NHH",WTPCore_Group,0),MATCH("S1 MEAN",WTPCore_LevelValues,0))</f>
        <v>1E-3</v>
      </c>
      <c r="I80" s="581">
        <f t="shared" ref="I80" ca="1" si="87">INDEX(INDIRECT("SSW_WTPCore_DCE_"&amp;$B80&amp;"_LevelValues"),MATCH("COMBINED-NHH",WTPCore_Group,0),MATCH("S2 MEAN",WTPCore_LevelValues,0))</f>
        <v>1E-3</v>
      </c>
      <c r="J80" s="435">
        <f t="shared" ca="1" si="72"/>
        <v>2E-3</v>
      </c>
      <c r="K80" s="602">
        <f ca="1">E80*(F80-G80)/AllProps_SSW</f>
        <v>0.4554753820033956</v>
      </c>
      <c r="L80" s="579">
        <f t="shared" ca="1" si="74"/>
        <v>896.9205479452055</v>
      </c>
      <c r="M80" s="117">
        <f ca="1">L80*(F80-G80)/NHHProps_SSW</f>
        <v>8.8480000000000008</v>
      </c>
      <c r="N80" s="117">
        <f ca="1">L80</f>
        <v>896.9205479452055</v>
      </c>
      <c r="O80" s="117">
        <f ca="1">N80*(F80-G80)/NHHProps_SSW</f>
        <v>8.8480000000000008</v>
      </c>
      <c r="P80" s="527">
        <f t="shared" ca="1" si="83"/>
        <v>1.061534134397323</v>
      </c>
      <c r="Q80" s="611" t="s">
        <v>398</v>
      </c>
      <c r="R80" s="627">
        <f ca="1">P80*NHHProps_SSW/((F80-G80))</f>
        <v>107.6075697882218</v>
      </c>
      <c r="S80" s="620">
        <f t="shared" ref="S80:T80" ca="1" si="88">INDEX(INDIRECT("CAM_WTPCore_"&amp;$B80&amp;"_Levels"),MATCH("COMBINED-NHH",WTPCore_Group,0),MATCH(S$4,WTPCore_AttLevels,0))</f>
        <v>365</v>
      </c>
      <c r="T80" s="620">
        <f t="shared" ca="1" si="88"/>
        <v>121.66666666666667</v>
      </c>
      <c r="U80" s="587">
        <f t="shared" ref="U80" ca="1" si="89">INDEX(INDIRECT("CAM_WTPCore_"&amp;$B80&amp;"_LevelValues"),MATCH("COMBINED-NHH",WTPCore_Group,0),MATCH("S1 MEAN",WTPCore_LevelValues,0))</f>
        <v>3.0000000000000001E-3</v>
      </c>
      <c r="V80" s="587">
        <f t="shared" ref="V80" ca="1" si="90">INDEX(INDIRECT("CAM_WTPCore_"&amp;$B80&amp;"_LevelValues"),MATCH("COMBINED-NHH",WTPCore_Group,0),MATCH("S2 MEAN",WTPCore_LevelValues,0))</f>
        <v>5.0000000000000001E-3</v>
      </c>
      <c r="W80" s="879">
        <f t="shared" ca="1" si="79"/>
        <v>8.0000000000000002E-3</v>
      </c>
      <c r="X80" s="528">
        <f ca="1">E80*(S80-T80)/AllProps_CAM</f>
        <v>1.2684397163120567</v>
      </c>
      <c r="Y80" s="117">
        <f t="shared" ca="1" si="81"/>
        <v>1683.2876712328768</v>
      </c>
      <c r="Z80" s="117">
        <f ca="1">Y80*(S80-T80)/NHHProps_CAM</f>
        <v>40.96</v>
      </c>
      <c r="AA80" s="117">
        <f ca="1">Y80</f>
        <v>1683.2876712328768</v>
      </c>
      <c r="AB80" s="117">
        <f ca="1">AA80*(S80-T80)/NHHProps_CAM</f>
        <v>40.96</v>
      </c>
      <c r="AC80" s="216">
        <f t="shared" ca="1" si="84"/>
        <v>7.8186714713328511</v>
      </c>
      <c r="AD80" s="611" t="s">
        <v>398</v>
      </c>
      <c r="AE80" s="627">
        <f ca="1">AC80*NHHProps_CAM/((S80-T80))</f>
        <v>321.31526594518573</v>
      </c>
    </row>
    <row r="81" spans="1:31" s="64" customFormat="1" x14ac:dyDescent="0.25">
      <c r="D81" s="517"/>
      <c r="E81" s="526"/>
      <c r="F81" s="527"/>
      <c r="G81" s="527"/>
      <c r="H81" s="527"/>
      <c r="I81" s="527"/>
      <c r="J81" s="445">
        <f ca="1">SUM(J73:J80)*AvgNHHBill_SSW</f>
        <v>131.24334715815019</v>
      </c>
      <c r="K81" s="603">
        <f ca="1">SUM(K73:K80)</f>
        <v>53.056308715336733</v>
      </c>
      <c r="L81" s="603"/>
      <c r="M81" s="446">
        <f ca="1">SUM(M73:M80)</f>
        <v>116.0634666535005</v>
      </c>
      <c r="N81" s="446"/>
      <c r="O81" s="446">
        <f ca="1">SUM(O73:O80)</f>
        <v>131.24334715815021</v>
      </c>
      <c r="P81" s="497">
        <f ca="1">SUM(P73:P80)</f>
        <v>123.65340690582538</v>
      </c>
      <c r="Q81" s="619"/>
      <c r="R81" s="628"/>
      <c r="S81" s="748"/>
      <c r="T81" s="748"/>
      <c r="U81" s="748"/>
      <c r="V81" s="748"/>
      <c r="W81" s="52">
        <f ca="1">SUM(W73:W80)*AvgNHHBill_CAM</f>
        <v>646.19669312606061</v>
      </c>
      <c r="X81" s="532">
        <f ca="1">SUM(X73:X80)</f>
        <v>68.120101942974301</v>
      </c>
      <c r="Y81" s="532"/>
      <c r="Z81" s="446">
        <f ca="1">SUM(Z73:Z80)</f>
        <v>193.58889673919461</v>
      </c>
      <c r="AA81" s="446"/>
      <c r="AB81" s="446">
        <f ca="1">SUM(AB73:AB80)</f>
        <v>646.1966931260605</v>
      </c>
      <c r="AC81" s="52">
        <f ca="1">SUM(AC73:AC80)</f>
        <v>419.89279493262751</v>
      </c>
      <c r="AE81" s="627"/>
    </row>
    <row r="82" spans="1:31" s="60" customFormat="1" x14ac:dyDescent="0.25">
      <c r="D82" s="516"/>
      <c r="E82" s="523"/>
      <c r="F82" s="524"/>
      <c r="G82" s="524"/>
      <c r="H82" s="524"/>
      <c r="I82" s="524"/>
      <c r="J82" s="553"/>
      <c r="K82" s="31"/>
      <c r="L82" s="31"/>
      <c r="M82" s="830" t="s">
        <v>997</v>
      </c>
      <c r="N82" s="737">
        <f ca="1">AVERAGE(M81,O81)</f>
        <v>123.65340690582536</v>
      </c>
      <c r="O82" s="830"/>
      <c r="P82" s="15"/>
      <c r="Q82" s="617"/>
      <c r="R82" s="629"/>
      <c r="S82" s="44"/>
      <c r="T82" s="44"/>
      <c r="U82" s="44"/>
      <c r="V82" s="44"/>
      <c r="W82" s="835"/>
      <c r="X82" s="31"/>
      <c r="Y82" s="31"/>
      <c r="Z82" s="830" t="s">
        <v>997</v>
      </c>
      <c r="AA82" s="737">
        <f ca="1">AVERAGE(Z81,AB81)</f>
        <v>419.89279493262757</v>
      </c>
      <c r="AB82" s="830"/>
      <c r="AC82" s="15"/>
      <c r="AD82" s="15"/>
      <c r="AE82" s="535"/>
    </row>
    <row r="83" spans="1:31" x14ac:dyDescent="0.25">
      <c r="A83" s="61" t="s">
        <v>165</v>
      </c>
      <c r="B83" s="237"/>
      <c r="D83" s="515"/>
      <c r="E83" s="522"/>
      <c r="F83" s="448"/>
      <c r="G83" s="448"/>
      <c r="H83" s="497"/>
      <c r="I83" s="497"/>
      <c r="J83" s="497"/>
      <c r="K83" s="531"/>
      <c r="L83" s="531"/>
      <c r="M83" s="531"/>
      <c r="N83" s="531"/>
      <c r="O83" s="531"/>
      <c r="P83" s="54"/>
      <c r="Q83" s="614"/>
      <c r="R83" s="630"/>
      <c r="S83" s="54"/>
      <c r="T83" s="54"/>
      <c r="U83" s="53"/>
      <c r="V83" s="53"/>
      <c r="W83" s="53"/>
      <c r="X83" s="531"/>
      <c r="Y83" s="531"/>
      <c r="Z83" s="531"/>
      <c r="AA83" s="531"/>
      <c r="AB83" s="531"/>
      <c r="AC83" s="54"/>
      <c r="AE83" s="536"/>
    </row>
    <row r="84" spans="1:31" x14ac:dyDescent="0.25">
      <c r="A84" s="9" t="s">
        <v>25</v>
      </c>
      <c r="B84" s="9" t="s">
        <v>266</v>
      </c>
      <c r="C84" s="9" t="str">
        <f>B84</f>
        <v>Discolour</v>
      </c>
      <c r="D84" s="514" t="s">
        <v>369</v>
      </c>
      <c r="E84" s="431">
        <f ca="1">INDEX(INDIRECT("ExtWTP19_"&amp;$C84&amp;"_UnitValues"),MATCH(A$83, INDIRECT("ExtWTP19_Comps_"&amp;C84),0),MATCH("NHH",ExtWTP_Group,0))</f>
        <v>953</v>
      </c>
      <c r="F84" s="521">
        <f t="shared" ref="F84:G88" ca="1" si="91">INDEX(INDIRECT("SSW_WTPCore2_"&amp;$B84&amp;"_Levels"),2,MATCH(F$4,WTPCore2_AttLevels,0))</f>
        <v>6.6666666666666666E-2</v>
      </c>
      <c r="G84" s="521">
        <f t="shared" ca="1" si="91"/>
        <v>0.04</v>
      </c>
      <c r="H84" s="581">
        <f ca="1">INDEX(INDIRECT("SSW_WTPCore2_"&amp;$B84&amp;"_LevelValues"),2,MATCH("S1 MEAN",WTPCore2_LevelValues,0))</f>
        <v>1.9376915692789636E-2</v>
      </c>
      <c r="I84" s="581">
        <f ca="1">INDEX(INDIRECT("SSW_WTPCore2_"&amp;$B84&amp;"_LevelValues"),2,MATCH("S2 MEAN",WTPCore2_LevelValues,0))</f>
        <v>4.9841954334050795E-4</v>
      </c>
      <c r="J84" s="435">
        <f ca="1">SUM(H84:I84)</f>
        <v>1.9875335236130144E-2</v>
      </c>
      <c r="K84" s="602">
        <f ca="1">E84*(F84-G84)</f>
        <v>25.41333333333333</v>
      </c>
      <c r="L84" s="579">
        <f ca="1">INDEX(INDIRECT("SSW_WTPCore_DCE_"&amp;$B84&amp;"_UnitValues"),MATCH("COMBINED-NHH",WTPCore_Group,0),MATCH("MEAN",LMH,0))</f>
        <v>44.321585387272407</v>
      </c>
      <c r="M84" s="117">
        <f ca="1">L84*($F84-$G84)*(AllProps_SSW/NHHProps_SSW)</f>
        <v>18.81471264367816</v>
      </c>
      <c r="N84" s="117">
        <f ca="1">INDEX(INDIRECT("SSW_WTPCore2_"&amp;$B84&amp;"_UnitValues"),2,MATCH("MEAN",LMH,0))</f>
        <v>207.13203782671931</v>
      </c>
      <c r="O84" s="117">
        <f ca="1">N84*($F84-$G84)*(AllProps_SSW/NHHProps_SSW)</f>
        <v>87.928483084639765</v>
      </c>
      <c r="P84" s="527">
        <f ca="1">K84*N$90/K$89</f>
        <v>31.294195237008289</v>
      </c>
      <c r="Q84" s="611" t="s">
        <v>369</v>
      </c>
      <c r="R84" s="627">
        <f ca="1">P84*NHHProps_SSW/((F84-G84)*AllProps_SSW)</f>
        <v>73.719347863071306</v>
      </c>
      <c r="S84" s="837">
        <f t="shared" ref="S84:T88" ca="1" si="92">INDEX(INDIRECT("CAM_WTPCore2_"&amp;$B84&amp;"_Levels"),2,MATCH(S$4,WTPCore2_AttLevels,0))</f>
        <v>2.2222222222222223E-2</v>
      </c>
      <c r="T84" s="837">
        <f t="shared" ca="1" si="92"/>
        <v>1.5384615384615385E-2</v>
      </c>
      <c r="U84" s="767">
        <f ca="1">INDEX(INDIRECT("CAM_WTPCore2_"&amp;$B84&amp;"_LevelValues"),2,MATCH("S1 MEAN",WTPCore2_LevelValues,0))</f>
        <v>5.6414013673365619E-2</v>
      </c>
      <c r="V84" s="767">
        <f ca="1">INDEX(INDIRECT("CAM_WTPCore2_"&amp;$B84&amp;"_LevelValues"),2,MATCH("S2 MEAN",WTPCore2_LevelValues,0))</f>
        <v>1.4754621463399648E-4</v>
      </c>
      <c r="W84" s="879">
        <f ca="1">SUM(U84:V84)</f>
        <v>5.6561559887999616E-2</v>
      </c>
      <c r="X84" s="528">
        <f ca="1">E84*(S84-T84)</f>
        <v>6.5162393162393162</v>
      </c>
      <c r="Y84" s="117">
        <f ca="1">INDEX(INDIRECT("CAM_WTPCore_"&amp;$B84&amp;"_UnitValues"),MATCH("COMBINED-NHH",WTPCore_Group,0),MATCH("MEAN",LMH,0))</f>
        <v>290.49645390070918</v>
      </c>
      <c r="Z84" s="117">
        <f ca="1">Y84*($S84-$T84)*(AllProps_CAM/NHHProps_CAM)</f>
        <v>28.006837606837603</v>
      </c>
      <c r="AA84" s="117">
        <f ca="1">INDEX(INDIRECT("CAM_WTPCore2_"&amp;$B84&amp;"_UnitValues"),2,MATCH("MEAN",LMH,0))</f>
        <v>3003.7798612861075</v>
      </c>
      <c r="AB84" s="117">
        <f ca="1">AA84*($S84-$T84)*(AllProps_CAM/NHHProps_CAM)</f>
        <v>289.59518662655802</v>
      </c>
      <c r="AC84" s="216">
        <f ca="1">X84*AA$90/X$89</f>
        <v>25.766905582488157</v>
      </c>
      <c r="AD84" s="611" t="s">
        <v>369</v>
      </c>
      <c r="AE84" s="627">
        <f ca="1">AC84*NHHProps_CAM/((S84-T84)*AllProps_CAM)</f>
        <v>267.26311641410587</v>
      </c>
    </row>
    <row r="85" spans="1:31" x14ac:dyDescent="0.25">
      <c r="A85" s="9" t="s">
        <v>117</v>
      </c>
      <c r="B85" s="9" t="s">
        <v>265</v>
      </c>
      <c r="C85" s="9" t="str">
        <f>B85</f>
        <v>TasteSmell</v>
      </c>
      <c r="D85" s="514" t="s">
        <v>369</v>
      </c>
      <c r="E85" s="431">
        <f ca="1">INDEX(INDIRECT("ExtWTP19_"&amp;$C85&amp;"_UnitValues"),MATCH(A$83, INDIRECT("ExtWTP19_Comps_"&amp;C85),0),MATCH("NHH",ExtWTP_Group,0))</f>
        <v>1643</v>
      </c>
      <c r="F85" s="521">
        <f t="shared" ca="1" si="91"/>
        <v>1.6666666666666666E-2</v>
      </c>
      <c r="G85" s="521">
        <f t="shared" ca="1" si="91"/>
        <v>1.1111111111111112E-2</v>
      </c>
      <c r="H85" s="581">
        <f ca="1">INDEX(INDIRECT("SSW_WTPCore2_"&amp;$B85&amp;"_LevelValues"),2,MATCH("S1 MEAN",WTPCore2_LevelValues,0))</f>
        <v>3.6865032727528453E-3</v>
      </c>
      <c r="I85" s="581">
        <f ca="1">INDEX(INDIRECT("SSW_WTPCore2_"&amp;$B85&amp;"_LevelValues"),2,MATCH("S2 MEAN",WTPCore2_LevelValues,0))</f>
        <v>5.1592292451456759E-6</v>
      </c>
      <c r="J85" s="435">
        <f ca="1">SUM(H85:I85)</f>
        <v>3.691662501997991E-3</v>
      </c>
      <c r="K85" s="602">
        <f ca="1">E85*(F85-G85)</f>
        <v>9.1277777777777764</v>
      </c>
      <c r="L85" s="579">
        <f ca="1">INDEX(INDIRECT("SSW_WTPCore_DCE_"&amp;$B85&amp;"_UnitValues"),MATCH("COMBINED-NHH",WTPCore_Group,0),MATCH("MEAN",LMH,0))</f>
        <v>70.914536619635854</v>
      </c>
      <c r="M85" s="117">
        <f ca="1">L85*($F85-$G85)*(AllProps_SSW/NHHProps_SSW)</f>
        <v>6.2715708812260527</v>
      </c>
      <c r="N85" s="117">
        <f ca="1">INDEX(INDIRECT("SSW_WTPCore2_"&amp;$B85&amp;"_UnitValues"),2,MATCH("MEAN",LMH,0))</f>
        <v>184.66986976717914</v>
      </c>
      <c r="O85" s="117">
        <f ca="1">N85*($F85-$G85)*(AllProps_SSW/NHHProps_SSW)</f>
        <v>16.331914908839117</v>
      </c>
      <c r="P85" s="527">
        <f t="shared" ref="P85:P88" ca="1" si="93">K85*N$90/K$89</f>
        <v>11.240023341728886</v>
      </c>
      <c r="Q85" s="611" t="s">
        <v>369</v>
      </c>
      <c r="R85" s="627">
        <f ca="1">P85*NHHProps_SSW/((F85-G85)*AllProps_SSW)</f>
        <v>127.09432165690049</v>
      </c>
      <c r="S85" s="837">
        <f t="shared" ca="1" si="92"/>
        <v>1.4285714285714285E-2</v>
      </c>
      <c r="T85" s="837">
        <f t="shared" ca="1" si="92"/>
        <v>0.01</v>
      </c>
      <c r="U85" s="767">
        <f ca="1">INDEX(INDIRECT("CAM_WTPCore2_"&amp;$B85&amp;"_LevelValues"),2,MATCH("S1 MEAN",WTPCore2_LevelValues,0))</f>
        <v>4.257264223936371E-2</v>
      </c>
      <c r="V85" s="767">
        <f ca="1">INDEX(INDIRECT("CAM_WTPCore2_"&amp;$B85&amp;"_LevelValues"),2,MATCH("S2 MEAN",WTPCore2_LevelValues,0))</f>
        <v>1.0971349631991048E-2</v>
      </c>
      <c r="W85" s="879">
        <f ca="1">SUM(U85:V85)</f>
        <v>5.3543991871354758E-2</v>
      </c>
      <c r="X85" s="528">
        <f ca="1">E85*(S85-T85)</f>
        <v>7.04142857142857</v>
      </c>
      <c r="Y85" s="117">
        <f ca="1">INDEX(INDIRECT("CAM_WTPCore_"&amp;$B85&amp;"_UnitValues"),MATCH("COMBINED-NHH",WTPCore_Group,0),MATCH("MEAN",LMH,0))</f>
        <v>181.56028368794324</v>
      </c>
      <c r="Z85" s="117">
        <f ca="1">Y85*($S85-$T85)*(AllProps_CAM/NHHProps_CAM)</f>
        <v>10.971428571428568</v>
      </c>
      <c r="AA85" s="117">
        <f ca="1">INDEX(INDIRECT("CAM_WTPCore2_"&amp;$B85&amp;"_UnitValues"),2,MATCH("MEAN",LMH,0))</f>
        <v>4536.682431842446</v>
      </c>
      <c r="AB85" s="117">
        <f ca="1">AA85*($S85-$T85)*(AllProps_CAM/NHHProps_CAM)</f>
        <v>274.1452383813363</v>
      </c>
      <c r="AC85" s="216">
        <f t="shared" ref="AC85:AC88" ca="1" si="94">X85*AA$90/X$89</f>
        <v>27.843640535680258</v>
      </c>
      <c r="AD85" s="611" t="s">
        <v>369</v>
      </c>
      <c r="AE85" s="627">
        <f ca="1">AC85*NHHProps_CAM/((S85-T85)*AllProps_CAM)</f>
        <v>460.76946512946057</v>
      </c>
    </row>
    <row r="86" spans="1:31" x14ac:dyDescent="0.25">
      <c r="A86" s="9" t="s">
        <v>181</v>
      </c>
      <c r="B86" s="9" t="s">
        <v>269</v>
      </c>
      <c r="C86" s="9" t="s">
        <v>328</v>
      </c>
      <c r="D86" s="514" t="s">
        <v>369</v>
      </c>
      <c r="E86" s="431">
        <f ca="1">INDEX(INDIRECT("ExtWTP19_"&amp;$C86&amp;"_UnitValues"),MATCH(A$83, INDIRECT("ExtWTP19_Comps_"&amp;C86),0),MATCH("NHH",ExtWTP_Group,0))</f>
        <v>4224</v>
      </c>
      <c r="F86" s="521">
        <f t="shared" ca="1" si="91"/>
        <v>1.2500000000000001E-2</v>
      </c>
      <c r="G86" s="521">
        <f t="shared" ca="1" si="91"/>
        <v>8.3333333333333332E-3</v>
      </c>
      <c r="H86" s="581">
        <f ca="1">INDEX(INDIRECT("SSW_WTPCore2_"&amp;$B86&amp;"_LevelValues"),2,MATCH("S1 MEAN",WTPCore2_LevelValues,0))</f>
        <v>2.3562800507588295E-4</v>
      </c>
      <c r="I86" s="581">
        <f ca="1">INDEX(INDIRECT("SSW_WTPCore2_"&amp;$B86&amp;"_LevelValues"),2,MATCH("S2 MEAN",WTPCore2_LevelValues,0))</f>
        <v>4.1117889914467278E-4</v>
      </c>
      <c r="J86" s="435">
        <f ca="1">SUM(H86:I86)</f>
        <v>6.4680690422055573E-4</v>
      </c>
      <c r="K86" s="602">
        <f ca="1">E86*(F86-G86)</f>
        <v>17.600000000000005</v>
      </c>
      <c r="L86" s="579">
        <f ca="1">INDEX(INDIRECT("SSW_WTPCore_DCE_"&amp;$B86&amp;"_UnitValues"),MATCH("COMBINED-NHH",WTPCore_Group,0),MATCH("MEAN",LMH,0))</f>
        <v>310.41834897651921</v>
      </c>
      <c r="M86" s="117">
        <f ca="1">L86*($F86-$G86)*(AllProps_SSW/NHHProps_SSW)</f>
        <v>20.589685534591201</v>
      </c>
      <c r="N86" s="117">
        <f ca="1">INDEX(INDIRECT("SSW_WTPCore2_"&amp;$B86&amp;"_UnitValues"),2,MATCH("MEAN",LMH,0))</f>
        <v>43.140724701414321</v>
      </c>
      <c r="O86" s="117">
        <f ca="1">N86*($F86-$G86)*(AllProps_SSW/NHHProps_SSW)</f>
        <v>2.8614737442717391</v>
      </c>
      <c r="P86" s="527">
        <f t="shared" ca="1" si="93"/>
        <v>21.672789985756012</v>
      </c>
      <c r="Q86" s="611" t="s">
        <v>369</v>
      </c>
      <c r="R86" s="627">
        <f ca="1">P86*NHHProps_SSW/((F86-G86)*AllProps_SSW)</f>
        <v>326.74766565961522</v>
      </c>
      <c r="S86" s="837">
        <f t="shared" ca="1" si="92"/>
        <v>2.5000000000000001E-2</v>
      </c>
      <c r="T86" s="837">
        <f t="shared" ca="1" si="92"/>
        <v>1.6666666666666666E-2</v>
      </c>
      <c r="U86" s="767">
        <f ca="1">INDEX(INDIRECT("CAM_WTPCore2_"&amp;$B86&amp;"_LevelValues"),2,MATCH("S1 MEAN",WTPCore2_LevelValues,0))</f>
        <v>2.654718763279678E-4</v>
      </c>
      <c r="V86" s="767">
        <f ca="1">INDEX(INDIRECT("CAM_WTPCore2_"&amp;$B86&amp;"_LevelValues"),2,MATCH("S2 MEAN",WTPCore2_LevelValues,0))</f>
        <v>1.3401602008677625E-5</v>
      </c>
      <c r="W86" s="879">
        <f ca="1">SUM(U86:V86)</f>
        <v>2.7887347833664542E-4</v>
      </c>
      <c r="X86" s="528">
        <f ca="1">E86*(S86-T86)</f>
        <v>35.20000000000001</v>
      </c>
      <c r="Y86" s="117">
        <f ca="1">INDEX(INDIRECT("CAM_WTPCore_"&amp;$B86&amp;"_UnitValues"),MATCH("COMBINED-NHH",WTPCore_Group,0),MATCH("MEAN",LMH,0))</f>
        <v>90.78014184397162</v>
      </c>
      <c r="Z86" s="117">
        <f ca="1">Y86*($S86-$T86)*(AllProps_CAM/NHHProps_CAM)</f>
        <v>10.666666666666668</v>
      </c>
      <c r="AA86" s="117">
        <f ca="1">INDEX(INDIRECT("CAM_WTPCore2_"&amp;$B86&amp;"_UnitValues"),2,MATCH("MEAN",LMH,0))</f>
        <v>12.15176348156276</v>
      </c>
      <c r="AB86" s="117">
        <f ca="1">AA86*($S86-$T86)*(AllProps_CAM/NHHProps_CAM)</f>
        <v>1.4278322090836244</v>
      </c>
      <c r="AC86" s="216">
        <f t="shared" ca="1" si="94"/>
        <v>139.18995796290562</v>
      </c>
      <c r="AD86" s="611" t="s">
        <v>369</v>
      </c>
      <c r="AE86" s="627">
        <f ca="1">AC86*NHHProps_CAM/((S86-T86)*AllProps_CAM)</f>
        <v>1184.5953869183454</v>
      </c>
    </row>
    <row r="87" spans="1:31" x14ac:dyDescent="0.25">
      <c r="A87" s="9" t="s">
        <v>674</v>
      </c>
      <c r="B87" s="9" t="s">
        <v>269</v>
      </c>
      <c r="C87" s="9" t="s">
        <v>326</v>
      </c>
      <c r="D87" s="514" t="s">
        <v>369</v>
      </c>
      <c r="E87" s="431">
        <f ca="1">INDEX(INDIRECT("ExtWTP19_"&amp;$C87&amp;"_UnitValues"),MATCH(A$83, INDIRECT("ExtWTP19_Comps_"&amp;C87),0),MATCH("NHH",ExtWTP_Group,0))</f>
        <v>4699</v>
      </c>
      <c r="F87" s="521">
        <f t="shared" ca="1" si="91"/>
        <v>1.2500000000000001E-2</v>
      </c>
      <c r="G87" s="521">
        <f t="shared" ca="1" si="91"/>
        <v>8.3333333333333332E-3</v>
      </c>
      <c r="H87" s="581">
        <f ca="1">INDEX(INDIRECT("SSW_WTPCore2_"&amp;$B87&amp;"_LevelValues"),2,MATCH("S1 MEAN",WTPCore2_LevelValues,0))</f>
        <v>2.3562800507588295E-4</v>
      </c>
      <c r="I87" s="581">
        <f ca="1">INDEX(INDIRECT("SSW_WTPCore2_"&amp;$B87&amp;"_LevelValues"),2,MATCH("S2 MEAN",WTPCore2_LevelValues,0))</f>
        <v>4.1117889914467278E-4</v>
      </c>
      <c r="J87" s="435">
        <f ca="1">SUM(H87:I87)</f>
        <v>6.4680690422055573E-4</v>
      </c>
      <c r="K87" s="602">
        <f ca="1">E87*(F87-G87)</f>
        <v>19.579166666666669</v>
      </c>
      <c r="L87" s="579">
        <f ca="1">INDEX(INDIRECT("SSW_WTPCore_DCE_"&amp;$B87&amp;"_UnitValues"),MATCH("COMBINED-NHH",WTPCore_Group,0),MATCH("MEAN",LMH,0))</f>
        <v>310.41834897651921</v>
      </c>
      <c r="M87" s="117">
        <f ca="1">L87*($F87-$G87)*(AllProps_SSW/NHHProps_SSW)</f>
        <v>20.589685534591201</v>
      </c>
      <c r="N87" s="117">
        <f ca="1">INDEX(INDIRECT("SSW_WTPCore2_"&amp;$B87&amp;"_UnitValues"),2,MATCH("MEAN",LMH,0))</f>
        <v>43.140724701414321</v>
      </c>
      <c r="O87" s="117">
        <f ca="1">N87*($F87-$G87)*(AllProps_SSW/NHHProps_SSW)</f>
        <v>2.8614737442717391</v>
      </c>
      <c r="P87" s="527">
        <f t="shared" ca="1" si="93"/>
        <v>24.109952685385291</v>
      </c>
      <c r="Q87" s="611" t="s">
        <v>369</v>
      </c>
      <c r="R87" s="627">
        <f ca="1">P87*NHHProps_SSW/((F87-G87)*AllProps_SSW)</f>
        <v>363.49130703942507</v>
      </c>
      <c r="S87" s="837">
        <f t="shared" ca="1" si="92"/>
        <v>2.5000000000000001E-2</v>
      </c>
      <c r="T87" s="837">
        <f t="shared" ca="1" si="92"/>
        <v>1.6666666666666666E-2</v>
      </c>
      <c r="U87" s="767">
        <f ca="1">INDEX(INDIRECT("CAM_WTPCore2_"&amp;$B87&amp;"_LevelValues"),2,MATCH("S1 MEAN",WTPCore2_LevelValues,0))</f>
        <v>2.654718763279678E-4</v>
      </c>
      <c r="V87" s="767">
        <f ca="1">INDEX(INDIRECT("CAM_WTPCore2_"&amp;$B87&amp;"_LevelValues"),2,MATCH("S2 MEAN",WTPCore2_LevelValues,0))</f>
        <v>1.3401602008677625E-5</v>
      </c>
      <c r="W87" s="879">
        <f ca="1">SUM(U87:V87)</f>
        <v>2.7887347833664542E-4</v>
      </c>
      <c r="X87" s="528">
        <f ca="1">E87*(S87-T87)</f>
        <v>39.158333333333339</v>
      </c>
      <c r="Y87" s="117">
        <f ca="1">INDEX(INDIRECT("CAM_WTPCore_"&amp;$B87&amp;"_UnitValues"),MATCH("COMBINED-NHH",WTPCore_Group,0),MATCH("MEAN",LMH,0))</f>
        <v>90.78014184397162</v>
      </c>
      <c r="Z87" s="117">
        <f ca="1">Y87*($S87-$T87)*(AllProps_CAM/NHHProps_CAM)</f>
        <v>10.666666666666668</v>
      </c>
      <c r="AA87" s="117">
        <f ca="1">INDEX(INDIRECT("CAM_WTPCore2_"&amp;$B87&amp;"_UnitValues"),2,MATCH("MEAN",LMH,0))</f>
        <v>12.15176348156276</v>
      </c>
      <c r="AB87" s="117">
        <f ca="1">AA87*($S87-$T87)*(AllProps_CAM/NHHProps_CAM)</f>
        <v>1.4278322090836244</v>
      </c>
      <c r="AC87" s="216">
        <f t="shared" ca="1" si="94"/>
        <v>154.84223780011683</v>
      </c>
      <c r="AD87" s="611" t="s">
        <v>369</v>
      </c>
      <c r="AE87" s="627">
        <f ca="1">AC87*NHHProps_CAM/((S87-T87)*AllProps_CAM)</f>
        <v>1317.8062791499303</v>
      </c>
    </row>
    <row r="88" spans="1:31" x14ac:dyDescent="0.25">
      <c r="A88" s="9" t="s">
        <v>330</v>
      </c>
      <c r="B88" s="9" t="s">
        <v>319</v>
      </c>
      <c r="C88" s="9" t="str">
        <f>B88</f>
        <v>TempBan</v>
      </c>
      <c r="D88" s="514" t="s">
        <v>369</v>
      </c>
      <c r="E88" s="431">
        <f ca="1">INDEX(INDIRECT("ExtWTP19_"&amp;$C88&amp;"_UnitValues"),MATCH(A$83, INDIRECT("ExtWTP19_Comps_"&amp;C88),0),MATCH("NHH",ExtWTP_Group,0))</f>
        <v>342</v>
      </c>
      <c r="F88" s="521">
        <f t="shared" ca="1" si="91"/>
        <v>2.5000000000000001E-2</v>
      </c>
      <c r="G88" s="521">
        <f t="shared" ca="1" si="91"/>
        <v>1.6666666666666666E-2</v>
      </c>
      <c r="H88" s="581">
        <f ca="1">INDEX(INDIRECT("SSW_WTPCore2_"&amp;$B88&amp;"_LevelValues"),2,MATCH("S1 MEAN",WTPCore2_LevelValues,0))</f>
        <v>1.0363458862342743E-3</v>
      </c>
      <c r="I88" s="581">
        <f ca="1">INDEX(INDIRECT("SSW_WTPCore2_"&amp;$B88&amp;"_LevelValues"),2,MATCH("S2 MEAN",WTPCore2_LevelValues,0))</f>
        <v>6.2724159084084235E-4</v>
      </c>
      <c r="J88" s="435">
        <f ca="1">SUM(H88:I88)</f>
        <v>1.6635874770751166E-3</v>
      </c>
      <c r="K88" s="602">
        <f ca="1">E88*(F88-G88)</f>
        <v>2.8500000000000005</v>
      </c>
      <c r="L88" s="579">
        <f ca="1">INDEX(INDIRECT("SSW_WTPCore_DCE_"&amp;$B88&amp;"_UnitValues"),MATCH("COMBINED-NHH",WTPCore_Group,0),MATCH("MEAN",LMH,0))</f>
        <v>196425.59999999998</v>
      </c>
      <c r="M88" s="117">
        <f ca="1">L88*(F88-G88)/NHHProps_SSW</f>
        <v>4.4240000000000002E-2</v>
      </c>
      <c r="N88" s="117">
        <f ca="1">INDEX(INDIRECT("SSW_WTPCore2_"&amp;$B88&amp;"_UnitValues"),2,MATCH("MEAN",LMH,0))</f>
        <v>326771.16833696596</v>
      </c>
      <c r="O88" s="117">
        <f ca="1">N88*(F88-G88)/NHHProps_SSW*100</f>
        <v>7.3597109985803151</v>
      </c>
      <c r="P88" s="527">
        <f t="shared" ca="1" si="93"/>
        <v>3.5095142874661716</v>
      </c>
      <c r="Q88" s="615" t="s">
        <v>422</v>
      </c>
      <c r="R88" s="627">
        <f ca="1">P88*NHHProps_SSW/((F88-G88)*100)</f>
        <v>155822.43436349797</v>
      </c>
      <c r="S88" s="837">
        <f t="shared" ca="1" si="92"/>
        <v>0.02</v>
      </c>
      <c r="T88" s="837">
        <f t="shared" ca="1" si="92"/>
        <v>1.3333333333333334E-2</v>
      </c>
      <c r="U88" s="767">
        <f ca="1">INDEX(INDIRECT("CAM_WTPCore2_"&amp;$B88&amp;"_LevelValues"),2,MATCH("S1 MEAN",WTPCore2_LevelValues,0))</f>
        <v>1.3694025744847137E-3</v>
      </c>
      <c r="V88" s="767">
        <f ca="1">INDEX(INDIRECT("CAM_WTPCore2_"&amp;$B88&amp;"_LevelValues"),2,MATCH("S2 MEAN",WTPCore2_LevelValues,0))</f>
        <v>1.1073984405910726E-3</v>
      </c>
      <c r="W88" s="879">
        <f ca="1">SUM(U88:V88)</f>
        <v>2.4768010150757864E-3</v>
      </c>
      <c r="X88" s="528">
        <f ca="1">E88*(S88-T88)</f>
        <v>2.2799999999999998</v>
      </c>
      <c r="Y88" s="117">
        <f ca="1">INDEX(INDIRECT("CAM_WTPCore_"&amp;$B88&amp;"_UnitValues"),MATCH("COMBINED-NHH",WTPCore_Group,0),MATCH("MEAN",LMH,0))</f>
        <v>1105919.9999999998</v>
      </c>
      <c r="Z88" s="117">
        <f ca="1">Y88*(S88-T88)/NHHProps_CAM*100</f>
        <v>73.72799999999998</v>
      </c>
      <c r="AA88" s="117">
        <f ca="1">INDEX(INDIRECT("CAM_WTPCore2_"&amp;$B88&amp;"_UnitValues"),2,MATCH("MEAN",LMH,0))</f>
        <v>190218.3179578204</v>
      </c>
      <c r="AB88" s="117">
        <f ca="1">AA88*(S88-T88)/NHHProps_CAM*100</f>
        <v>12.681221197188028</v>
      </c>
      <c r="AC88" s="216">
        <f t="shared" ca="1" si="94"/>
        <v>9.0157131862336577</v>
      </c>
      <c r="AD88" s="615" t="s">
        <v>422</v>
      </c>
      <c r="AE88" s="627">
        <f ca="1">AC88*NHHProps_CAM/((S88-T88)*100)</f>
        <v>135235.69779350489</v>
      </c>
    </row>
    <row r="89" spans="1:31" x14ac:dyDescent="0.25">
      <c r="D89" s="514"/>
      <c r="E89" s="431"/>
      <c r="F89" s="20"/>
      <c r="G89" s="20"/>
      <c r="H89" s="20"/>
      <c r="I89" s="20"/>
      <c r="J89" s="445">
        <f ca="1">SUM(J84:J88)*AvgNHHBill_SSW</f>
        <v>117.34305648060266</v>
      </c>
      <c r="K89" s="603">
        <f ca="1">SUM(K84:K88)</f>
        <v>74.570277777777775</v>
      </c>
      <c r="L89" s="603"/>
      <c r="M89" s="446">
        <f ca="1">SUM(M84:M88)</f>
        <v>66.309894594086614</v>
      </c>
      <c r="N89" s="446"/>
      <c r="O89" s="446">
        <f ca="1">SUM(O84:O88)</f>
        <v>117.34305648060266</v>
      </c>
      <c r="P89" s="497">
        <f ca="1">SUM(P84:P88)</f>
        <v>91.826475537344649</v>
      </c>
      <c r="R89" s="628"/>
      <c r="S89" s="216"/>
      <c r="T89" s="216"/>
      <c r="U89" s="216"/>
      <c r="V89" s="216"/>
      <c r="W89" s="52">
        <f ca="1">SUM(W84:W88)*AvgNHHBill_CAM</f>
        <v>579.27731062324972</v>
      </c>
      <c r="X89" s="532">
        <f ca="1">SUM(X84:X88)</f>
        <v>90.196001221001239</v>
      </c>
      <c r="Y89" s="532"/>
      <c r="Z89" s="446">
        <f ca="1">SUM(Z84:Z88)</f>
        <v>134.03959951159948</v>
      </c>
      <c r="AA89" s="446"/>
      <c r="AB89" s="446">
        <f ca="1">SUM(AB84:AB88)</f>
        <v>579.2773106232496</v>
      </c>
      <c r="AC89" s="52">
        <f ca="1">SUM(AC84:AC88)</f>
        <v>356.65845506742454</v>
      </c>
      <c r="AE89" s="534"/>
    </row>
    <row r="90" spans="1:31" s="60" customFormat="1" x14ac:dyDescent="0.25">
      <c r="D90" s="516"/>
      <c r="E90" s="523"/>
      <c r="F90" s="524"/>
      <c r="G90" s="524"/>
      <c r="H90" s="524"/>
      <c r="I90" s="524"/>
      <c r="J90" s="553"/>
      <c r="K90" s="31"/>
      <c r="L90" s="31"/>
      <c r="M90" s="830" t="s">
        <v>997</v>
      </c>
      <c r="N90" s="737">
        <f ca="1">AVERAGE(M89,O89)</f>
        <v>91.826475537344635</v>
      </c>
      <c r="O90" s="830"/>
      <c r="P90" s="15"/>
      <c r="Q90" s="617"/>
      <c r="R90" s="629"/>
      <c r="S90" s="44"/>
      <c r="T90" s="44"/>
      <c r="U90" s="44"/>
      <c r="V90" s="44"/>
      <c r="W90" s="835"/>
      <c r="X90" s="31"/>
      <c r="Y90" s="31"/>
      <c r="Z90" s="830" t="s">
        <v>997</v>
      </c>
      <c r="AA90" s="737">
        <f ca="1">AVERAGE(Z89,AB89)</f>
        <v>356.65845506742454</v>
      </c>
      <c r="AB90" s="830"/>
      <c r="AC90" s="15"/>
      <c r="AD90" s="15"/>
      <c r="AE90" s="535"/>
    </row>
    <row r="91" spans="1:31" s="64" customFormat="1" x14ac:dyDescent="0.25">
      <c r="A91" s="165" t="s">
        <v>602</v>
      </c>
      <c r="D91" s="151"/>
      <c r="E91" s="151"/>
      <c r="F91" s="156"/>
      <c r="G91" s="156"/>
      <c r="H91" s="156"/>
      <c r="I91" s="156"/>
      <c r="J91" s="839"/>
      <c r="O91" s="175"/>
      <c r="Q91" s="619"/>
      <c r="R91" s="541"/>
      <c r="S91" s="151"/>
      <c r="T91" s="151"/>
      <c r="U91" s="151"/>
      <c r="V91" s="151"/>
      <c r="W91" s="880"/>
      <c r="X91" s="156"/>
      <c r="Y91" s="156"/>
      <c r="Z91" s="156"/>
      <c r="AA91" s="156"/>
      <c r="AB91" s="156"/>
      <c r="AE91" s="541"/>
    </row>
    <row r="92" spans="1:31" x14ac:dyDescent="0.25">
      <c r="A92" s="9" t="s">
        <v>330</v>
      </c>
      <c r="B92" s="9" t="s">
        <v>319</v>
      </c>
      <c r="C92" s="9" t="str">
        <f>B92</f>
        <v>TempBan</v>
      </c>
      <c r="D92" s="514" t="s">
        <v>369</v>
      </c>
      <c r="E92" s="431">
        <f ca="1">INDEX(INDIRECT("ExtWTP19_"&amp;$C92&amp;"_UnitValues"),MATCH(A$72, INDIRECT("ExtWTP19_Comps_"&amp;C92),0),MATCH("NHH",ExtWTP_Group,0))</f>
        <v>211</v>
      </c>
      <c r="F92" s="521">
        <f ca="1">INDEX(INDIRECT("SSW_WTPCore2_"&amp;$B92&amp;"_Levels"),2,MATCH(F$4,WTPCore2_AttLevels,0))</f>
        <v>2.5000000000000001E-2</v>
      </c>
      <c r="G92" s="521">
        <f ca="1">INDEX(INDIRECT("SSW_WTPCore2_"&amp;$B92&amp;"_Levels"),2,MATCH(G$4,WTPCore2_AttLevels,0))</f>
        <v>1.6666666666666666E-2</v>
      </c>
      <c r="H92" s="581">
        <f ca="1">INDEX(INDIRECT("SSW_WTPCore2_"&amp;$B92&amp;"_LevelValues"),2,MATCH("S1 MEAN",WTPCore2_LevelValues,0))</f>
        <v>1.0363458862342743E-3</v>
      </c>
      <c r="I92" s="581">
        <f ca="1">INDEX(INDIRECT("SSW_WTPCore2_"&amp;$B92&amp;"_LevelValues"),2,MATCH("S2 MEAN",WTPCore2_LevelValues,0))</f>
        <v>6.2724159084084235E-4</v>
      </c>
      <c r="J92" s="435">
        <f ca="1">SUM(H92:I92)</f>
        <v>1.6635874770751166E-3</v>
      </c>
      <c r="K92" s="602">
        <f ca="1">E92*(F92-G92)</f>
        <v>1.7583333333333337</v>
      </c>
      <c r="L92" s="579">
        <f ca="1">INDEX(INDIRECT("SSW_WTPCore_DCE_"&amp;$B92&amp;"_UnitValues"),MATCH("COMBINED-NHH",WTPCore_Group,0),MATCH("MEAN",LMH,0))</f>
        <v>196425.59999999998</v>
      </c>
      <c r="M92" s="117">
        <f ca="1">L92*(F92-G92)/NHHProps_SSW</f>
        <v>4.4240000000000002E-2</v>
      </c>
      <c r="N92" s="117">
        <f ca="1">INDEX(INDIRECT("SSW_WTPCore2_"&amp;$B92&amp;"_UnitValues"),2,MATCH("MEAN",LMH,0))</f>
        <v>326771.16833696596</v>
      </c>
      <c r="O92" s="117">
        <f ca="1">N92*(F92-G92)/NHHProps_SSW*100</f>
        <v>7.3597109985803151</v>
      </c>
      <c r="P92" s="527">
        <f ca="1">K92*N$95/K$94</f>
        <v>2.8799596600527195</v>
      </c>
      <c r="Q92" s="615" t="s">
        <v>422</v>
      </c>
      <c r="R92" s="627">
        <f ca="1">P92*NHHProps_SSW/((F92-G92)*100)</f>
        <v>127870.20890634072</v>
      </c>
      <c r="S92" s="837">
        <f ca="1">INDEX(INDIRECT("CAM_WTPCore2_"&amp;$B92&amp;"_Levels"),2,MATCH(S$4,WTPCore2_AttLevels,0))</f>
        <v>0.02</v>
      </c>
      <c r="T92" s="837">
        <f ca="1">INDEX(INDIRECT("CAM_WTPCore2_"&amp;$B92&amp;"_Levels"),2,MATCH(T$4,WTPCore2_AttLevels,0))</f>
        <v>1.3333333333333334E-2</v>
      </c>
      <c r="U92" s="767">
        <f ca="1">INDEX(INDIRECT("CAM_WTPCore2_"&amp;$B92&amp;"_LevelValues"),2,MATCH("S1 MEAN",WTPCore2_LevelValues,0))</f>
        <v>1.3694025744847137E-3</v>
      </c>
      <c r="V92" s="767">
        <f ca="1">INDEX(INDIRECT("CAM_WTPCore2_"&amp;$B92&amp;"_LevelValues"),2,MATCH("S2 MEAN",WTPCore2_LevelValues,0))</f>
        <v>1.1073984405910726E-3</v>
      </c>
      <c r="W92" s="879">
        <f ca="1">SUM(U92:V92)</f>
        <v>2.4768010150757864E-3</v>
      </c>
      <c r="X92" s="528">
        <f ca="1">E92*(S92-T92)</f>
        <v>1.4066666666666665</v>
      </c>
      <c r="Y92" s="117">
        <f ca="1">INDEX(INDIRECT("CAM_WTPCore_"&amp;$B92&amp;"_UnitValues"),MATCH("COMBINED-NHH",WTPCore_Group,0),MATCH("MEAN",LMH,0))</f>
        <v>1105919.9999999998</v>
      </c>
      <c r="Z92" s="117">
        <f ca="1">Y92*(S92-T92)/NHHProps_CAM*100</f>
        <v>73.72799999999998</v>
      </c>
      <c r="AA92" s="117">
        <f ca="1">INDEX(INDIRECT("CAM_WTPCore2_"&amp;$B92&amp;"_UnitValues"),2,MATCH("MEAN",LMH,0))</f>
        <v>190218.3179578204</v>
      </c>
      <c r="AB92" s="117">
        <f ca="1">AA92*(S92-T92)/NHHProps_CAM*100</f>
        <v>12.681221197188028</v>
      </c>
      <c r="AC92" s="216">
        <f ca="1">X92*AA$95/X$94</f>
        <v>13.209686671843048</v>
      </c>
      <c r="AD92" s="615" t="s">
        <v>422</v>
      </c>
      <c r="AE92" s="627">
        <f ca="1">AC92*NHHProps_CAM/((S92-T92)*100)</f>
        <v>198145.30007764572</v>
      </c>
    </row>
    <row r="93" spans="1:31" x14ac:dyDescent="0.25">
      <c r="A93" s="9" t="s">
        <v>3</v>
      </c>
      <c r="B93" s="9" t="s">
        <v>3</v>
      </c>
      <c r="C93" s="9" t="str">
        <f>B93</f>
        <v>Leakage</v>
      </c>
      <c r="D93" s="514" t="s">
        <v>666</v>
      </c>
      <c r="E93" s="431">
        <f ca="1">INDEX(INDIRECT("ExtWTP19_"&amp;$B93&amp;"_UnitValues"),8,2)</f>
        <v>686587</v>
      </c>
      <c r="F93" s="598">
        <f ca="1">INDEX(INDIRECT("SSW_WTPCore2_"&amp;$B93&amp;"_Levels"),2,MATCH(F$4,WTPCore2_AttLevels,0))</f>
        <v>70.5</v>
      </c>
      <c r="G93" s="598">
        <f ca="1">INDEX(INDIRECT("SSW_WTPCore2_"&amp;$B93&amp;"_Levels"),2,MATCH(G$4,WTPCore2_AttLevels,0))</f>
        <v>35.25</v>
      </c>
      <c r="H93" s="581">
        <f ca="1">INDEX(INDIRECT("SSW_WTPCore2_"&amp;$B93&amp;"_LevelValues"),2,MATCH("S1 MEAN",WTPCore2_LevelValues,0))</f>
        <v>1.8366495603833657E-2</v>
      </c>
      <c r="I93" s="581">
        <f ca="1">INDEX(INDIRECT("SSW_WTPCore2_"&amp;$B93&amp;"_LevelValues"),2,MATCH("S2 MEAN",WTPCore2_LevelValues,0))</f>
        <v>6.6875105310339848E-3</v>
      </c>
      <c r="J93" s="435">
        <f ca="1">SUM(H93:I93)</f>
        <v>2.5054006134867642E-2</v>
      </c>
      <c r="K93" s="602">
        <f ca="1">E93*(F93-G93)/AllProps_SSW</f>
        <v>41.090308573853989</v>
      </c>
      <c r="L93" s="579">
        <f ca="1">INDEX(INDIRECT("SSW_WTPCore_DCE_"&amp;$B93&amp;"_UnitValues"),MATCH("COMBINED-NHH",WTPCore_Group,0),MATCH("MEAN",LMH,0))</f>
        <v>23218.156028368794</v>
      </c>
      <c r="M93" s="117">
        <f ca="1">L93*(F93-G93)/NHHProps_SSW</f>
        <v>22.12</v>
      </c>
      <c r="N93" s="117">
        <f ca="1">INDEX(INDIRECT("SSW_WTPCore2_"&amp;$B93&amp;"_UnitValues"),2,MATCH("MEAN",LMH,0))</f>
        <v>116341.56471501317</v>
      </c>
      <c r="O93" s="117">
        <f ca="1">N93*(F93-G93)/NHHProps_SSW</f>
        <v>110.83892314065444</v>
      </c>
      <c r="P93" s="527">
        <f ca="1">K93*N$95/K$94</f>
        <v>67.301477409564654</v>
      </c>
      <c r="Q93" s="611" t="s">
        <v>666</v>
      </c>
      <c r="R93" s="627">
        <f ca="1">P93*NHHProps_SSW/((F93-G93))</f>
        <v>70642.685507911825</v>
      </c>
      <c r="S93" s="844">
        <f ca="1">INDEX(INDIRECT("CAM_WTPCore2_"&amp;$B93&amp;"_Levels"),2,MATCH(S$4,WTPCore2_AttLevels,0))</f>
        <v>13.5</v>
      </c>
      <c r="T93" s="844">
        <f ca="1">INDEX(INDIRECT("CAM_WTPCore2_"&amp;$B93&amp;"_Levels"),2,MATCH(T$4,WTPCore2_AttLevels,0))</f>
        <v>6.75</v>
      </c>
      <c r="U93" s="767">
        <f ca="1">INDEX(INDIRECT("CAM_WTPCore2_"&amp;$B93&amp;"_LevelValues"),2,MATCH("S1 MEAN",WTPCore2_LevelValues,0))</f>
        <v>7.1569068986342493E-2</v>
      </c>
      <c r="V93" s="767">
        <f ca="1">INDEX(INDIRECT("CAM_WTPCore2_"&amp;$B93&amp;"_LevelValues"),2,MATCH("S2 MEAN",WTPCore2_LevelValues,0))</f>
        <v>3.5284810800562588E-2</v>
      </c>
      <c r="W93" s="879">
        <f ca="1">SUM(U93:V93)</f>
        <v>0.10685387978690508</v>
      </c>
      <c r="X93" s="528">
        <f ca="1">E93*(S93-T93)/AllProps_CAM</f>
        <v>32.868526595744683</v>
      </c>
      <c r="Y93" s="117">
        <f ca="1">INDEX(INDIRECT("CAM_WTPCore_"&amp;$B93&amp;"_UnitValues"),MATCH("COMBINED-NHH",WTPCore_Group,0),MATCH("MEAN",LMH,0))</f>
        <v>15170.37037037037</v>
      </c>
      <c r="Z93" s="117">
        <f ca="1">Y93*(S93-T93)/NHHProps_CAM</f>
        <v>10.24</v>
      </c>
      <c r="AA93" s="117">
        <f ca="1">INDEX(INDIRECT("CAM_WTPCore2_"&amp;$B93&amp;"_UnitValues"),2,MATCH("MEAN",LMH,0))</f>
        <v>810506.46593919117</v>
      </c>
      <c r="AB93" s="117">
        <f ca="1">AA93*(S93-T93)/NHHProps_CAM</f>
        <v>547.09186450895402</v>
      </c>
      <c r="AC93" s="216">
        <f ca="1">X93*AA$95/X$94</f>
        <v>308.66085618122798</v>
      </c>
      <c r="AD93" s="611" t="s">
        <v>666</v>
      </c>
      <c r="AE93" s="627">
        <f ca="1">AC93*NHHProps_CAM/((S93-T93))</f>
        <v>457275.34249070811</v>
      </c>
    </row>
    <row r="94" spans="1:31" x14ac:dyDescent="0.25">
      <c r="D94" s="514"/>
      <c r="E94" s="431"/>
      <c r="F94" s="601"/>
      <c r="G94" s="601"/>
      <c r="H94" s="20"/>
      <c r="I94" s="20"/>
      <c r="J94" s="297">
        <f ca="1">SUM(J92:J93)*AvgNHHBill_SSW</f>
        <v>118.19863413923476</v>
      </c>
      <c r="K94" s="603">
        <f ca="1">SUM(K92:K93)</f>
        <v>42.848641907187321</v>
      </c>
      <c r="L94" s="603"/>
      <c r="M94" s="446">
        <f ca="1">SUM(M92:M93)</f>
        <v>22.164239999999999</v>
      </c>
      <c r="N94" s="446"/>
      <c r="O94" s="446">
        <f ca="1">SUM(O92:O93)</f>
        <v>118.19863413923476</v>
      </c>
      <c r="P94" s="50">
        <f ca="1">SUM(P92:P93)</f>
        <v>70.181437069617374</v>
      </c>
      <c r="R94" s="541"/>
      <c r="W94" s="52">
        <f ca="1">SUM(W92:W93)*AvgNHHBill_CAM</f>
        <v>559.77308570614207</v>
      </c>
      <c r="X94" s="623">
        <f ca="1">SUM(X92:X93)</f>
        <v>34.275193262411349</v>
      </c>
      <c r="Y94" s="623"/>
      <c r="Z94" s="446">
        <f ca="1">SUM(Z92:Z93)</f>
        <v>83.967999999999975</v>
      </c>
      <c r="AA94" s="446"/>
      <c r="AB94" s="446">
        <f ca="1">SUM(AB92:AB93)</f>
        <v>559.77308570614207</v>
      </c>
      <c r="AC94" s="621">
        <f ca="1">SUM(AC92:AC93)</f>
        <v>321.87054285307102</v>
      </c>
      <c r="AE94" s="639"/>
    </row>
    <row r="95" spans="1:31" s="60" customFormat="1" x14ac:dyDescent="0.25">
      <c r="D95" s="506"/>
      <c r="E95" s="506"/>
      <c r="F95" s="480"/>
      <c r="G95" s="480"/>
      <c r="H95" s="480"/>
      <c r="I95" s="480"/>
      <c r="J95" s="197"/>
      <c r="M95" s="830" t="s">
        <v>997</v>
      </c>
      <c r="N95" s="737">
        <f ca="1">AVERAGE(M94,O94)</f>
        <v>70.181437069617374</v>
      </c>
      <c r="O95" s="830"/>
      <c r="Q95" s="617"/>
      <c r="R95" s="632"/>
      <c r="S95" s="506"/>
      <c r="T95" s="506"/>
      <c r="U95" s="506"/>
      <c r="V95" s="506"/>
      <c r="W95" s="835"/>
      <c r="X95" s="480"/>
      <c r="Y95" s="480"/>
      <c r="Z95" s="830" t="s">
        <v>997</v>
      </c>
      <c r="AA95" s="737">
        <f ca="1">AVERAGE(Z94,AB94)</f>
        <v>321.87054285307102</v>
      </c>
      <c r="AB95" s="830"/>
      <c r="AE95" s="632"/>
    </row>
    <row r="96" spans="1:31" x14ac:dyDescent="0.25">
      <c r="A96" s="61" t="s">
        <v>556</v>
      </c>
      <c r="J96" s="118"/>
      <c r="O96" s="175"/>
      <c r="R96" s="541"/>
      <c r="W96" s="767"/>
      <c r="AE96" s="639"/>
    </row>
    <row r="97" spans="1:31" x14ac:dyDescent="0.25">
      <c r="A97" s="9" t="s">
        <v>181</v>
      </c>
      <c r="B97" s="9" t="s">
        <v>269</v>
      </c>
      <c r="C97" s="9" t="s">
        <v>328</v>
      </c>
      <c r="D97" s="514" t="s">
        <v>369</v>
      </c>
      <c r="E97" s="431">
        <f ca="1">INDEX(INDIRECT("ExtWTP19_"&amp;$C97&amp;"_UnitValues"),MATCH(A$96, INDIRECT("ExtWTP19_Comps_"&amp;C97),0),MATCH("NHH",ExtWTP_Group,0))</f>
        <v>10840</v>
      </c>
      <c r="F97" s="521">
        <f ca="1">INDEX(INDIRECT("SSW_WTPCore2_"&amp;$B97&amp;"_Levels"),2,MATCH(F$4,WTPCore2_AttLevels,0))</f>
        <v>1.2500000000000001E-2</v>
      </c>
      <c r="G97" s="521">
        <f ca="1">INDEX(INDIRECT("SSW_WTPCore2_"&amp;$B97&amp;"_Levels"),2,MATCH(G$4,WTPCore2_AttLevels,0))</f>
        <v>8.3333333333333332E-3</v>
      </c>
      <c r="H97" s="581">
        <f ca="1">INDEX(INDIRECT("SSW_WTPCore2_"&amp;$B97&amp;"_LevelValues"),2,MATCH("S1 MEAN",WTPCore2_LevelValues,0))</f>
        <v>2.3562800507588295E-4</v>
      </c>
      <c r="I97" s="581">
        <f ca="1">INDEX(INDIRECT("SSW_WTPCore2_"&amp;$B97&amp;"_LevelValues"),2,MATCH("S2 MEAN",WTPCore2_LevelValues,0))</f>
        <v>4.1117889914467278E-4</v>
      </c>
      <c r="J97" s="435">
        <f ca="1">SUM(H97:I97)</f>
        <v>6.4680690422055573E-4</v>
      </c>
      <c r="K97" s="602">
        <f ca="1">E97*(F97-G97)</f>
        <v>45.166666666666679</v>
      </c>
      <c r="L97" s="579">
        <f ca="1">INDEX(INDIRECT("SSW_WTPCore_DCE_"&amp;$B97&amp;"_UnitValues"),MATCH("COMBINED-NHH",WTPCore_Group,0),MATCH("MEAN",LMH,0))</f>
        <v>310.41834897651921</v>
      </c>
      <c r="M97" s="117">
        <f ca="1">L97*($F97-$G97)*(AllProps_SSW/NHHProps_SSW)</f>
        <v>20.589685534591201</v>
      </c>
      <c r="N97" s="117">
        <f ca="1">INDEX(INDIRECT("SSW_WTPCore2_"&amp;$B97&amp;"_UnitValues"),2,MATCH("MEAN",LMH,0))</f>
        <v>43.140724701414321</v>
      </c>
      <c r="O97" s="117">
        <f ca="1">N97*($F97-$G97)*(AllProps_SSW/NHHProps_SSW)</f>
        <v>2.8614737442717391</v>
      </c>
      <c r="P97" s="527">
        <f ca="1">K97*N$100/K$99</f>
        <v>5.445942299164535E-2</v>
      </c>
      <c r="Q97" s="611" t="s">
        <v>369</v>
      </c>
      <c r="R97" s="627">
        <f ca="1">P97*NHHProps_SSW/((F97-G97)*AllProps_SSW)</f>
        <v>0.82105208177556988</v>
      </c>
      <c r="S97" s="837">
        <f ca="1">INDEX(INDIRECT("CAM_WTPCore2_"&amp;$B97&amp;"_Levels"),2,MATCH(S$4,WTPCore2_AttLevels,0))</f>
        <v>2.5000000000000001E-2</v>
      </c>
      <c r="T97" s="837">
        <f ca="1">INDEX(INDIRECT("CAM_WTPCore2_"&amp;$B97&amp;"_Levels"),2,MATCH(T$4,WTPCore2_AttLevels,0))</f>
        <v>1.6666666666666666E-2</v>
      </c>
      <c r="U97" s="767">
        <f ca="1">INDEX(INDIRECT("CAM_WTPCore2_"&amp;$B97&amp;"_LevelValues"),2,MATCH("S1 MEAN",WTPCore2_LevelValues,0))</f>
        <v>2.654718763279678E-4</v>
      </c>
      <c r="V97" s="767">
        <f ca="1">INDEX(INDIRECT("CAM_WTPCore2_"&amp;$B97&amp;"_LevelValues"),2,MATCH("S2 MEAN",WTPCore2_LevelValues,0))</f>
        <v>1.3401602008677625E-5</v>
      </c>
      <c r="W97" s="879">
        <f ca="1">SUM(U97:V97)</f>
        <v>2.7887347833664542E-4</v>
      </c>
      <c r="X97" s="528">
        <f ca="1">E97*(S97-T97)</f>
        <v>90.333333333333357</v>
      </c>
      <c r="Y97" s="117">
        <f ca="1">INDEX(INDIRECT("CAM_WTPCore_"&amp;$B97&amp;"_UnitValues"),MATCH("COMBINED-NHH",WTPCore_Group,0),MATCH("MEAN",LMH,0))</f>
        <v>90.78014184397162</v>
      </c>
      <c r="Z97" s="117">
        <f ca="1">Y97*($S97-TG97)*(AllProps_CAM/NHHProps_CAM)</f>
        <v>31.999999999999996</v>
      </c>
      <c r="AA97" s="117">
        <f ca="1">INDEX(INDIRECT("CAM_WTPCore2_"&amp;$B97&amp;"_UnitValues"),2,MATCH("MEAN",LMH,0))</f>
        <v>12.15176348156276</v>
      </c>
      <c r="AB97" s="117">
        <f ca="1">AA97*($S97-T97)*(AllProps_CAM/NHHProps_CAM)</f>
        <v>1.4278322090836244</v>
      </c>
      <c r="AC97" s="216">
        <f ca="1">X97*AA$100/X$99</f>
        <v>0.24416343990991773</v>
      </c>
      <c r="AD97" s="611" t="s">
        <v>369</v>
      </c>
      <c r="AE97" s="633">
        <f ca="1">AC97*NHHProps_CAM/((S97-T97)*AllProps_CAM)</f>
        <v>2.0779867226375974</v>
      </c>
    </row>
    <row r="98" spans="1:31" x14ac:dyDescent="0.25">
      <c r="A98" s="9" t="s">
        <v>370</v>
      </c>
      <c r="B98" s="9" t="s">
        <v>399</v>
      </c>
      <c r="C98" s="9" t="str">
        <f>B98</f>
        <v>NotSafe</v>
      </c>
      <c r="D98" s="514" t="s">
        <v>369</v>
      </c>
      <c r="E98" s="431">
        <f ca="1">INDEX(INDIRECT("ExtWTP19_"&amp;$C98&amp;"_UnitValues"),MATCH(A$96, INDIRECT("ExtWTP19_Comps_"&amp;C98),0),MATCH("NHH",ExtWTP_Group,0))</f>
        <v>7981466</v>
      </c>
      <c r="F98" s="521">
        <f ca="1">INDEX(INDIRECT("SSW_WTPCore2_"&amp;$B98&amp;"_Levels"),2,MATCH(F$4,WTPCore2_AttLevels,0))</f>
        <v>1.2500000000000001E-2</v>
      </c>
      <c r="G98" s="521">
        <f ca="1">INDEX(INDIRECT("SSW_WTPCore2_"&amp;$B98&amp;"_Levels"),2,MATCH(G$4,WTPCore2_AttLevels,0))</f>
        <v>8.3333333333333332E-3</v>
      </c>
      <c r="H98" s="581">
        <f ca="1">INDEX(INDIRECT("SSW_WTPCore2_"&amp;$B98&amp;"_LevelValues"),2,MATCH("S1 MEAN",WTPCore2_LevelValues,0))</f>
        <v>1.5617999911371258E-4</v>
      </c>
      <c r="I98" s="581">
        <f ca="1">INDEX(INDIRECT("SSW_WTPCore2_"&amp;$B98&amp;"_LevelValues"),2,MATCH("S2 MEAN",WTPCore2_LevelValues,0))</f>
        <v>6.9518632551394011E-4</v>
      </c>
      <c r="J98" s="435">
        <f ca="1">SUM(H98:I98)</f>
        <v>8.5136632462765266E-4</v>
      </c>
      <c r="K98" s="602">
        <f ca="1">E98*(F98-G98)</f>
        <v>33256.108333333337</v>
      </c>
      <c r="L98" s="579">
        <f ca="1">INDEX(INDIRECT("SSW_WTPCore_DCE_"&amp;$B98&amp;"_UnitValues"),MATCH("COMBINED-NHH",WTPCore_Group,0),MATCH("MEAN",LMH,0))</f>
        <v>800.37595925297103</v>
      </c>
      <c r="M98" s="117">
        <f ca="1">L98*($F98-$G98)*(AllProps_SSW/NHHProps_SSW)</f>
        <v>53.088000000000001</v>
      </c>
      <c r="N98" s="117">
        <f ca="1">INDEX(INDIRECT("SSW_WTPCore2_"&amp;$B98&amp;"_UnitValues"),2,MATCH("MEAN",LMH,0))</f>
        <v>56.784428229127826</v>
      </c>
      <c r="O98" s="117">
        <f ca="1">N98*($F98-$G98)*(AllProps_SSW/NHHProps_SSW)</f>
        <v>3.7664446201527362</v>
      </c>
      <c r="P98" s="527">
        <f ca="1">K98*N$100/K$99</f>
        <v>40.098342526516198</v>
      </c>
      <c r="Q98" s="611" t="s">
        <v>369</v>
      </c>
      <c r="R98" s="627">
        <f ca="1">P98*NHHProps_SSW/((F98-G98)*AllProps_SSW)</f>
        <v>604.53867849824076</v>
      </c>
      <c r="S98" s="837">
        <f ca="1">INDEX(INDIRECT("CAM_WTPCore2_"&amp;$B98&amp;"_Levels"),2,MATCH(S$4,WTPCore2_AttLevels,0))</f>
        <v>1.2500000000000001E-2</v>
      </c>
      <c r="T98" s="837">
        <f ca="1">INDEX(INDIRECT("CAM_WTPCore2_"&amp;$B98&amp;"_Levels"),2,MATCH(T$4,WTPCore2_AttLevels,0))</f>
        <v>8.3333333333333332E-3</v>
      </c>
      <c r="U98" s="767">
        <f ca="1">INDEX(INDIRECT("CAM_WTPCore2_"&amp;$B98&amp;"_LevelValues"),2,MATCH("S1 MEAN",WTPCore2_LevelValues,0))</f>
        <v>1.0438910529886973E-3</v>
      </c>
      <c r="V98" s="767">
        <f ca="1">INDEX(INDIRECT("CAM_WTPCore2_"&amp;$B98&amp;"_LevelValues"),2,MATCH("S2 MEAN",WTPCore2_LevelValues,0))</f>
        <v>6.3529836977335285E-4</v>
      </c>
      <c r="W98" s="879">
        <f ca="1">SUM(U98:V98)</f>
        <v>1.6791894227620502E-3</v>
      </c>
      <c r="X98" s="528">
        <f ca="1">E98*(S98-T98)</f>
        <v>33256.108333333337</v>
      </c>
      <c r="Y98" s="117">
        <f ca="1">INDEX(INDIRECT("CAM_WTPCore_"&amp;$B98&amp;"_UnitValues"),MATCH("COMBINED-NHH",WTPCore_Group,0),MATCH("MEAN",LMH,0))</f>
        <v>784.34042553191466</v>
      </c>
      <c r="Z98" s="117">
        <f ca="1">Y98*($S98-TG98)*(AllProps_CAM/NHHProps_CAM)</f>
        <v>138.23999999999998</v>
      </c>
      <c r="AA98" s="117">
        <f ca="1">INDEX(INDIRECT("CAM_WTPCore2_"&amp;$B98&amp;"_UnitValues"),2,MATCH("MEAN",LMH,0))</f>
        <v>146.33957182198631</v>
      </c>
      <c r="AB98" s="117">
        <f ca="1">AA98*($S98-T98)*(AllProps_CAM/NHHProps_CAM)</f>
        <v>8.597449844541698</v>
      </c>
      <c r="AC98" s="216">
        <f ca="1">X98*AA$100/X$99</f>
        <v>89.888477586902724</v>
      </c>
      <c r="AD98" s="611" t="s">
        <v>369</v>
      </c>
      <c r="AE98" s="627">
        <f ca="1">AC98*NHHProps_CAM/((S98-T98)*AllProps_CAM)</f>
        <v>1530.0166397770674</v>
      </c>
    </row>
    <row r="99" spans="1:31" x14ac:dyDescent="0.25">
      <c r="D99" s="514"/>
      <c r="E99" s="431"/>
      <c r="F99" s="521"/>
      <c r="G99" s="521"/>
      <c r="H99" s="20"/>
      <c r="I99" s="20"/>
      <c r="J99" s="445">
        <f ca="1">SUM(J97:J98)*AvgNHHBill_SSW</f>
        <v>6.6279183644244739</v>
      </c>
      <c r="K99" s="603">
        <f ca="1">SUM(K97:K98)</f>
        <v>33301.275000000001</v>
      </c>
      <c r="L99" s="603"/>
      <c r="M99" s="446">
        <f ca="1">SUM(M97:M98)</f>
        <v>73.677685534591205</v>
      </c>
      <c r="N99" s="446"/>
      <c r="O99" s="289">
        <f ca="1">SUM(O97:O98)</f>
        <v>6.6279183644244757</v>
      </c>
      <c r="P99" s="50">
        <f ca="1">SUM(P97:P98)</f>
        <v>40.152801949507847</v>
      </c>
      <c r="R99" s="541"/>
      <c r="W99" s="52">
        <f ca="1">SUM(W97:W98)*AvgNHHBill_CAM</f>
        <v>10.025282053625322</v>
      </c>
      <c r="X99" s="623">
        <f ca="1">SUM(X97:X98)</f>
        <v>33346.441666666673</v>
      </c>
      <c r="Y99" s="623"/>
      <c r="Z99" s="446">
        <f ca="1">SUM(Z97:Z98)</f>
        <v>170.23999999999998</v>
      </c>
      <c r="AA99" s="446"/>
      <c r="AB99" s="446">
        <f ca="1">SUM(AB97:AB98)</f>
        <v>10.025282053625322</v>
      </c>
      <c r="AC99" s="621">
        <f ca="1">SUM(AC97:AC98)</f>
        <v>90.132641026812635</v>
      </c>
      <c r="AE99" s="639"/>
    </row>
    <row r="100" spans="1:31" s="60" customFormat="1" x14ac:dyDescent="0.25">
      <c r="D100" s="506"/>
      <c r="E100" s="506"/>
      <c r="F100" s="480"/>
      <c r="G100" s="480"/>
      <c r="H100" s="480"/>
      <c r="I100" s="480"/>
      <c r="J100" s="197"/>
      <c r="M100" s="830" t="s">
        <v>997</v>
      </c>
      <c r="N100" s="737">
        <f ca="1">AVERAGE(M99,O99)</f>
        <v>40.15280194950784</v>
      </c>
      <c r="O100" s="830"/>
      <c r="Q100" s="617"/>
      <c r="R100" s="632"/>
      <c r="S100" s="506"/>
      <c r="T100" s="506"/>
      <c r="U100" s="506"/>
      <c r="V100" s="506"/>
      <c r="W100" s="835"/>
      <c r="X100" s="480"/>
      <c r="Y100" s="480"/>
      <c r="Z100" s="830" t="s">
        <v>997</v>
      </c>
      <c r="AA100" s="737">
        <f ca="1">AVERAGE(Z99,AB99)</f>
        <v>90.132641026812649</v>
      </c>
      <c r="AB100" s="830"/>
      <c r="AE100" s="632"/>
    </row>
    <row r="101" spans="1:31" x14ac:dyDescent="0.25">
      <c r="A101" s="61" t="s">
        <v>516</v>
      </c>
      <c r="J101" s="118"/>
      <c r="R101" s="541"/>
      <c r="W101" s="767"/>
      <c r="AE101" s="639"/>
    </row>
    <row r="102" spans="1:31" x14ac:dyDescent="0.25">
      <c r="A102" s="9" t="s">
        <v>182</v>
      </c>
      <c r="B102" s="9" t="s">
        <v>269</v>
      </c>
      <c r="C102" s="9" t="s">
        <v>326</v>
      </c>
      <c r="D102" s="514" t="s">
        <v>369</v>
      </c>
      <c r="E102" s="431">
        <f ca="1">INDEX(INDIRECT("ExtWTP19_"&amp;$C102&amp;"_UnitValues"),MATCH(A$101, INDIRECT("ExtWTP19_Comps_"&amp;C102),0),MATCH("NHH",ExtWTP_Group,0))</f>
        <v>1663</v>
      </c>
      <c r="F102" s="521">
        <f ca="1">INDEX(INDIRECT("SSW_WTPCore2_"&amp;$B102&amp;"_Levels"),2,MATCH(F$4,WTPCore2_AttLevels,0))</f>
        <v>1.2500000000000001E-2</v>
      </c>
      <c r="G102" s="521">
        <f ca="1">INDEX(INDIRECT("SSW_WTPCore2_"&amp;$B102&amp;"_Levels"),2,MATCH(G$4,WTPCore2_AttLevels,0))</f>
        <v>8.3333333333333332E-3</v>
      </c>
      <c r="H102" s="581">
        <f ca="1">INDEX(INDIRECT("SSW_WTPCore2_"&amp;$B102&amp;"_LevelValues"),2,MATCH("S1 MEAN",WTPCore2_LevelValues,0))</f>
        <v>2.3562800507588295E-4</v>
      </c>
      <c r="I102" s="581">
        <f ca="1">INDEX(INDIRECT("SSW_WTPCore2_"&amp;$B102&amp;"_LevelValues"),2,MATCH("S2 MEAN",WTPCore2_LevelValues,0))</f>
        <v>4.1117889914467278E-4</v>
      </c>
      <c r="J102" s="435">
        <f ca="1">SUM(H102:I102)</f>
        <v>6.4680690422055573E-4</v>
      </c>
      <c r="K102" s="602">
        <f ca="1">E102*(F102-G102)</f>
        <v>6.929166666666668</v>
      </c>
      <c r="L102" s="579">
        <f ca="1">INDEX(INDIRECT("SSW_WTPCore_DCE_"&amp;$B102&amp;"_UnitValues"),MATCH("COMBINED-NHH",WTPCore_Group,0),MATCH("MEAN",LMH,0))</f>
        <v>310.41834897651921</v>
      </c>
      <c r="M102" s="117">
        <f ca="1">L102*($F102-$G102)*(AllProps_SSW/NHHProps_SSW)</f>
        <v>20.589685534591201</v>
      </c>
      <c r="N102" s="117">
        <f ca="1">INDEX(INDIRECT("SSW_WTPCore2_"&amp;$B102&amp;"_UnitValues"),2,MATCH("MEAN",LMH,0))</f>
        <v>43.140724701414321</v>
      </c>
      <c r="O102" s="117">
        <f ca="1">N102*($F102-$G102)*(AllProps_SSW/NHHProps_SSW)</f>
        <v>2.8614737442717391</v>
      </c>
      <c r="P102" s="527">
        <f ca="1">K102*N$105/K$104</f>
        <v>5.4255817005552789</v>
      </c>
      <c r="Q102" s="611" t="s">
        <v>369</v>
      </c>
      <c r="R102" s="627">
        <f ca="1">P102*NHHProps_SSW/((F102-G102)*AllProps_SSW)</f>
        <v>81.798243634857158</v>
      </c>
      <c r="S102" s="837">
        <f ca="1">INDEX(INDIRECT("CAM_WTPCore2_"&amp;$B102&amp;"_Levels"),2,MATCH(S$4,WTPCore2_AttLevels,0))</f>
        <v>2.5000000000000001E-2</v>
      </c>
      <c r="T102" s="837">
        <f ca="1">INDEX(INDIRECT("CAM_WTPCore2_"&amp;$B102&amp;"_Levels"),2,MATCH(T$4,WTPCore2_AttLevels,0))</f>
        <v>1.6666666666666666E-2</v>
      </c>
      <c r="U102" s="767">
        <f ca="1">INDEX(INDIRECT("CAM_WTPCore2_"&amp;$B102&amp;"_LevelValues"),2,MATCH("S1 MEAN",WTPCore2_LevelValues,0))</f>
        <v>2.654718763279678E-4</v>
      </c>
      <c r="V102" s="767">
        <f ca="1">INDEX(INDIRECT("CAM_WTPCore2_"&amp;$B102&amp;"_LevelValues"),2,MATCH("S2 MEAN",WTPCore2_LevelValues,0))</f>
        <v>1.3401602008677625E-5</v>
      </c>
      <c r="W102" s="587">
        <f ca="1">SUM(U102:V102)</f>
        <v>2.7887347833664542E-4</v>
      </c>
      <c r="X102" s="528">
        <f ca="1">E102*(S102-T102)</f>
        <v>13.858333333333336</v>
      </c>
      <c r="Y102" s="117">
        <f ca="1">INDEX(INDIRECT("CAM_WTPCore_"&amp;$B102&amp;"_UnitValues"),MATCH("COMBINED-NHH",WTPCore_Group,0),MATCH("MEAN",LMH,0))</f>
        <v>90.78014184397162</v>
      </c>
      <c r="Z102" s="117">
        <f ca="1">Y102*($S102-TG102)*(AllProps_CAM/NHHProps_CAM)</f>
        <v>31.999999999999996</v>
      </c>
      <c r="AA102" s="117">
        <f ca="1">INDEX(INDIRECT("CAM_WTPCore2_"&amp;$B102&amp;"_UnitValues"),2,MATCH("MEAN",LMH,0))</f>
        <v>12.15176348156276</v>
      </c>
      <c r="AB102" s="117">
        <f ca="1">AA102*($S102-T102)*(AllProps_CAM/NHHProps_CAM)</f>
        <v>1.4278322090836244</v>
      </c>
      <c r="AC102" s="216">
        <f ca="1">X102*AA$105/X$104</f>
        <v>46.406562032043396</v>
      </c>
      <c r="AD102" s="611" t="s">
        <v>369</v>
      </c>
      <c r="AE102" s="633">
        <f ca="1">AC102*NHHProps_CAM/((S102-T102)*AllProps_CAM)</f>
        <v>394.9494641024969</v>
      </c>
    </row>
    <row r="103" spans="1:31" x14ac:dyDescent="0.25">
      <c r="A103" s="9" t="s">
        <v>3</v>
      </c>
      <c r="B103" s="9" t="s">
        <v>3</v>
      </c>
      <c r="C103" s="9" t="str">
        <f>B103</f>
        <v>Leakage</v>
      </c>
      <c r="D103" s="514" t="s">
        <v>666</v>
      </c>
      <c r="E103" s="431">
        <f ca="1">INDEX(INDIRECT("ExtWTP19_"&amp;$C103&amp;"_UnitValues"),MATCH(A$101, INDIRECT("ExtWTP19_Comps_"&amp;C103),0),MATCH("NHH",ExtWTP_Group,0))</f>
        <v>1553101</v>
      </c>
      <c r="F103" s="598">
        <f ca="1">INDEX(INDIRECT("SSW_WTPCore2_"&amp;$B103&amp;"_Levels"),2,MATCH(F$4,WTPCore2_AttLevels,0))</f>
        <v>70.5</v>
      </c>
      <c r="G103" s="598">
        <f ca="1">INDEX(INDIRECT("SSW_WTPCore2_"&amp;$B103&amp;"_Levels"),2,MATCH(G$4,WTPCore2_AttLevels,0))</f>
        <v>35.25</v>
      </c>
      <c r="H103" s="581">
        <f ca="1">INDEX(INDIRECT("SSW_WTPCore2_"&amp;$B103&amp;"_LevelValues"),2,MATCH("S1 MEAN",WTPCore2_LevelValues,0))</f>
        <v>1.8366495603833657E-2</v>
      </c>
      <c r="I103" s="581">
        <f ca="1">INDEX(INDIRECT("SSW_WTPCore2_"&amp;$B103&amp;"_LevelValues"),2,MATCH("S2 MEAN",WTPCore2_LevelValues,0))</f>
        <v>6.6875105310339848E-3</v>
      </c>
      <c r="J103" s="581">
        <f ca="1">SUM(H103:I103)</f>
        <v>2.5054006134867642E-2</v>
      </c>
      <c r="K103" s="602">
        <f ca="1">E103*(F103-G103)/AllProps_SSW</f>
        <v>92.948744057724952</v>
      </c>
      <c r="L103" s="579">
        <f ca="1">INDEX(INDIRECT("SSW_WTPCore_DCE_"&amp;$B103&amp;"_UnitValues"),MATCH("COMBINED-NHH",WTPCore_Group,0),MATCH("MEAN",LMH,0))</f>
        <v>23218.156028368794</v>
      </c>
      <c r="M103" s="117">
        <f ca="1">L103*(F103-G103)/NHHProps_SSW</f>
        <v>22.12</v>
      </c>
      <c r="N103" s="117">
        <f ca="1">INDEX(INDIRECT("SSW_WTPCore2_"&amp;$B103&amp;"_UnitValues"),2,MATCH("MEAN",LMH,0))</f>
        <v>116341.56471501317</v>
      </c>
      <c r="O103" s="117">
        <f ca="1">N103*(F103-G103)/NHHProps_SSW</f>
        <v>110.83892314065444</v>
      </c>
      <c r="P103" s="527">
        <f ca="1">K103*N$105/K$104</f>
        <v>72.779459509203406</v>
      </c>
      <c r="Q103" s="611" t="s">
        <v>666</v>
      </c>
      <c r="R103" s="627">
        <f ca="1">P103*NHHProps_SSW/((F103-G103))</f>
        <v>76392.624165688685</v>
      </c>
      <c r="S103" s="844">
        <f ca="1">INDEX(INDIRECT("CAM_WTPCore2_"&amp;$B103&amp;"_Levels"),2,MATCH(S$4,WTPCore2_AttLevels,0))</f>
        <v>13.5</v>
      </c>
      <c r="T103" s="844">
        <f ca="1">INDEX(INDIRECT("CAM_WTPCore2_"&amp;$B103&amp;"_Levels"),2,MATCH(T$4,WTPCore2_AttLevels,0))</f>
        <v>6.75</v>
      </c>
      <c r="U103" s="767">
        <f ca="1">INDEX(INDIRECT("CAM_WTPCore2_"&amp;$B103&amp;"_LevelValues"),2,MATCH("S1 MEAN",WTPCore2_LevelValues,0))</f>
        <v>7.1569068986342493E-2</v>
      </c>
      <c r="V103" s="767">
        <f ca="1">INDEX(INDIRECT("CAM_WTPCore2_"&amp;$B103&amp;"_LevelValues"),2,MATCH("S2 MEAN",WTPCore2_LevelValues,0))</f>
        <v>3.5284810800562588E-2</v>
      </c>
      <c r="W103" s="587">
        <f ca="1">SUM(U103:V103)</f>
        <v>0.10685387978690508</v>
      </c>
      <c r="X103" s="528">
        <f ca="1">E103*(S103-T103)/AllProps_CAM</f>
        <v>74.350579787234039</v>
      </c>
      <c r="Y103" s="117">
        <f ca="1">INDEX(INDIRECT("CAM_WTPCore_"&amp;$B103&amp;"_UnitValues"),MATCH("COMBINED-NHH",WTPCore_Group,0),MATCH("MEAN",LMH,0))</f>
        <v>15170.37037037037</v>
      </c>
      <c r="Z103" s="117">
        <f ca="1">Y103*(S103-T103)/NHHProps_CAM</f>
        <v>10.24</v>
      </c>
      <c r="AA103" s="117">
        <f ca="1">INDEX(INDIRECT("CAM_WTPCore2_"&amp;$B103&amp;"_UnitValues"),2,MATCH("MEAN",LMH,0))</f>
        <v>810506.46593919117</v>
      </c>
      <c r="AB103" s="117">
        <f ca="1">AA103*(S103-T103)/NHHProps_CAM</f>
        <v>547.09186450895402</v>
      </c>
      <c r="AC103" s="216">
        <f ca="1">X103*AA$105/X$104</f>
        <v>248.9732863269754</v>
      </c>
      <c r="AD103" s="611" t="s">
        <v>666</v>
      </c>
      <c r="AE103" s="627">
        <f ca="1">AC103*NHHProps_CAM/((S103-T103))</f>
        <v>368849.31307700055</v>
      </c>
    </row>
    <row r="104" spans="1:31" ht="15.75" thickBot="1" x14ac:dyDescent="0.3">
      <c r="D104" s="514"/>
      <c r="E104" s="431"/>
      <c r="F104" s="598"/>
      <c r="G104" s="598"/>
      <c r="H104" s="20"/>
      <c r="I104" s="20"/>
      <c r="J104" s="445">
        <f ca="1">SUM(J102:J103)*AvgNHHBill_SSW</f>
        <v>113.70039688492619</v>
      </c>
      <c r="K104" s="603">
        <f ca="1">SUM(K102:K103)</f>
        <v>99.877910724391626</v>
      </c>
      <c r="L104" s="603"/>
      <c r="M104" s="446">
        <f ca="1">SUM(M102:M103)</f>
        <v>42.709685534591202</v>
      </c>
      <c r="N104" s="446"/>
      <c r="O104" s="446">
        <f ca="1">SUM(O102:O103)</f>
        <v>113.70039688492618</v>
      </c>
      <c r="P104" s="50">
        <f ca="1">SUM(P102:P103)</f>
        <v>78.20504120975869</v>
      </c>
      <c r="R104" s="634"/>
      <c r="W104" s="621">
        <f ca="1">SUM(W102:W103)*AvgNHHBill_CAM</f>
        <v>548.51969671803761</v>
      </c>
      <c r="X104" s="623">
        <f ca="1">SUM(X102:X103)</f>
        <v>88.208913120567374</v>
      </c>
      <c r="Y104" s="623"/>
      <c r="Z104" s="446">
        <f ca="1">SUM(Z102:Z103)</f>
        <v>42.239999999999995</v>
      </c>
      <c r="AA104" s="446"/>
      <c r="AB104" s="446">
        <f ca="1">SUM(AB102:AB103)</f>
        <v>548.51969671803761</v>
      </c>
      <c r="AC104" s="621">
        <f ca="1">SUM(AC102:AC103)</f>
        <v>295.37984835901881</v>
      </c>
      <c r="AE104" s="640"/>
    </row>
    <row r="105" spans="1:31" s="60" customFormat="1" x14ac:dyDescent="0.25">
      <c r="D105" s="506"/>
      <c r="E105" s="506"/>
      <c r="F105" s="480"/>
      <c r="G105" s="480"/>
      <c r="H105" s="480"/>
      <c r="I105" s="480"/>
      <c r="J105" s="480"/>
      <c r="M105" s="830" t="s">
        <v>997</v>
      </c>
      <c r="N105" s="737">
        <f ca="1">AVERAGE(M104,O104)</f>
        <v>78.20504120975869</v>
      </c>
      <c r="O105" s="830"/>
      <c r="Q105" s="617"/>
      <c r="R105" s="638"/>
      <c r="S105" s="506"/>
      <c r="T105" s="506"/>
      <c r="U105" s="506"/>
      <c r="V105" s="506"/>
      <c r="W105" s="506"/>
      <c r="X105" s="480"/>
      <c r="Y105" s="480"/>
      <c r="Z105" s="830" t="s">
        <v>997</v>
      </c>
      <c r="AA105" s="737">
        <f ca="1">AVERAGE(Z104,AB104)</f>
        <v>295.37984835901881</v>
      </c>
      <c r="AB105" s="830"/>
      <c r="AE105" s="114"/>
    </row>
    <row r="106" spans="1:31" x14ac:dyDescent="0.25">
      <c r="J106" s="641" t="s">
        <v>503</v>
      </c>
      <c r="R106" s="637"/>
      <c r="W106" s="845" t="s">
        <v>506</v>
      </c>
    </row>
    <row r="107" spans="1:31" x14ac:dyDescent="0.25"/>
    <row r="108" spans="1:31" x14ac:dyDescent="0.25"/>
    <row r="109" spans="1:31" x14ac:dyDescent="0.25">
      <c r="O109" s="143"/>
      <c r="X109" s="36"/>
    </row>
    <row r="110" spans="1:31" x14ac:dyDescent="0.25">
      <c r="O110" s="143"/>
      <c r="X110" s="36"/>
    </row>
    <row r="111" spans="1:31" x14ac:dyDescent="0.25">
      <c r="O111" s="143"/>
      <c r="X111" s="36"/>
    </row>
    <row r="112" spans="1:31" x14ac:dyDescent="0.25">
      <c r="O112" s="143"/>
      <c r="X112" s="36"/>
    </row>
    <row r="113" spans="24:24" x14ac:dyDescent="0.25">
      <c r="X113" s="36"/>
    </row>
    <row r="114" spans="24:24" x14ac:dyDescent="0.25"/>
    <row r="115" spans="24:24" x14ac:dyDescent="0.25"/>
    <row r="116" spans="24:24" x14ac:dyDescent="0.25"/>
    <row r="117" spans="24:24" x14ac:dyDescent="0.25"/>
    <row r="118" spans="24:24" hidden="1" x14ac:dyDescent="0.25"/>
    <row r="119" spans="24:24" hidden="1" x14ac:dyDescent="0.25"/>
    <row r="120" spans="24:24" hidden="1" x14ac:dyDescent="0.25"/>
    <row r="121" spans="24:24" hidden="1" x14ac:dyDescent="0.25"/>
    <row r="122" spans="24:24" hidden="1" x14ac:dyDescent="0.25"/>
    <row r="123" spans="24:24" hidden="1" x14ac:dyDescent="0.25"/>
    <row r="124" spans="24:24" hidden="1" x14ac:dyDescent="0.25"/>
    <row r="125" spans="24:24" hidden="1" x14ac:dyDescent="0.25"/>
    <row r="126" spans="24:24" hidden="1" x14ac:dyDescent="0.25"/>
    <row r="127" spans="24:24" hidden="1" x14ac:dyDescent="0.25"/>
    <row r="128" spans="24:24" hidden="1" x14ac:dyDescent="0.25"/>
    <row r="129" hidden="1" x14ac:dyDescent="0.25"/>
    <row r="130" hidden="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AG64"/>
  <sheetViews>
    <sheetView zoomScale="70" zoomScaleNormal="70" workbookViewId="0"/>
  </sheetViews>
  <sheetFormatPr defaultColWidth="0" defaultRowHeight="15" zeroHeight="1" x14ac:dyDescent="0.25"/>
  <cols>
    <col min="1" max="1" width="23" style="176" customWidth="1"/>
    <col min="2" max="4" width="15.85546875" style="176" customWidth="1"/>
    <col min="5" max="5" width="12" style="176" customWidth="1"/>
    <col min="6" max="15" width="9.140625" style="176" customWidth="1"/>
    <col min="16" max="16384" width="9.140625" style="176" hidden="1"/>
  </cols>
  <sheetData>
    <row r="1" spans="1:33" ht="28.5" x14ac:dyDescent="0.45">
      <c r="A1" s="102" t="s">
        <v>349</v>
      </c>
      <c r="B1" s="102"/>
      <c r="C1" s="102"/>
      <c r="D1" s="102"/>
      <c r="E1" s="102"/>
      <c r="F1" s="102"/>
      <c r="G1" s="102"/>
      <c r="H1" s="102"/>
      <c r="I1" s="102"/>
      <c r="J1" s="102"/>
      <c r="K1" s="102"/>
      <c r="L1" s="102"/>
      <c r="M1" s="102"/>
      <c r="N1" s="103"/>
      <c r="O1" s="303"/>
      <c r="P1" s="303"/>
      <c r="Q1" s="303"/>
      <c r="R1" s="295"/>
      <c r="S1" s="295"/>
      <c r="T1" s="295"/>
      <c r="U1" s="295"/>
      <c r="V1" s="295"/>
      <c r="W1" s="295"/>
      <c r="X1" s="295"/>
      <c r="Y1" s="295"/>
      <c r="Z1" s="175"/>
      <c r="AA1" s="175"/>
      <c r="AB1" s="175"/>
      <c r="AC1" s="175"/>
      <c r="AD1" s="175"/>
      <c r="AE1" s="175"/>
      <c r="AF1" s="175"/>
      <c r="AG1" s="175"/>
    </row>
    <row r="2" spans="1:33" x14ac:dyDescent="0.25"/>
    <row r="3" spans="1:33" x14ac:dyDescent="0.25">
      <c r="A3" s="4"/>
      <c r="B3" s="4"/>
    </row>
    <row r="4" spans="1:33" s="489" customFormat="1" ht="20.25" thickBot="1" x14ac:dyDescent="0.35">
      <c r="A4" s="112" t="s">
        <v>258</v>
      </c>
      <c r="B4" s="112"/>
      <c r="C4" s="112"/>
      <c r="D4" s="112"/>
      <c r="E4" s="112"/>
      <c r="F4" s="112"/>
      <c r="G4" s="112"/>
      <c r="H4" s="112"/>
      <c r="I4" s="112"/>
      <c r="J4" s="112"/>
      <c r="K4" s="112"/>
      <c r="L4" s="112"/>
      <c r="M4" s="112"/>
      <c r="N4" s="112"/>
    </row>
    <row r="5" spans="1:33" s="175" customFormat="1" x14ac:dyDescent="0.25">
      <c r="A5" s="84"/>
      <c r="B5" s="87" t="s">
        <v>9</v>
      </c>
      <c r="C5" s="87" t="s">
        <v>199</v>
      </c>
      <c r="D5" s="88" t="s">
        <v>257</v>
      </c>
      <c r="E5" s="176"/>
      <c r="F5" s="176"/>
      <c r="G5" s="176"/>
      <c r="H5" s="176"/>
      <c r="I5" s="176"/>
      <c r="J5" s="176"/>
      <c r="K5" s="176"/>
      <c r="L5" s="176"/>
      <c r="M5" s="176"/>
      <c r="N5" s="176"/>
    </row>
    <row r="6" spans="1:33" s="175" customFormat="1" x14ac:dyDescent="0.25">
      <c r="A6" s="85" t="s">
        <v>39</v>
      </c>
      <c r="B6" s="1004">
        <v>552000</v>
      </c>
      <c r="C6" s="1004">
        <v>37000</v>
      </c>
      <c r="D6" s="1005">
        <f>B6+C6</f>
        <v>589000</v>
      </c>
      <c r="E6" s="176"/>
      <c r="F6" s="176"/>
      <c r="G6" s="176"/>
      <c r="H6" s="176"/>
      <c r="I6" s="176"/>
      <c r="J6" s="176"/>
      <c r="K6" s="176"/>
      <c r="L6" s="176"/>
      <c r="M6" s="176"/>
      <c r="N6" s="176"/>
    </row>
    <row r="7" spans="1:33" s="175" customFormat="1" x14ac:dyDescent="0.25">
      <c r="A7" s="85" t="s">
        <v>118</v>
      </c>
      <c r="B7" s="1004">
        <v>131000</v>
      </c>
      <c r="C7" s="1004">
        <v>10000</v>
      </c>
      <c r="D7" s="1005">
        <f>B7+C7</f>
        <v>141000</v>
      </c>
      <c r="E7" s="176"/>
      <c r="F7" s="176"/>
      <c r="G7" s="176"/>
      <c r="H7" s="176"/>
      <c r="I7" s="176"/>
      <c r="J7" s="176"/>
      <c r="K7" s="176"/>
      <c r="L7" s="176"/>
      <c r="M7" s="176"/>
      <c r="N7" s="176"/>
    </row>
    <row r="8" spans="1:33" s="175" customFormat="1" ht="15.75" thickBot="1" x14ac:dyDescent="0.3">
      <c r="A8" s="86" t="s">
        <v>257</v>
      </c>
      <c r="B8" s="1006">
        <f>B6+B7</f>
        <v>683000</v>
      </c>
      <c r="C8" s="1006">
        <f>C6+C7</f>
        <v>47000</v>
      </c>
      <c r="D8" s="1007">
        <f>B8+C8</f>
        <v>730000</v>
      </c>
      <c r="E8" s="176"/>
      <c r="F8" s="176"/>
      <c r="G8" s="176"/>
      <c r="H8" s="176"/>
      <c r="I8" s="176"/>
      <c r="J8" s="176"/>
      <c r="K8" s="176"/>
      <c r="L8" s="176"/>
      <c r="M8" s="176"/>
      <c r="N8" s="176"/>
    </row>
    <row r="9" spans="1:33" s="175" customFormat="1" x14ac:dyDescent="0.25">
      <c r="A9" s="176"/>
      <c r="B9" s="176"/>
      <c r="C9" s="176"/>
      <c r="D9" s="176"/>
      <c r="E9" s="176"/>
      <c r="F9" s="176"/>
      <c r="G9" s="176"/>
      <c r="H9" s="176"/>
      <c r="I9" s="176"/>
      <c r="J9" s="176"/>
      <c r="K9" s="176"/>
      <c r="L9" s="176"/>
      <c r="M9" s="176"/>
      <c r="N9" s="176"/>
    </row>
    <row r="10" spans="1:33" s="489" customFormat="1" ht="19.5" x14ac:dyDescent="0.3">
      <c r="A10" s="112" t="s">
        <v>469</v>
      </c>
      <c r="B10" s="112"/>
      <c r="C10" s="112"/>
      <c r="D10" s="112"/>
      <c r="E10" s="112"/>
      <c r="F10" s="112"/>
      <c r="G10" s="112"/>
      <c r="H10" s="112"/>
      <c r="I10" s="112"/>
      <c r="J10" s="112"/>
      <c r="K10" s="112"/>
      <c r="L10" s="112"/>
      <c r="M10" s="112"/>
      <c r="N10" s="112"/>
    </row>
    <row r="11" spans="1:33" s="175" customFormat="1" x14ac:dyDescent="0.25">
      <c r="A11" s="89"/>
      <c r="B11" s="491"/>
      <c r="C11" s="91" t="s">
        <v>199</v>
      </c>
      <c r="D11" s="176"/>
      <c r="E11" s="176"/>
      <c r="F11" s="176"/>
      <c r="G11" s="176"/>
      <c r="H11" s="176"/>
      <c r="I11" s="176"/>
      <c r="J11" s="176"/>
      <c r="K11" s="176"/>
      <c r="L11" s="176"/>
      <c r="M11" s="176"/>
      <c r="N11" s="176"/>
    </row>
    <row r="12" spans="1:33" s="175" customFormat="1" x14ac:dyDescent="0.25">
      <c r="A12" s="90" t="s">
        <v>39</v>
      </c>
      <c r="B12" s="491"/>
      <c r="C12" s="492">
        <v>4424</v>
      </c>
      <c r="D12" s="176"/>
      <c r="E12" s="176"/>
      <c r="F12" s="176"/>
      <c r="G12" s="176"/>
      <c r="H12" s="176"/>
      <c r="I12" s="176"/>
      <c r="J12" s="176"/>
      <c r="K12" s="176"/>
      <c r="L12" s="176"/>
      <c r="M12" s="176"/>
      <c r="N12" s="176"/>
    </row>
    <row r="13" spans="1:33" s="175" customFormat="1" x14ac:dyDescent="0.25">
      <c r="A13" s="90" t="s">
        <v>118</v>
      </c>
      <c r="B13" s="491"/>
      <c r="C13" s="492">
        <v>5120</v>
      </c>
      <c r="D13" s="176"/>
      <c r="E13" s="176"/>
      <c r="F13" s="176"/>
      <c r="G13" s="176"/>
      <c r="H13" s="176"/>
      <c r="I13" s="176"/>
      <c r="J13" s="176"/>
      <c r="K13" s="176"/>
      <c r="L13" s="176"/>
      <c r="M13" s="176"/>
      <c r="N13" s="176"/>
    </row>
    <row r="14" spans="1:33" s="175" customFormat="1" x14ac:dyDescent="0.25">
      <c r="A14" s="176"/>
      <c r="B14" s="176"/>
      <c r="C14" s="176"/>
      <c r="D14" s="176"/>
      <c r="E14" s="176"/>
      <c r="F14" s="176"/>
      <c r="G14" s="176"/>
      <c r="H14" s="176"/>
      <c r="I14" s="176"/>
      <c r="J14" s="176"/>
      <c r="K14" s="176"/>
      <c r="L14" s="176"/>
      <c r="M14" s="176"/>
      <c r="N14" s="176"/>
    </row>
    <row r="15" spans="1:33" s="175" customFormat="1" x14ac:dyDescent="0.25">
      <c r="A15" s="176"/>
      <c r="B15" s="176"/>
      <c r="C15" s="176"/>
      <c r="D15" s="176"/>
      <c r="E15" s="176"/>
      <c r="F15" s="176"/>
      <c r="G15" s="176"/>
      <c r="H15" s="176"/>
      <c r="I15" s="176"/>
      <c r="J15" s="176"/>
      <c r="K15" s="176"/>
      <c r="L15" s="176"/>
      <c r="M15" s="176"/>
      <c r="N15" s="176"/>
    </row>
    <row r="16" spans="1:33" s="489" customFormat="1" ht="19.5" x14ac:dyDescent="0.3">
      <c r="A16" s="112" t="s">
        <v>236</v>
      </c>
      <c r="B16" s="112"/>
      <c r="C16" s="112"/>
      <c r="D16" s="112"/>
      <c r="E16" s="112"/>
      <c r="F16" s="112"/>
      <c r="G16" s="112"/>
      <c r="H16" s="112"/>
      <c r="I16" s="112"/>
      <c r="J16" s="112"/>
      <c r="K16" s="112"/>
      <c r="L16" s="112"/>
      <c r="M16" s="112"/>
      <c r="N16" s="112"/>
    </row>
    <row r="17" spans="1:14" s="175" customFormat="1" ht="15.75" thickBot="1" x14ac:dyDescent="0.3">
      <c r="A17" s="176"/>
      <c r="B17" s="176"/>
      <c r="C17" s="176"/>
      <c r="D17" s="176"/>
      <c r="E17" s="176"/>
      <c r="F17" s="176"/>
      <c r="G17" s="176"/>
      <c r="H17" s="176"/>
      <c r="I17" s="176"/>
      <c r="J17" s="176"/>
      <c r="K17" s="176"/>
      <c r="L17" s="176"/>
      <c r="M17" s="176"/>
      <c r="N17" s="176"/>
    </row>
    <row r="18" spans="1:14" ht="30.75" thickBot="1" x14ac:dyDescent="0.3">
      <c r="A18" s="92" t="s">
        <v>240</v>
      </c>
      <c r="B18" s="93" t="s">
        <v>241</v>
      </c>
    </row>
    <row r="19" spans="1:14" x14ac:dyDescent="0.25">
      <c r="A19" s="94" t="s">
        <v>237</v>
      </c>
      <c r="B19" s="81">
        <v>1</v>
      </c>
    </row>
    <row r="20" spans="1:14" x14ac:dyDescent="0.25">
      <c r="A20" s="95" t="s">
        <v>350</v>
      </c>
      <c r="B20" s="82">
        <v>0.5</v>
      </c>
    </row>
    <row r="21" spans="1:14" x14ac:dyDescent="0.25">
      <c r="A21" s="97" t="s">
        <v>238</v>
      </c>
      <c r="B21" s="82">
        <v>0.25</v>
      </c>
    </row>
    <row r="22" spans="1:14" x14ac:dyDescent="0.25">
      <c r="A22" s="95" t="s">
        <v>351</v>
      </c>
      <c r="B22" s="82">
        <v>0.1</v>
      </c>
    </row>
    <row r="23" spans="1:14" ht="15.75" thickBot="1" x14ac:dyDescent="0.3">
      <c r="A23" s="96" t="s">
        <v>239</v>
      </c>
      <c r="B23" s="83">
        <v>0</v>
      </c>
    </row>
    <row r="24" spans="1:14" x14ac:dyDescent="0.25"/>
    <row r="25" spans="1:14" x14ac:dyDescent="0.25"/>
    <row r="26" spans="1:14" x14ac:dyDescent="0.25"/>
    <row r="27" spans="1:14" ht="19.5" x14ac:dyDescent="0.3">
      <c r="A27" s="112" t="s">
        <v>486</v>
      </c>
      <c r="B27" s="112"/>
      <c r="C27" s="112"/>
      <c r="D27" s="112"/>
      <c r="E27" s="112"/>
      <c r="F27" s="112"/>
      <c r="G27" s="112"/>
      <c r="H27" s="112"/>
      <c r="I27" s="112"/>
      <c r="J27" s="112"/>
      <c r="K27" s="112"/>
      <c r="L27" s="112"/>
      <c r="M27" s="112"/>
      <c r="N27" s="112"/>
    </row>
    <row r="28" spans="1:14" ht="15.75" thickBot="1" x14ac:dyDescent="0.3">
      <c r="A28" s="9" t="s">
        <v>485</v>
      </c>
    </row>
    <row r="29" spans="1:14" x14ac:dyDescent="0.25">
      <c r="A29" s="84"/>
      <c r="B29" s="547" t="s">
        <v>3</v>
      </c>
      <c r="C29" s="548" t="s">
        <v>324</v>
      </c>
      <c r="D29" s="549" t="s">
        <v>127</v>
      </c>
    </row>
    <row r="30" spans="1:14" x14ac:dyDescent="0.25">
      <c r="A30" s="85" t="s">
        <v>39</v>
      </c>
      <c r="B30" s="551">
        <f>12000000/589000</f>
        <v>20.373514431239389</v>
      </c>
      <c r="C30" s="550">
        <v>5.75</v>
      </c>
      <c r="D30" s="550">
        <v>5.75</v>
      </c>
    </row>
    <row r="31" spans="1:14" x14ac:dyDescent="0.25">
      <c r="A31" s="85" t="s">
        <v>118</v>
      </c>
      <c r="B31" s="552">
        <f>(1.75*1000000)/141000</f>
        <v>12.411347517730496</v>
      </c>
      <c r="C31" s="550">
        <v>0.6</v>
      </c>
      <c r="D31" s="550">
        <v>0.6</v>
      </c>
    </row>
    <row r="32" spans="1:14"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x14ac:dyDescent="0.25"/>
    <row r="58" x14ac:dyDescent="0.25"/>
    <row r="59" x14ac:dyDescent="0.25"/>
    <row r="60" x14ac:dyDescent="0.25"/>
    <row r="61" x14ac:dyDescent="0.25"/>
    <row r="62" x14ac:dyDescent="0.25"/>
    <row r="63" x14ac:dyDescent="0.25"/>
    <row r="64"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CH226"/>
  <sheetViews>
    <sheetView zoomScale="70" zoomScaleNormal="70" workbookViewId="0">
      <pane xSplit="1" ySplit="2" topLeftCell="B3" activePane="bottomRight" state="frozen"/>
      <selection activeCell="F8" sqref="F8"/>
      <selection pane="topRight" activeCell="F8" sqref="F8"/>
      <selection pane="bottomLeft" activeCell="F8" sqref="F8"/>
      <selection pane="bottomRight"/>
    </sheetView>
  </sheetViews>
  <sheetFormatPr defaultColWidth="0" defaultRowHeight="15" zeroHeight="1" x14ac:dyDescent="0.25"/>
  <cols>
    <col min="1" max="1" width="56.85546875" style="5" customWidth="1"/>
    <col min="2" max="2" width="25" style="5" customWidth="1"/>
    <col min="3" max="8" width="15.7109375" style="5" customWidth="1"/>
    <col min="9" max="19" width="10.5703125" style="10" customWidth="1"/>
    <col min="20" max="20" width="23.42578125" style="5" customWidth="1"/>
    <col min="21" max="26" width="15.7109375" style="5" customWidth="1"/>
    <col min="27" max="35" width="10.5703125" style="10" customWidth="1"/>
    <col min="36" max="36" width="13.7109375" style="10" customWidth="1"/>
    <col min="37" max="37" width="10.5703125" style="331" customWidth="1"/>
    <col min="38" max="64" width="0" style="10" hidden="1" customWidth="1"/>
    <col min="65" max="70" width="9.140625" style="10" hidden="1" customWidth="1"/>
    <col min="71" max="79" width="0" style="10" hidden="1" customWidth="1"/>
    <col min="80" max="86" width="9.140625" style="10" hidden="1" customWidth="1"/>
    <col min="87" max="16384" width="0" style="10" hidden="1"/>
  </cols>
  <sheetData>
    <row r="1" spans="1:37" s="175" customFormat="1" ht="28.5" x14ac:dyDescent="0.45">
      <c r="A1" s="102" t="s">
        <v>483</v>
      </c>
      <c r="B1" s="103"/>
      <c r="C1" s="103"/>
      <c r="D1" s="103"/>
      <c r="E1" s="103"/>
      <c r="F1" s="103"/>
      <c r="G1" s="103"/>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971"/>
    </row>
    <row r="2" spans="1:37" s="15" customFormat="1" ht="21" x14ac:dyDescent="0.35">
      <c r="A2" s="112"/>
      <c r="B2" s="981" t="s">
        <v>234</v>
      </c>
      <c r="C2" s="980"/>
      <c r="D2" s="980"/>
      <c r="E2" s="980"/>
      <c r="F2" s="980"/>
      <c r="G2" s="980"/>
      <c r="H2" s="980"/>
      <c r="I2" s="980"/>
      <c r="J2" s="980"/>
      <c r="K2" s="980"/>
      <c r="L2" s="980"/>
      <c r="M2" s="980"/>
      <c r="N2" s="980"/>
      <c r="O2" s="980"/>
      <c r="P2" s="980"/>
      <c r="Q2" s="980"/>
      <c r="R2" s="980"/>
      <c r="S2" s="980"/>
      <c r="T2" s="982" t="s">
        <v>253</v>
      </c>
      <c r="U2" s="164"/>
      <c r="V2" s="164"/>
      <c r="W2" s="164"/>
      <c r="X2" s="164"/>
      <c r="Y2" s="164"/>
      <c r="Z2" s="164"/>
      <c r="AA2" s="164"/>
      <c r="AB2" s="164"/>
      <c r="AC2" s="164"/>
      <c r="AD2" s="164"/>
      <c r="AE2" s="164"/>
      <c r="AF2" s="979"/>
      <c r="AG2" s="164"/>
      <c r="AH2" s="164"/>
      <c r="AI2" s="164"/>
      <c r="AJ2" s="164"/>
      <c r="AK2" s="975"/>
    </row>
    <row r="3" spans="1:37" ht="20.25" thickBot="1" x14ac:dyDescent="0.35">
      <c r="A3" s="112" t="s">
        <v>242</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965"/>
    </row>
    <row r="4" spans="1:37" ht="15.75" thickBot="1" x14ac:dyDescent="0.3">
      <c r="A4" s="305"/>
      <c r="B4" s="306" t="s">
        <v>248</v>
      </c>
      <c r="C4" s="306" t="s">
        <v>247</v>
      </c>
      <c r="D4" s="307"/>
      <c r="E4" s="307"/>
      <c r="F4" s="9"/>
      <c r="G4" s="9"/>
      <c r="H4" s="9"/>
      <c r="S4" s="331"/>
      <c r="T4" s="9"/>
      <c r="U4" s="9"/>
      <c r="V4" s="9"/>
      <c r="W4" s="9"/>
      <c r="X4" s="9"/>
      <c r="Y4" s="9"/>
      <c r="Z4" s="9"/>
    </row>
    <row r="5" spans="1:37" x14ac:dyDescent="0.25">
      <c r="A5" s="907" t="s">
        <v>243</v>
      </c>
      <c r="B5" s="328" t="s">
        <v>327</v>
      </c>
      <c r="C5" s="309">
        <f>VLOOKUP(B5,RAGWeights,2,0)</f>
        <v>0.5</v>
      </c>
      <c r="D5" s="310"/>
      <c r="E5" s="310"/>
      <c r="F5" s="9"/>
      <c r="G5" s="9"/>
      <c r="H5" s="9"/>
      <c r="S5" s="331"/>
      <c r="T5" s="9"/>
      <c r="U5" s="9"/>
      <c r="V5" s="9"/>
      <c r="W5" s="9"/>
      <c r="X5" s="9"/>
      <c r="Y5" s="9"/>
      <c r="Z5" s="9"/>
    </row>
    <row r="6" spans="1:37" x14ac:dyDescent="0.25">
      <c r="A6" s="308" t="s">
        <v>244</v>
      </c>
      <c r="B6" s="329" t="s">
        <v>327</v>
      </c>
      <c r="C6" s="309">
        <f>VLOOKUP(B6,RAGWeights,2,0)</f>
        <v>0.5</v>
      </c>
      <c r="D6" s="310"/>
      <c r="E6" s="310"/>
      <c r="F6" s="9"/>
      <c r="G6" s="9"/>
      <c r="H6" s="9"/>
      <c r="S6" s="331"/>
      <c r="T6" s="9"/>
      <c r="U6" s="9"/>
      <c r="V6" s="9"/>
      <c r="W6" s="9"/>
      <c r="X6" s="9"/>
      <c r="Y6" s="9"/>
      <c r="Z6" s="9"/>
    </row>
    <row r="7" spans="1:37" x14ac:dyDescent="0.25">
      <c r="A7" s="907" t="s">
        <v>245</v>
      </c>
      <c r="B7" s="329" t="s">
        <v>238</v>
      </c>
      <c r="C7" s="309">
        <f>VLOOKUP(B7,RAGWeights,2,0)</f>
        <v>0.25</v>
      </c>
      <c r="D7" s="310"/>
      <c r="E7" s="310"/>
      <c r="F7" s="9"/>
      <c r="G7" s="9"/>
      <c r="H7" s="9"/>
      <c r="S7" s="331"/>
      <c r="T7" s="9"/>
      <c r="U7" s="9"/>
      <c r="V7" s="9"/>
      <c r="W7" s="9"/>
      <c r="X7" s="9"/>
      <c r="Y7" s="9"/>
      <c r="Z7" s="9"/>
    </row>
    <row r="8" spans="1:37" x14ac:dyDescent="0.25">
      <c r="A8" s="907" t="s">
        <v>307</v>
      </c>
      <c r="B8" s="329" t="s">
        <v>238</v>
      </c>
      <c r="C8" s="309">
        <f>VLOOKUP(B8,RAGWeights,2,0)</f>
        <v>0.25</v>
      </c>
      <c r="D8" s="310"/>
      <c r="E8" s="310"/>
      <c r="F8" s="9"/>
      <c r="G8" s="9"/>
      <c r="H8" s="9"/>
      <c r="S8" s="331"/>
      <c r="T8" s="9"/>
      <c r="U8" s="9"/>
      <c r="V8" s="9"/>
      <c r="W8" s="9"/>
      <c r="X8" s="9"/>
      <c r="Y8" s="9"/>
      <c r="Z8" s="9"/>
    </row>
    <row r="9" spans="1:37" ht="15.75" thickBot="1" x14ac:dyDescent="0.3">
      <c r="A9" s="311" t="s">
        <v>308</v>
      </c>
      <c r="B9" s="330" t="s">
        <v>238</v>
      </c>
      <c r="C9" s="312">
        <f>VLOOKUP(B9,RAGWeights,2,0)</f>
        <v>0.25</v>
      </c>
      <c r="D9" s="310"/>
      <c r="E9" s="310"/>
      <c r="F9" s="9"/>
      <c r="G9" s="9"/>
      <c r="H9" s="9"/>
      <c r="S9" s="331"/>
      <c r="T9" s="9"/>
      <c r="U9" s="9"/>
      <c r="V9" s="9"/>
      <c r="W9" s="9"/>
      <c r="X9" s="9"/>
      <c r="Y9" s="9"/>
      <c r="Z9" s="9"/>
    </row>
    <row r="10" spans="1:37" x14ac:dyDescent="0.25">
      <c r="A10" s="9"/>
      <c r="B10" s="9"/>
      <c r="C10" s="9"/>
      <c r="D10" s="9"/>
      <c r="E10" s="9"/>
      <c r="F10" s="9"/>
      <c r="G10" s="9"/>
      <c r="H10" s="9"/>
      <c r="S10" s="331"/>
      <c r="T10" s="9"/>
      <c r="U10" s="9"/>
      <c r="V10" s="9"/>
      <c r="W10" s="9"/>
      <c r="X10" s="9"/>
      <c r="Y10" s="9"/>
      <c r="Z10" s="9"/>
    </row>
    <row r="11" spans="1:37" ht="19.5" x14ac:dyDescent="0.3">
      <c r="A11" s="112" t="s">
        <v>310</v>
      </c>
      <c r="B11" s="112"/>
      <c r="C11" s="112"/>
      <c r="D11" s="112"/>
      <c r="E11" s="112"/>
      <c r="F11" s="112"/>
      <c r="G11" s="112"/>
      <c r="H11" s="112"/>
      <c r="I11" s="112"/>
      <c r="J11" s="112"/>
      <c r="K11" s="112"/>
      <c r="L11" s="112"/>
      <c r="M11" s="112"/>
      <c r="N11" s="112"/>
      <c r="O11" s="112"/>
      <c r="P11" s="112"/>
      <c r="Q11" s="112"/>
      <c r="R11" s="112"/>
      <c r="S11" s="965"/>
      <c r="T11" s="112"/>
      <c r="U11" s="112"/>
      <c r="V11" s="112"/>
      <c r="W11" s="112"/>
      <c r="X11" s="112"/>
      <c r="Y11" s="112"/>
      <c r="Z11" s="112"/>
      <c r="AA11" s="112"/>
      <c r="AB11" s="112"/>
      <c r="AC11" s="112"/>
      <c r="AD11" s="112"/>
      <c r="AE11" s="112"/>
      <c r="AF11" s="112"/>
      <c r="AG11" s="112"/>
      <c r="AH11" s="112"/>
      <c r="AI11" s="112"/>
      <c r="AJ11" s="112"/>
      <c r="AK11" s="965"/>
    </row>
    <row r="12" spans="1:37" s="46" customFormat="1" ht="30" x14ac:dyDescent="0.25">
      <c r="A12" s="66"/>
      <c r="B12" s="316" t="s">
        <v>244</v>
      </c>
      <c r="C12" s="316" t="s">
        <v>243</v>
      </c>
      <c r="D12" s="316" t="s">
        <v>245</v>
      </c>
      <c r="E12" s="316" t="s">
        <v>307</v>
      </c>
      <c r="F12" s="316" t="s">
        <v>308</v>
      </c>
      <c r="G12" s="66"/>
      <c r="H12" s="66"/>
      <c r="I12" s="66"/>
      <c r="J12" s="66"/>
      <c r="K12" s="66"/>
      <c r="L12" s="66"/>
      <c r="M12" s="66"/>
      <c r="N12" s="66"/>
      <c r="O12" s="66"/>
      <c r="P12" s="66"/>
      <c r="Q12" s="66"/>
      <c r="R12" s="66"/>
      <c r="S12" s="976"/>
      <c r="T12" s="316" t="s">
        <v>244</v>
      </c>
      <c r="U12" s="316" t="s">
        <v>243</v>
      </c>
      <c r="V12" s="316" t="s">
        <v>245</v>
      </c>
      <c r="W12" s="316" t="s">
        <v>307</v>
      </c>
      <c r="X12" s="316" t="s">
        <v>308</v>
      </c>
      <c r="Y12" s="66"/>
      <c r="Z12" s="66"/>
      <c r="AA12" s="66"/>
      <c r="AB12" s="66"/>
      <c r="AC12" s="66"/>
      <c r="AD12" s="66"/>
      <c r="AE12" s="66"/>
      <c r="AF12" s="66"/>
      <c r="AG12" s="66"/>
      <c r="AH12" s="66"/>
      <c r="AI12" s="66"/>
      <c r="AJ12" s="66"/>
      <c r="AK12" s="976"/>
    </row>
    <row r="13" spans="1:37" x14ac:dyDescent="0.25">
      <c r="A13" s="127" t="s">
        <v>247</v>
      </c>
      <c r="B13" s="314">
        <f>VLOOKUP(B$12,$A$5:$C$9,3,0)</f>
        <v>0.5</v>
      </c>
      <c r="C13" s="314">
        <f>VLOOKUP(C$12,$A$5:$C$9,3,0)</f>
        <v>0.5</v>
      </c>
      <c r="D13" s="314">
        <f>VLOOKUP(D$12,$A$5:$C$9,3,0)</f>
        <v>0.25</v>
      </c>
      <c r="E13" s="314">
        <f>VLOOKUP(E$12,$A$5:$C$9,3,0)</f>
        <v>0.25</v>
      </c>
      <c r="F13" s="314">
        <f>VLOOKUP(F$12,$A$5:$C$9,3,0)</f>
        <v>0.25</v>
      </c>
      <c r="G13" s="315"/>
      <c r="H13" s="325"/>
      <c r="I13" s="220"/>
      <c r="S13" s="331"/>
      <c r="T13" s="314">
        <f>VLOOKUP(U$12,$A$5:$C$9,3,0)</f>
        <v>0.5</v>
      </c>
      <c r="U13" s="314">
        <f>VLOOKUP(T$12,$A$5:$C$9,3,0)</f>
        <v>0.5</v>
      </c>
      <c r="V13" s="314">
        <f>VLOOKUP(V$12,$A$5:$C$9,3,0)</f>
        <v>0.25</v>
      </c>
      <c r="W13" s="314">
        <f>VLOOKUP(W$12,$A$5:$C$9,3,0)</f>
        <v>0.25</v>
      </c>
      <c r="X13" s="314">
        <f>VLOOKUP(X$12,$A$5:$C$9,3,0)</f>
        <v>0.25</v>
      </c>
      <c r="Y13" s="277"/>
      <c r="Z13" s="326"/>
    </row>
    <row r="14" spans="1:37" x14ac:dyDescent="0.25">
      <c r="A14" s="270" t="s">
        <v>132</v>
      </c>
      <c r="B14" s="9"/>
      <c r="C14" s="9"/>
      <c r="D14" s="9"/>
      <c r="E14" s="9"/>
      <c r="F14" s="9"/>
      <c r="G14" s="9"/>
      <c r="H14" s="9"/>
      <c r="S14" s="331"/>
      <c r="T14" s="9"/>
      <c r="U14" s="9"/>
      <c r="V14" s="9"/>
      <c r="W14" s="9"/>
      <c r="X14" s="9"/>
      <c r="Y14" s="9"/>
      <c r="Z14" s="9"/>
    </row>
    <row r="15" spans="1:37" s="25" customFormat="1" ht="15.75" x14ac:dyDescent="0.25">
      <c r="A15" s="9" t="s">
        <v>71</v>
      </c>
      <c r="B15" s="221">
        <f>INDEX(SSW_WRMP_Workshop_Combined,MATCH($A15,WRMP_workshop_options,0))</f>
        <v>15.236465736597351</v>
      </c>
      <c r="C15" s="221">
        <f>INDEX(SSW_WRMP_Online_Combined,MATCH($A15,WRMP_online_options,0))</f>
        <v>18.885389630070481</v>
      </c>
      <c r="D15" s="124">
        <f>INDEX(SSW_Priorities_output_WRMP,MATCH($A15,Priorities_WRMP_options,0))</f>
        <v>53.393443116236142</v>
      </c>
      <c r="E15" s="221">
        <f ca="1">INDEX(SSW_WTP_DCE_output_WRMP,MATCH($A15,WTP_WRMP_options,0))</f>
        <v>8.7073707369940188</v>
      </c>
      <c r="F15" s="221">
        <f ca="1">INDEX(SSW_WTP_Maxdiff_output_WRMP,MATCH($A15,WTP_WRMP_options,0))</f>
        <v>71.844210310034214</v>
      </c>
      <c r="G15" s="26"/>
      <c r="H15" s="30"/>
      <c r="S15" s="977"/>
      <c r="T15" s="221">
        <f>INDEX(CAM_WRMP_workshop_Combined,MATCH($A15,WRMP_workshop_options,0))</f>
        <v>14.579686912142376</v>
      </c>
      <c r="U15" s="221">
        <f>INDEX(CAM_WRMP_online_Combined,MATCH($A15,WRMP_online_options,0))</f>
        <v>21.391660350633057</v>
      </c>
      <c r="V15" s="124">
        <f>INDEX(CAM_Priorities_output_WRMP,MATCH($A15,Priorities_WRMP_options,0))</f>
        <v>61.860140609818643</v>
      </c>
      <c r="W15" s="221">
        <f ca="1">INDEX(CAM_WTP_DCE_output_WRMP,MATCH($A15,WTP_WRMP_options,0))</f>
        <v>2.8090869739092903</v>
      </c>
      <c r="X15" s="221">
        <f ca="1">INDEX(CAM_WTP_Maxdiff_output_WRMP,MATCH($A15,WTP_WRMP_options,0))</f>
        <v>70.802972337403205</v>
      </c>
      <c r="Y15" s="5"/>
      <c r="Z15" s="5"/>
      <c r="AK15" s="977"/>
    </row>
    <row r="16" spans="1:37" x14ac:dyDescent="0.25">
      <c r="A16" s="9" t="s">
        <v>246</v>
      </c>
      <c r="B16" s="221">
        <f>INDEX(SSW_WRMP_Workshop_Combined,MATCH($A16,WRMP_workshop_options,0))</f>
        <v>17.908221461788191</v>
      </c>
      <c r="C16" s="221"/>
      <c r="D16" s="221"/>
      <c r="E16" s="221">
        <f ca="1">INDEX(SSW_WTP_DCE_output_WRMP,MATCH($A16,WTP_WRMP_options,0))</f>
        <v>83.134142171065562</v>
      </c>
      <c r="F16" s="221">
        <f ca="1">INDEX(SSW_WTP_Maxdiff_output_WRMP,MATCH($A16,WTP_WRMP_options,0))</f>
        <v>19.22782783574289</v>
      </c>
      <c r="G16" s="221"/>
      <c r="S16" s="331"/>
      <c r="T16" s="221">
        <f>INDEX(CAM_WRMP_workshop_Combined,MATCH($A16,WRMP_workshop_options,0))</f>
        <v>13.470629610848476</v>
      </c>
      <c r="U16" s="221"/>
      <c r="V16" s="124"/>
      <c r="W16" s="221">
        <f ca="1">INDEX(CAM_WTP_DCE_output_WRMP,MATCH($A16,WTP_WRMP_options,0))</f>
        <v>43.563605631894312</v>
      </c>
      <c r="X16" s="221">
        <f ca="1">INDEX(CAM_WTP_Maxdiff_output_WRMP,MATCH($A16,WTP_WRMP_options,0))</f>
        <v>18.041741297628889</v>
      </c>
    </row>
    <row r="17" spans="1:37" x14ac:dyDescent="0.25">
      <c r="A17" s="9" t="s">
        <v>74</v>
      </c>
      <c r="B17" s="221">
        <f>INDEX(SSW_WRMP_Workshop_Combined,MATCH($A17,WRMP_workshop_options,0))</f>
        <v>16.763183293849259</v>
      </c>
      <c r="C17" s="221">
        <f>INDEX(SSW_WRMP_Online_Combined,MATCH($A17,WRMP_online_options,0))</f>
        <v>15.256039436003975</v>
      </c>
      <c r="D17" s="124">
        <f>INDEX(SSW_Priorities_output_WRMP,MATCH($A17,Priorities_WRMP_options,0))</f>
        <v>30.839796507448821</v>
      </c>
      <c r="E17" s="221">
        <f ca="1">INDEX(SSW_WTP_DCE_output_WRMP,MATCH($A17,WTP_WRMP_options,0))</f>
        <v>8.1584870919404189</v>
      </c>
      <c r="F17" s="221">
        <f ca="1">INDEX(SSW_WTP_Maxdiff_output_WRMP,MATCH($A17,WTP_WRMP_options,0))</f>
        <v>8.9279618542229091</v>
      </c>
      <c r="G17" s="221"/>
      <c r="S17" s="331"/>
      <c r="T17" s="221">
        <f>INDEX(CAM_WRMP_workshop_Combined,MATCH($A17,WRMP_workshop_options,0))</f>
        <v>21.049187836356793</v>
      </c>
      <c r="U17" s="221">
        <f>INDEX(CAM_WRMP_online_Combined,MATCH($A17,WRMP_online_options,0))</f>
        <v>18.774974218157876</v>
      </c>
      <c r="V17" s="124">
        <f>INDEX(CAM_Priorities_output_WRMP,MATCH($A17,Priorities_WRMP_options,0))</f>
        <v>20.010257964412787</v>
      </c>
      <c r="W17" s="221">
        <f ca="1">INDEX(CAM_WTP_DCE_output_WRMP,MATCH($A17,WTP_WRMP_options,0))</f>
        <v>53.6273073941964</v>
      </c>
      <c r="X17" s="221">
        <f ca="1">INDEX(CAM_WTP_Maxdiff_output_WRMP,MATCH($A17,WTP_WRMP_options,0))</f>
        <v>11.15528636496791</v>
      </c>
    </row>
    <row r="18" spans="1:37" x14ac:dyDescent="0.25">
      <c r="A18" s="9" t="s">
        <v>230</v>
      </c>
      <c r="B18" s="221">
        <f>INDEX(SSW_WRMP_Workshop_Combined,MATCH($A18,WRMP_workshop_options,0))</f>
        <v>12.876195490041239</v>
      </c>
      <c r="C18" s="221">
        <f>INDEX(SSW_WRMP_Online_Combined,MATCH($A18,WRMP_online_options,0))</f>
        <v>15.748094006072732</v>
      </c>
      <c r="D18" s="124">
        <f>INDEX(SSW_Priorities_output_WRMP,MATCH($A18,Priorities_WRMP_options,0))</f>
        <v>15.76676037631503</v>
      </c>
      <c r="E18" s="221"/>
      <c r="F18" s="221"/>
      <c r="G18" s="221"/>
      <c r="S18" s="331"/>
      <c r="T18" s="221">
        <f>INDEX(CAM_WRMP_workshop_Combined,MATCH($A18,WRMP_workshop_options,0))</f>
        <v>14.288518476109465</v>
      </c>
      <c r="U18" s="221">
        <f>INDEX(CAM_WRMP_online_Combined,MATCH($A18,WRMP_online_options,0))</f>
        <v>16.803041221955777</v>
      </c>
      <c r="V18" s="124">
        <f>INDEX(CAM_Priorities_output_WRMP,MATCH($A18,Priorities_WRMP_options,0))</f>
        <v>18.129601425768563</v>
      </c>
      <c r="W18" s="221"/>
      <c r="X18" s="221"/>
    </row>
    <row r="19" spans="1:37" x14ac:dyDescent="0.25">
      <c r="A19" s="9" t="s">
        <v>233</v>
      </c>
      <c r="B19" s="221">
        <f>INDEX(SSW_WRMP_Workshop_Combined,MATCH($A19,WRMP_workshop_options,0))</f>
        <v>9.017723962446258</v>
      </c>
      <c r="C19" s="221">
        <f>INDEX(SSW_WRMP_Online_Combined,MATCH($A19,WRMP_online_options,0))</f>
        <v>14.327243383094448</v>
      </c>
      <c r="D19" s="221"/>
      <c r="E19" s="221"/>
      <c r="F19" s="221"/>
      <c r="G19" s="221"/>
      <c r="S19" s="331"/>
      <c r="T19" s="63"/>
      <c r="U19" s="63"/>
      <c r="V19" s="63"/>
      <c r="W19" s="63"/>
      <c r="X19" s="63"/>
      <c r="Y19" s="66"/>
      <c r="Z19" s="66"/>
      <c r="AA19" s="66"/>
      <c r="AB19" s="66"/>
      <c r="AC19" s="66"/>
      <c r="AD19" s="66"/>
      <c r="AE19" s="66"/>
      <c r="AF19" s="66"/>
      <c r="AG19" s="66"/>
      <c r="AH19" s="66"/>
      <c r="AI19" s="66"/>
      <c r="AJ19" s="66"/>
      <c r="AK19" s="976"/>
    </row>
    <row r="20" spans="1:37" x14ac:dyDescent="0.25">
      <c r="A20" s="64" t="s">
        <v>232</v>
      </c>
      <c r="B20" s="63"/>
      <c r="C20" s="63"/>
      <c r="D20" s="63"/>
      <c r="E20" s="63"/>
      <c r="F20" s="66"/>
      <c r="G20" s="66"/>
      <c r="H20" s="66"/>
      <c r="I20" s="66"/>
      <c r="J20" s="66"/>
      <c r="K20" s="66"/>
      <c r="L20" s="66"/>
      <c r="M20" s="66"/>
      <c r="N20" s="66"/>
      <c r="O20" s="66"/>
      <c r="P20" s="66"/>
      <c r="Q20" s="66"/>
      <c r="R20" s="66"/>
      <c r="S20" s="976"/>
      <c r="T20" s="221">
        <f>INDEX(CAM_WRMP_workshop_Combined,MATCH($A20,WRMP_workshop_options,0))</f>
        <v>20.124973418611876</v>
      </c>
      <c r="U20" s="221">
        <f>INDEX(CAM_WRMP_online_Combined,MATCH($A20,WRMP_online_options,0))</f>
        <v>18.461678242610244</v>
      </c>
    </row>
    <row r="21" spans="1:37" x14ac:dyDescent="0.25">
      <c r="A21" s="9" t="s">
        <v>72</v>
      </c>
      <c r="B21" s="221">
        <f>INDEX(SSW_WRMP_Workshop_Combined,MATCH($A21,WRMP_workshop_options,0))</f>
        <v>8.5088181100289564</v>
      </c>
      <c r="C21" s="221">
        <f>INDEX(SSW_WRMP_Online_Combined,MATCH($A21,WRMP_online_options,0))</f>
        <v>12.718416663452123</v>
      </c>
      <c r="D21" s="221"/>
      <c r="E21" s="221"/>
      <c r="F21" s="221"/>
      <c r="G21" s="10"/>
      <c r="H21" s="10"/>
      <c r="S21" s="331"/>
      <c r="T21" s="63"/>
      <c r="U21" s="63"/>
      <c r="V21" s="63"/>
      <c r="W21" s="63"/>
      <c r="X21" s="63"/>
      <c r="Y21" s="66"/>
      <c r="Z21" s="66"/>
      <c r="AA21" s="66"/>
      <c r="AB21" s="66"/>
      <c r="AC21" s="66"/>
      <c r="AD21" s="66"/>
      <c r="AE21" s="66"/>
      <c r="AF21" s="66"/>
      <c r="AG21" s="66"/>
      <c r="AH21" s="66"/>
      <c r="AI21" s="66"/>
      <c r="AJ21" s="66"/>
      <c r="AK21" s="976"/>
    </row>
    <row r="22" spans="1:37" x14ac:dyDescent="0.25">
      <c r="A22" s="9" t="s">
        <v>73</v>
      </c>
      <c r="B22" s="221">
        <f>INDEX(SSW_WRMP_Workshop_Combined,MATCH($A22,WRMP_workshop_options,0))</f>
        <v>5.2864788979556021</v>
      </c>
      <c r="C22" s="221">
        <f>INDEX(SSW_WRMP_Online_Combined,MATCH($A22,WRMP_online_options,0))</f>
        <v>11.323689936278589</v>
      </c>
      <c r="D22" s="221"/>
      <c r="E22" s="221"/>
      <c r="F22" s="221"/>
      <c r="G22" s="221"/>
      <c r="S22" s="331"/>
      <c r="T22" s="221">
        <f>INDEX(CAM_WRMP_workshop_Combined,MATCH($A22,WRMP_workshop_options,0))</f>
        <v>4.3577118741105458</v>
      </c>
      <c r="U22" s="221">
        <f>INDEX(CAM_WRMP_online_Combined,MATCH($A22,WRMP_online_options,0))</f>
        <v>11.294823130350508</v>
      </c>
    </row>
    <row r="23" spans="1:37" x14ac:dyDescent="0.25">
      <c r="A23" s="9" t="s">
        <v>129</v>
      </c>
      <c r="B23" s="221">
        <f>INDEX(SSW_WRMP_Workshop_Combined,MATCH($A23,WRMP_workshop_options,0))</f>
        <v>14.402913047293147</v>
      </c>
      <c r="C23" s="221">
        <f>INDEX(SSW_WRMP_Online_Combined,MATCH($A23,WRMP_online_options,0))</f>
        <v>11.741126945027654</v>
      </c>
      <c r="D23" s="221"/>
      <c r="E23" s="221"/>
      <c r="F23" s="221"/>
      <c r="G23" s="221"/>
      <c r="S23" s="331"/>
      <c r="T23" s="221">
        <f>INDEX(CAM_WRMP_workshop_Combined,MATCH($A23,WRMP_workshop_options,0))</f>
        <v>12.129291871820456</v>
      </c>
      <c r="U23" s="221">
        <f>INDEX(CAM_WRMP_online_Combined,MATCH($A23,WRMP_online_options,0))</f>
        <v>13.273822836292551</v>
      </c>
    </row>
    <row r="24" spans="1:37" x14ac:dyDescent="0.25">
      <c r="A24" s="61" t="s">
        <v>441</v>
      </c>
      <c r="B24" s="313">
        <f>SUM(B15:B23)</f>
        <v>100</v>
      </c>
      <c r="C24" s="313">
        <f>SUM(C15:C23)</f>
        <v>100</v>
      </c>
      <c r="D24" s="313">
        <f>SUM(D15:D23)</f>
        <v>100</v>
      </c>
      <c r="E24" s="313">
        <f ca="1">SUM(E15:E23)</f>
        <v>100</v>
      </c>
      <c r="F24" s="313">
        <f ca="1">SUM(F15:F23)</f>
        <v>100.00000000000001</v>
      </c>
      <c r="G24" s="221"/>
      <c r="S24" s="331"/>
      <c r="T24" s="313">
        <f>SUM(T15:T23)</f>
        <v>100</v>
      </c>
      <c r="U24" s="313">
        <f>SUM(U15:U23)</f>
        <v>100.00000000000001</v>
      </c>
      <c r="V24" s="313">
        <f>SUM(V15:V23)</f>
        <v>100</v>
      </c>
      <c r="W24" s="313">
        <f ca="1">SUM(W15:W23)</f>
        <v>100</v>
      </c>
      <c r="X24" s="313">
        <f ca="1">SUM(X15:X23)</f>
        <v>100</v>
      </c>
    </row>
    <row r="25" spans="1:37" ht="15.75" thickBot="1" x14ac:dyDescent="0.3">
      <c r="A25" s="61" t="s">
        <v>442</v>
      </c>
      <c r="B25" s="313">
        <f>B24</f>
        <v>100</v>
      </c>
      <c r="C25" s="35">
        <f ca="1">100-($B$13*$B$16+$E$13*$E$16+$F$13*$F$16)/($B$13+$E$13+$F$13)</f>
        <v>65.455396767403784</v>
      </c>
      <c r="D25" s="35">
        <f ca="1">100-($B$13*$B$16+$E$13*$E$16+$F$13*$F$16)/($B$13+$E$13+$F$13)-($B$13*($B$19+$B$21+$B$22+$B$23)+$C$13*($C$19+$C$21+$C$22+$C$23))/($B$13+$C$13)</f>
        <v>21.792191294615392</v>
      </c>
      <c r="E25" s="35">
        <f>100-($B$13*$B$18+$C$13*$C$18+$D$13*$D$18)/($B$13+$C$13+$D$13)-($B$13*($B$19+$B$21+$B$22+$B$23)+$C$13*($C$19+$C$21+$C$22+$C$23))/($B$13+$C$13)</f>
        <v>41.733726653503012</v>
      </c>
      <c r="F25" s="35">
        <f>100-($B$13*$B$18+$C$13*$C$18+$D$13*$D$18)/($B$13+$C$13+$D$13)-($B$13*($B$19+$B$21+$B$22+$B$23)+$C$13*($C$19+$C$21+$C$22+$C$23))/($B$13+$C$13)</f>
        <v>41.733726653503012</v>
      </c>
      <c r="G25" s="221"/>
      <c r="S25" s="331"/>
      <c r="T25" s="313">
        <f>T24</f>
        <v>100</v>
      </c>
      <c r="U25" s="35">
        <f ca="1">100-($T$13*$T$16+$W$13*$W$16+$X$13*$X$16)/($T$13+$W$13+$X$13)</f>
        <v>77.863348462194963</v>
      </c>
      <c r="V25" s="35">
        <f ca="1">100-($T$13*$T$16+$W$13*$W$16+$X$13*$X$16)/($T$13+$W$13+$X$13)-($T$13*($T$20+$T$22+$T$23)+$U$13*($U$20+$U$22+$U$23))/($T$13+$U$13)</f>
        <v>38.04219777529687</v>
      </c>
      <c r="W25" s="35">
        <f>100-($T$13*$T$18+$U$13*$U$18+$V$13*$V$18)/($T$13+$U$13+$V$13)-($T$13*($T$20+$T$22+$T$23)+$U$13*($U$20+$U$22+$U$23))/($T$13+$U$13)</f>
        <v>44.116305148722105</v>
      </c>
      <c r="X25" s="35">
        <f>100-($T$13*$T$18+$U$13*$U$18+$V$13*$V$18)/($T$13+$U$13+$V$13)-($T$13*($T$20+$T$22+$T$23)+$U$13*($U$20+$U$22+$U$23))/($T$13+$U$13)</f>
        <v>44.116305148722105</v>
      </c>
    </row>
    <row r="26" spans="1:37" ht="19.5" x14ac:dyDescent="0.3">
      <c r="A26" s="112"/>
      <c r="B26" s="112"/>
      <c r="C26" s="112"/>
      <c r="D26" s="112"/>
      <c r="E26" s="112"/>
      <c r="F26" s="112"/>
      <c r="G26" s="112"/>
      <c r="H26" s="318"/>
      <c r="I26" s="112"/>
      <c r="J26" s="112"/>
      <c r="K26" s="112"/>
      <c r="L26" s="112"/>
      <c r="M26" s="112"/>
      <c r="N26" s="112"/>
      <c r="O26" s="112"/>
      <c r="P26" s="112"/>
      <c r="Q26" s="112"/>
      <c r="R26" s="112"/>
      <c r="S26" s="965"/>
      <c r="T26" s="112"/>
      <c r="U26" s="112"/>
      <c r="V26" s="112"/>
      <c r="W26" s="112"/>
      <c r="X26" s="112"/>
      <c r="Y26" s="112"/>
      <c r="Z26" s="318"/>
      <c r="AA26" s="112"/>
      <c r="AB26" s="112"/>
      <c r="AC26" s="112"/>
      <c r="AD26" s="112"/>
      <c r="AE26" s="112"/>
      <c r="AF26" s="112"/>
      <c r="AG26" s="112"/>
      <c r="AH26" s="112"/>
      <c r="AI26" s="112"/>
      <c r="AJ26" s="112"/>
      <c r="AK26" s="965"/>
    </row>
    <row r="27" spans="1:37" ht="19.5" x14ac:dyDescent="0.3">
      <c r="A27" s="112" t="s">
        <v>235</v>
      </c>
      <c r="B27" s="112"/>
      <c r="C27" s="112"/>
      <c r="D27" s="112"/>
      <c r="E27" s="112"/>
      <c r="F27" s="112"/>
      <c r="G27" s="112"/>
      <c r="H27" s="319"/>
      <c r="I27" s="112"/>
      <c r="J27" s="112"/>
      <c r="K27" s="112"/>
      <c r="L27" s="112"/>
      <c r="M27" s="112"/>
      <c r="N27" s="112" t="s">
        <v>1090</v>
      </c>
      <c r="O27" s="112"/>
      <c r="P27" s="112"/>
      <c r="Q27" s="112"/>
      <c r="R27" s="112"/>
      <c r="S27" s="965"/>
      <c r="T27" s="112"/>
      <c r="U27" s="112"/>
      <c r="V27" s="112"/>
      <c r="W27" s="112"/>
      <c r="X27" s="112"/>
      <c r="Y27" s="112"/>
      <c r="Z27" s="319"/>
      <c r="AA27" s="112"/>
      <c r="AB27" s="112"/>
      <c r="AC27" s="112"/>
      <c r="AD27" s="112"/>
      <c r="AE27" s="112"/>
      <c r="AF27" s="112" t="s">
        <v>1090</v>
      </c>
      <c r="AG27" s="112"/>
      <c r="AH27" s="112"/>
      <c r="AI27" s="112"/>
      <c r="AJ27" s="112"/>
      <c r="AK27" s="965"/>
    </row>
    <row r="28" spans="1:37" s="300" customFormat="1" ht="45" x14ac:dyDescent="0.25">
      <c r="A28" s="115"/>
      <c r="B28" s="316" t="s">
        <v>244</v>
      </c>
      <c r="C28" s="316" t="s">
        <v>243</v>
      </c>
      <c r="D28" s="316" t="s">
        <v>245</v>
      </c>
      <c r="E28" s="316" t="s">
        <v>307</v>
      </c>
      <c r="F28" s="316" t="s">
        <v>308</v>
      </c>
      <c r="G28" s="116" t="s">
        <v>309</v>
      </c>
      <c r="H28" s="320" t="s">
        <v>1056</v>
      </c>
      <c r="I28" s="316" t="s">
        <v>436</v>
      </c>
      <c r="J28" s="316" t="s">
        <v>437</v>
      </c>
      <c r="K28" s="316" t="s">
        <v>438</v>
      </c>
      <c r="L28" s="316" t="s">
        <v>439</v>
      </c>
      <c r="M28" s="316" t="s">
        <v>1055</v>
      </c>
      <c r="N28" s="316" t="s">
        <v>1087</v>
      </c>
      <c r="O28" s="66" t="s">
        <v>1088</v>
      </c>
      <c r="P28" s="316" t="s">
        <v>1089</v>
      </c>
      <c r="Q28" s="316" t="s">
        <v>438</v>
      </c>
      <c r="R28" s="316" t="s">
        <v>439</v>
      </c>
      <c r="S28" s="952"/>
      <c r="T28" s="316" t="s">
        <v>244</v>
      </c>
      <c r="U28" s="316" t="s">
        <v>243</v>
      </c>
      <c r="V28" s="316" t="s">
        <v>245</v>
      </c>
      <c r="W28" s="316" t="s">
        <v>307</v>
      </c>
      <c r="X28" s="316" t="s">
        <v>308</v>
      </c>
      <c r="Y28" s="116" t="s">
        <v>309</v>
      </c>
      <c r="Z28" s="320" t="s">
        <v>207</v>
      </c>
      <c r="AA28" s="316" t="s">
        <v>436</v>
      </c>
      <c r="AB28" s="316" t="s">
        <v>437</v>
      </c>
      <c r="AC28" s="316" t="s">
        <v>438</v>
      </c>
      <c r="AD28" s="316" t="s">
        <v>439</v>
      </c>
      <c r="AE28" s="316" t="s">
        <v>1055</v>
      </c>
      <c r="AF28" s="316" t="s">
        <v>1087</v>
      </c>
      <c r="AG28" s="66" t="s">
        <v>1088</v>
      </c>
      <c r="AH28" s="316" t="s">
        <v>1089</v>
      </c>
      <c r="AI28" s="316" t="s">
        <v>438</v>
      </c>
      <c r="AJ28" s="316" t="s">
        <v>439</v>
      </c>
      <c r="AK28" s="952"/>
    </row>
    <row r="29" spans="1:37" x14ac:dyDescent="0.25">
      <c r="A29" s="237" t="s">
        <v>132</v>
      </c>
      <c r="B29" s="10"/>
      <c r="C29" s="10"/>
      <c r="D29" s="10"/>
      <c r="E29" s="10"/>
      <c r="F29" s="10"/>
      <c r="G29" s="10"/>
      <c r="H29" s="321"/>
      <c r="S29" s="331"/>
      <c r="T29" s="10"/>
      <c r="U29" s="10"/>
      <c r="V29" s="10"/>
      <c r="W29" s="10"/>
      <c r="X29" s="10"/>
      <c r="Y29" s="10"/>
      <c r="Z29" s="321"/>
    </row>
    <row r="30" spans="1:37" x14ac:dyDescent="0.25">
      <c r="A30" s="9" t="s">
        <v>71</v>
      </c>
      <c r="B30" s="221">
        <f>VLOOKUP($A30,$A$15:$X$23,COLUMN(B$28),0)*B$25/100</f>
        <v>15.236465736597351</v>
      </c>
      <c r="C30" s="221">
        <f ca="1">VLOOKUP($A30,$A$15:$X$23,COLUMN(C$28),0)*C$25/100</f>
        <v>12.361506713432764</v>
      </c>
      <c r="D30" s="221">
        <f ca="1">VLOOKUP($A30,$A$15:$X$23,COLUMN(D$28),0)*D$25/100</f>
        <v>11.635601262671834</v>
      </c>
      <c r="E30" s="221">
        <f ca="1">VLOOKUP($A30,$A$15:$X$23,COLUMN(E$28),0)*E$25/100</f>
        <v>3.6339103020841947</v>
      </c>
      <c r="F30" s="221">
        <f ca="1">VLOOKUP($A30,$A$15:$X$23,COLUMN(F$28),0)*F$25/100</f>
        <v>29.98326634715751</v>
      </c>
      <c r="G30" s="221">
        <f ca="1">SUMPRODUCT($B$13:$F$13,B30:F30)/SUMIF($B30:$F30,"&gt;0",$B$13:$F$13)</f>
        <v>14.34981754456768</v>
      </c>
      <c r="H30" s="323">
        <f ca="1">G30*100/$G$39</f>
        <v>16.200936698442366</v>
      </c>
      <c r="I30" s="217">
        <f ca="1">MIN(B30:F30)*100/$G39</f>
        <v>4.1026828800461441</v>
      </c>
      <c r="J30" s="217">
        <f ca="1">MAX(B30:F30)*100/$G39</f>
        <v>33.851092433347773</v>
      </c>
      <c r="K30" s="217">
        <f ca="1">H30-I30</f>
        <v>12.098253818396222</v>
      </c>
      <c r="L30" s="217">
        <f ca="1">J30-H30</f>
        <v>17.650155734905407</v>
      </c>
      <c r="M30" s="366">
        <f ca="1">RANK(H30,SSW_WRMP_COMBSCALES_FINAL)</f>
        <v>2</v>
      </c>
      <c r="N30" s="1002">
        <v>1</v>
      </c>
      <c r="O30" s="359" t="str">
        <f t="shared" ref="O30:O37" ca="1" si="0">INDEX(WRMP_OPTIONS_FINAL,MATCH($N30,SSW_WRMP_RANK,0))</f>
        <v>Increased metering (not smart meters)</v>
      </c>
      <c r="P30" s="217">
        <f t="shared" ref="P30:P37" ca="1" si="1">INDEX(SSW_WRMP_COMBSCALES_FINAL,MATCH($O30,WRMP_OPTIONS_FINAL,0))</f>
        <v>22.166749942658207</v>
      </c>
      <c r="Q30" s="217">
        <f ca="1">INDEX(SSW_WRMP_COMBSCALES_FINAL_LD,MATCH($O30,WRMP_OPTIONS_FINAL,0))</f>
        <v>13.107105824483197</v>
      </c>
      <c r="R30" s="217">
        <f t="shared" ref="R30:R37" ca="1" si="2">INDEX(SSW_WRMP_COMBSCALES_FINAL_HD,MATCH($O30,WRMP_OPTIONS_FINAL,0))</f>
        <v>17.003859892923344</v>
      </c>
      <c r="S30" s="978"/>
      <c r="T30" s="221">
        <f>VLOOKUP($A30,$A$15:$X$23,COLUMN(T$28),0)*T$25/100</f>
        <v>14.579686912142376</v>
      </c>
      <c r="U30" s="221">
        <f ca="1">VLOOKUP($A30,$A$15:$X$23,COLUMN(U$28),0)*U$25/100</f>
        <v>16.656263040662612</v>
      </c>
      <c r="V30" s="221">
        <f ca="1">VLOOKUP($A30,$A$15:$X$23,COLUMN(V$28),0)*V$25/100</f>
        <v>23.532957034863944</v>
      </c>
      <c r="W30" s="221">
        <f ca="1">VLOOKUP($A30,$A$15:$X$23,COLUMN(W$28),0)*W$25/100</f>
        <v>1.2392653813028263</v>
      </c>
      <c r="X30" s="221">
        <f ca="1">VLOOKUP($A30,$A$15:$X$23,COLUMN(X$28),0)*X$25/100</f>
        <v>31.235655330734097</v>
      </c>
      <c r="Y30" s="221">
        <f ca="1">SUMPRODUCT($T$13:$X$13,T30:X30)/SUMIF($T30:$X30,"&gt;0",$T$13:$X$13)</f>
        <v>16.925682521787262</v>
      </c>
      <c r="Z30" s="323">
        <f ca="1">Y30*100/$Y$39</f>
        <v>18.15997734669606</v>
      </c>
      <c r="AA30" s="217">
        <f t="shared" ref="AA30:AA35" ca="1" si="3">MIN(T30:X30)*100/$Y$39</f>
        <v>1.3296380351004933</v>
      </c>
      <c r="AB30" s="217">
        <f t="shared" ref="AB30:AB35" ca="1" si="4">MAX(T30:X30)*100/$Y$39</f>
        <v>33.513495983702278</v>
      </c>
      <c r="AC30" s="217">
        <f ca="1">Z30-AA30</f>
        <v>16.830339311595566</v>
      </c>
      <c r="AD30" s="217">
        <f ca="1">AB30-Z30</f>
        <v>15.353518637006218</v>
      </c>
      <c r="AE30" s="366">
        <f t="shared" ref="AE30:AE35" ca="1" si="5">RANK(Z30,CAM_WRMP_COMBSCALES_FINAL)</f>
        <v>2</v>
      </c>
      <c r="AF30" s="1002">
        <v>1</v>
      </c>
      <c r="AG30" s="359" t="str">
        <f t="shared" ref="AG30:AG36" ca="1" si="6">INDEX(WRMP_OPTIONS_FINAL,MATCH($AF30,CAM_WRMP_RANK,0))</f>
        <v>Building a new water reservoir</v>
      </c>
      <c r="AH30" s="983">
        <f t="shared" ref="AH30:AH36" ca="1" si="7">INDEX(CAM_WRMP_COMBSCALES_FINAL,MATCH($AG30,WRMP_OPTIONS_FINAL,0))</f>
        <v>18.507867301480708</v>
      </c>
      <c r="AI30" s="983">
        <f t="shared" ref="AI30:AI36" ca="1" si="8">INDEX(CAM_WRMP_COMBSCALES_FINAL_LD,MATCH($AG30,WRMP_OPTIONS_FINAL,0))</f>
        <v>3.0847072321848579</v>
      </c>
      <c r="AJ30" s="983">
        <f t="shared" ref="AJ30:AJ36" ca="1" si="9">INDEX(CAM_WRMP_COMBSCALES_FINAL_HD,MATCH($AG30,WRMP_OPTIONS_FINAL,0))</f>
        <v>3.0847072321848579</v>
      </c>
      <c r="AK30" s="978"/>
    </row>
    <row r="31" spans="1:37" x14ac:dyDescent="0.25">
      <c r="A31" s="64" t="s">
        <v>232</v>
      </c>
      <c r="B31" s="15"/>
      <c r="C31" s="31"/>
      <c r="D31" s="15"/>
      <c r="E31" s="15"/>
      <c r="F31" s="15"/>
      <c r="G31" s="31"/>
      <c r="H31" s="322"/>
      <c r="I31" s="15"/>
      <c r="J31" s="15"/>
      <c r="K31" s="15"/>
      <c r="L31" s="15"/>
      <c r="M31" s="1001"/>
      <c r="N31" s="1002">
        <v>2</v>
      </c>
      <c r="O31" s="359" t="str">
        <f t="shared" ca="1" si="0"/>
        <v>Reducing leakage</v>
      </c>
      <c r="P31" s="217">
        <f t="shared" ca="1" si="1"/>
        <v>16.200936698442366</v>
      </c>
      <c r="Q31" s="217">
        <f t="shared" ref="Q31:Q37" ca="1" si="10">INDEX(SSW_WRMP_COMBSCALES_FINAL_LD,MATCH($O31,WRMP_OPTIONS_FINAL,0))</f>
        <v>12.098253818396222</v>
      </c>
      <c r="R31" s="217">
        <f t="shared" ca="1" si="2"/>
        <v>17.650155734905407</v>
      </c>
      <c r="S31" s="331"/>
      <c r="T31" s="221">
        <f>VLOOKUP($A31,$A$15:$X$23,COLUMN(T$28),0)*T$25/100</f>
        <v>20.124973418611876</v>
      </c>
      <c r="U31" s="221">
        <f ca="1">VLOOKUP($A31,$A$15:$X$23,COLUMN(U$28),0)*U$25/100</f>
        <v>14.374880862012846</v>
      </c>
      <c r="V31" s="124"/>
      <c r="Y31" s="221">
        <f t="shared" ref="Y31:Y35" ca="1" si="11">SUMPRODUCT($T$13:$X$13,T31:X31)/SUMIF($T31:$X31,"&gt;0",$T$13:$X$13)</f>
        <v>17.249927140312362</v>
      </c>
      <c r="Z31" s="323">
        <f t="shared" ref="Z31:Z35" ca="1" si="12">Y31*100/$Y$39</f>
        <v>18.507867301480708</v>
      </c>
      <c r="AA31" s="217">
        <f t="shared" ca="1" si="3"/>
        <v>15.42316006929585</v>
      </c>
      <c r="AB31" s="217">
        <f t="shared" ca="1" si="4"/>
        <v>21.592574533665566</v>
      </c>
      <c r="AC31" s="217">
        <f t="shared" ref="AC31:AC34" ca="1" si="13">Z31-AA31</f>
        <v>3.0847072321848579</v>
      </c>
      <c r="AD31" s="217">
        <f t="shared" ref="AD31:AD35" ca="1" si="14">AB31-Z31</f>
        <v>3.0847072321848579</v>
      </c>
      <c r="AE31" s="366">
        <f t="shared" ca="1" si="5"/>
        <v>1</v>
      </c>
      <c r="AF31" s="1002">
        <v>2</v>
      </c>
      <c r="AG31" s="359" t="str">
        <f t="shared" ca="1" si="6"/>
        <v>Reducing leakage</v>
      </c>
      <c r="AH31" s="983">
        <f t="shared" ca="1" si="7"/>
        <v>18.15997734669606</v>
      </c>
      <c r="AI31" s="983">
        <f t="shared" ca="1" si="8"/>
        <v>16.830339311595566</v>
      </c>
      <c r="AJ31" s="983">
        <f t="shared" ca="1" si="9"/>
        <v>15.353518637006218</v>
      </c>
      <c r="AK31" s="978"/>
    </row>
    <row r="32" spans="1:37" x14ac:dyDescent="0.25">
      <c r="A32" s="9" t="s">
        <v>246</v>
      </c>
      <c r="B32" s="221">
        <f t="shared" ref="B32:B38" si="15">VLOOKUP($A32,$A$15:$X$23,COLUMN(B$28),0)*B$25/100</f>
        <v>17.908221461788191</v>
      </c>
      <c r="C32" s="10"/>
      <c r="D32" s="221"/>
      <c r="E32" s="221">
        <f ca="1">VLOOKUP($A32,$A$15:$X$23,COLUMN(E$28),0)*E$25/100</f>
        <v>34.694975649407077</v>
      </c>
      <c r="F32" s="221">
        <f ca="1">VLOOKUP($A32,$A$15:$X$23,COLUMN(F$28),0)*F$25/100</f>
        <v>8.0244891103751019</v>
      </c>
      <c r="G32" s="221">
        <f t="shared" ref="G32:G38" ca="1" si="16">SUMPRODUCT($B$13:$F$13,B32:F32)/SUMIF($B32:$F32,"&gt;0",$B$13:$F$13)</f>
        <v>19.63397692083964</v>
      </c>
      <c r="H32" s="323">
        <f t="shared" ref="H32:H38" ca="1" si="17">G32*100/$G$39</f>
        <v>22.166749942658207</v>
      </c>
      <c r="I32" s="217">
        <f ca="1">MIN(B32:F32)*100/$G39</f>
        <v>9.0596441181750098</v>
      </c>
      <c r="J32" s="217">
        <f ca="1">MAX(B32:F32)*100/$G39</f>
        <v>39.170609835581551</v>
      </c>
      <c r="K32" s="217">
        <f t="shared" ref="K32:K38" ca="1" si="18">H32-I32</f>
        <v>13.107105824483197</v>
      </c>
      <c r="L32" s="217">
        <f t="shared" ref="L32:L38" ca="1" si="19">J32-H32</f>
        <v>17.003859892923344</v>
      </c>
      <c r="M32" s="366">
        <f t="shared" ref="M32:M38" ca="1" si="20">RANK(H32,SSW_WRMP_COMBSCALES_FINAL)</f>
        <v>1</v>
      </c>
      <c r="N32" s="1002">
        <v>3</v>
      </c>
      <c r="O32" s="359" t="str">
        <f t="shared" ca="1" si="0"/>
        <v>Trading with another water company</v>
      </c>
      <c r="P32" s="217">
        <f t="shared" ca="1" si="1"/>
        <v>12.468734882226347</v>
      </c>
      <c r="Q32" s="217">
        <f t="shared" ca="1" si="10"/>
        <v>3.7921466117477838</v>
      </c>
      <c r="R32" s="217">
        <f t="shared" ca="1" si="2"/>
        <v>3.7921466117477891</v>
      </c>
      <c r="S32" s="978"/>
      <c r="T32" s="221">
        <f>VLOOKUP($A32,$A$15:$X$23,COLUMN(T$28),0)*T$25/100</f>
        <v>13.470629610848478</v>
      </c>
      <c r="U32" s="221"/>
      <c r="V32" s="124"/>
      <c r="W32" s="221">
        <f ca="1">VLOOKUP($A32,$A$15:$X$23,COLUMN(W$28),0)*W$25/100</f>
        <v>19.218653194352381</v>
      </c>
      <c r="X32" s="221">
        <f ca="1">VLOOKUP($A32,$A$15:$X$23,COLUMN(X$28),0)*X$25/100</f>
        <v>7.9593496450049761</v>
      </c>
      <c r="Y32" s="221">
        <f t="shared" ca="1" si="11"/>
        <v>13.529815515263579</v>
      </c>
      <c r="Z32" s="323">
        <f t="shared" ca="1" si="12"/>
        <v>14.516468860023183</v>
      </c>
      <c r="AA32" s="217">
        <f t="shared" ca="1" si="3"/>
        <v>8.539780245887588</v>
      </c>
      <c r="AB32" s="217">
        <f t="shared" ca="1" si="4"/>
        <v>20.620161473204416</v>
      </c>
      <c r="AC32" s="217">
        <f t="shared" ca="1" si="13"/>
        <v>5.976688614135595</v>
      </c>
      <c r="AD32" s="217">
        <f t="shared" ca="1" si="14"/>
        <v>6.1036926131812326</v>
      </c>
      <c r="AE32" s="366">
        <f t="shared" ca="1" si="5"/>
        <v>4</v>
      </c>
      <c r="AF32" s="1002">
        <v>3</v>
      </c>
      <c r="AG32" s="359" t="str">
        <f t="shared" ca="1" si="6"/>
        <v>Installing smart meters</v>
      </c>
      <c r="AH32" s="983">
        <f t="shared" ca="1" si="7"/>
        <v>16.481352502169464</v>
      </c>
      <c r="AI32" s="983">
        <f t="shared" ca="1" si="8"/>
        <v>11.201169588267909</v>
      </c>
      <c r="AJ32" s="983">
        <f t="shared" ca="1" si="9"/>
        <v>8.9023071330170396</v>
      </c>
      <c r="AK32" s="978"/>
    </row>
    <row r="33" spans="1:37" x14ac:dyDescent="0.25">
      <c r="A33" s="9" t="s">
        <v>129</v>
      </c>
      <c r="B33" s="221">
        <f t="shared" si="15"/>
        <v>14.402913047293147</v>
      </c>
      <c r="C33" s="221">
        <f t="shared" ref="C33:C38" ca="1" si="21">VLOOKUP($A33,$A$15:$X$23,COLUMN(C$28),0)*C$25/100</f>
        <v>7.6852012268324055</v>
      </c>
      <c r="D33" s="221"/>
      <c r="E33" s="221"/>
      <c r="F33" s="221"/>
      <c r="G33" s="221">
        <f t="shared" ca="1" si="16"/>
        <v>11.044057137062776</v>
      </c>
      <c r="H33" s="323">
        <f t="shared" ca="1" si="17"/>
        <v>12.468734882226347</v>
      </c>
      <c r="I33" s="217">
        <f ca="1">MIN(B33:F33)*100/$G39</f>
        <v>8.6765882704785628</v>
      </c>
      <c r="J33" s="217">
        <f ca="1">MAX(B33:F33)*100/$G39</f>
        <v>16.260881493974136</v>
      </c>
      <c r="K33" s="217">
        <f t="shared" ca="1" si="18"/>
        <v>3.7921466117477838</v>
      </c>
      <c r="L33" s="217">
        <f t="shared" ca="1" si="19"/>
        <v>3.7921466117477891</v>
      </c>
      <c r="M33" s="366">
        <f t="shared" ca="1" si="20"/>
        <v>3</v>
      </c>
      <c r="N33" s="1002">
        <v>4</v>
      </c>
      <c r="O33" s="359" t="str">
        <f t="shared" ca="1" si="0"/>
        <v>Reducing customer water usage/More education campaigns</v>
      </c>
      <c r="P33" s="217">
        <f t="shared" ca="1" si="1"/>
        <v>11.245798729195428</v>
      </c>
      <c r="Q33" s="217">
        <f t="shared" ca="1" si="10"/>
        <v>7.3666438840830768</v>
      </c>
      <c r="R33" s="217">
        <f t="shared" ca="1" si="2"/>
        <v>3.2914194203062728</v>
      </c>
      <c r="S33" s="978"/>
      <c r="T33" s="221">
        <f>VLOOKUP($A33,$A$15:$X$23,COLUMN(T$28),0)*T$25/100</f>
        <v>12.129291871820456</v>
      </c>
      <c r="U33" s="221">
        <f ca="1">VLOOKUP($A33,$A$15:$X$23,COLUMN(U$28),0)*U$25/100</f>
        <v>10.33544292927688</v>
      </c>
      <c r="V33" s="124"/>
      <c r="Y33" s="221">
        <f t="shared" ca="1" si="11"/>
        <v>11.232367400548668</v>
      </c>
      <c r="Z33" s="323">
        <f t="shared" ca="1" si="12"/>
        <v>12.051480776693191</v>
      </c>
      <c r="AA33" s="217">
        <f t="shared" ca="1" si="3"/>
        <v>11.089148648637117</v>
      </c>
      <c r="AB33" s="217">
        <f t="shared" ca="1" si="4"/>
        <v>13.013812904749262</v>
      </c>
      <c r="AC33" s="217">
        <f t="shared" ca="1" si="13"/>
        <v>0.96233212805607415</v>
      </c>
      <c r="AD33" s="217">
        <f t="shared" ca="1" si="14"/>
        <v>0.9623321280560706</v>
      </c>
      <c r="AE33" s="366">
        <f t="shared" ca="1" si="5"/>
        <v>6</v>
      </c>
      <c r="AF33" s="1002">
        <v>4</v>
      </c>
      <c r="AG33" s="359" t="str">
        <f t="shared" ca="1" si="6"/>
        <v>Increased metering (not smart meters)</v>
      </c>
      <c r="AH33" s="983">
        <f t="shared" ca="1" si="7"/>
        <v>14.516468860023183</v>
      </c>
      <c r="AI33" s="983">
        <f t="shared" ca="1" si="8"/>
        <v>5.976688614135595</v>
      </c>
      <c r="AJ33" s="983">
        <f t="shared" ca="1" si="9"/>
        <v>6.1036926131812326</v>
      </c>
      <c r="AK33" s="978"/>
    </row>
    <row r="34" spans="1:37" x14ac:dyDescent="0.25">
      <c r="A34" s="9" t="s">
        <v>230</v>
      </c>
      <c r="B34" s="221">
        <f t="shared" si="15"/>
        <v>12.876195490041239</v>
      </c>
      <c r="C34" s="221">
        <f t="shared" ca="1" si="21"/>
        <v>10.307977414978641</v>
      </c>
      <c r="D34" s="221">
        <f ca="1">VLOOKUP($A34,$A$15:$X$23,COLUMN(D$28),0)*D$25/100</f>
        <v>3.4359225821701931</v>
      </c>
      <c r="E34" s="221"/>
      <c r="F34" s="221"/>
      <c r="G34" s="221">
        <f t="shared" ca="1" si="16"/>
        <v>9.960853678441989</v>
      </c>
      <c r="H34" s="323">
        <f t="shared" ca="1" si="17"/>
        <v>11.245798729195428</v>
      </c>
      <c r="I34" s="217">
        <f ca="1">MIN(B34:F34)*100/$G39</f>
        <v>3.8791548451123514</v>
      </c>
      <c r="J34" s="217">
        <f ca="1">MAX(B34:F34)*100/$G39</f>
        <v>14.537218149501701</v>
      </c>
      <c r="K34" s="217">
        <f t="shared" ca="1" si="18"/>
        <v>7.3666438840830768</v>
      </c>
      <c r="L34" s="217">
        <f t="shared" ca="1" si="19"/>
        <v>3.2914194203062728</v>
      </c>
      <c r="M34" s="366">
        <f t="shared" ca="1" si="20"/>
        <v>4</v>
      </c>
      <c r="N34" s="1002">
        <v>5</v>
      </c>
      <c r="O34" s="359" t="str">
        <f t="shared" ca="1" si="0"/>
        <v>Installing smart meters</v>
      </c>
      <c r="P34" s="217">
        <f t="shared" ca="1" si="1"/>
        <v>10.862531219709062</v>
      </c>
      <c r="Q34" s="217">
        <f t="shared" ca="1" si="10"/>
        <v>7.0184678014634088</v>
      </c>
      <c r="R34" s="217">
        <f t="shared" ca="1" si="2"/>
        <v>8.0630941803747547</v>
      </c>
      <c r="S34" s="978"/>
      <c r="T34" s="221">
        <f>VLOOKUP($A34,$A$15:$X$23,COLUMN(T$28),0)*T$25/100</f>
        <v>14.288518476109465</v>
      </c>
      <c r="U34" s="221">
        <f ca="1">VLOOKUP($A34,$A$15:$X$23,COLUMN(U$28),0)*U$25/100</f>
        <v>13.08341053889769</v>
      </c>
      <c r="V34" s="221">
        <f ca="1">VLOOKUP($A34,$A$15:$X$23,COLUMN(V$28),0)*V$25/100</f>
        <v>6.8968988302639174</v>
      </c>
      <c r="Y34" s="221">
        <f t="shared" ca="1" si="11"/>
        <v>12.328151372055645</v>
      </c>
      <c r="Z34" s="323">
        <f t="shared" ca="1" si="12"/>
        <v>13.227174109817229</v>
      </c>
      <c r="AA34" s="217">
        <f t="shared" ca="1" si="3"/>
        <v>7.3998508691643474</v>
      </c>
      <c r="AB34" s="217">
        <f t="shared" ca="1" si="4"/>
        <v>15.330499760348591</v>
      </c>
      <c r="AC34" s="217">
        <f t="shared" ca="1" si="13"/>
        <v>5.8273232406528814</v>
      </c>
      <c r="AD34" s="217">
        <f t="shared" ca="1" si="14"/>
        <v>2.103325650531362</v>
      </c>
      <c r="AE34" s="366">
        <f t="shared" ca="1" si="5"/>
        <v>5</v>
      </c>
      <c r="AF34" s="1002">
        <v>5</v>
      </c>
      <c r="AG34" s="359" t="str">
        <f t="shared" ca="1" si="6"/>
        <v>Reducing customer water usage/More education campaigns</v>
      </c>
      <c r="AH34" s="983">
        <f t="shared" ca="1" si="7"/>
        <v>13.227174109817229</v>
      </c>
      <c r="AI34" s="983">
        <f t="shared" ca="1" si="8"/>
        <v>5.8273232406528814</v>
      </c>
      <c r="AJ34" s="983">
        <f t="shared" ca="1" si="9"/>
        <v>2.103325650531362</v>
      </c>
      <c r="AK34" s="978"/>
    </row>
    <row r="35" spans="1:37" x14ac:dyDescent="0.25">
      <c r="A35" s="9" t="s">
        <v>74</v>
      </c>
      <c r="B35" s="221">
        <f t="shared" si="15"/>
        <v>16.763183293849259</v>
      </c>
      <c r="C35" s="221">
        <f t="shared" ca="1" si="21"/>
        <v>9.9859011438279932</v>
      </c>
      <c r="D35" s="221">
        <f ca="1">VLOOKUP($A35,$A$15:$X$23,COLUMN(D$28),0)*D$25/100</f>
        <v>6.7206674497733641</v>
      </c>
      <c r="E35" s="221">
        <f ca="1">VLOOKUP($A35,$A$15:$X$23,COLUMN(E$28),0)*E$25/100</f>
        <v>3.4048407020117413</v>
      </c>
      <c r="F35" s="221">
        <f ca="1">VLOOKUP($A35,$A$15:$X$23,COLUMN(F$28),0)*F$25/100</f>
        <v>3.7259711959704078</v>
      </c>
      <c r="G35" s="221">
        <f t="shared" ca="1" si="16"/>
        <v>9.6213783175871459</v>
      </c>
      <c r="H35" s="323">
        <f t="shared" ca="1" si="17"/>
        <v>10.862531219709062</v>
      </c>
      <c r="I35" s="217">
        <f ca="1">MIN(B35:F35)*100/$G39</f>
        <v>3.8440634182456539</v>
      </c>
      <c r="J35" s="217">
        <f ca="1">MAX(B35:F35)*100/$G39</f>
        <v>18.925625400083817</v>
      </c>
      <c r="K35" s="217">
        <f t="shared" ca="1" si="18"/>
        <v>7.0184678014634088</v>
      </c>
      <c r="L35" s="217">
        <f t="shared" ca="1" si="19"/>
        <v>8.0630941803747547</v>
      </c>
      <c r="M35" s="366">
        <f t="shared" ca="1" si="20"/>
        <v>5</v>
      </c>
      <c r="N35" s="1002">
        <v>6</v>
      </c>
      <c r="O35" s="359" t="str">
        <f t="shared" ca="1" si="0"/>
        <v>Increasing the amount of water in the Blithfield reservoir</v>
      </c>
      <c r="P35" s="217">
        <f t="shared" ca="1" si="1"/>
        <v>10.38435552595482</v>
      </c>
      <c r="Q35" s="217">
        <f t="shared" ca="1" si="10"/>
        <v>0.20334976571606411</v>
      </c>
      <c r="R35" s="217">
        <f t="shared" ca="1" si="2"/>
        <v>0.20334976571606234</v>
      </c>
      <c r="S35" s="978"/>
      <c r="T35" s="221">
        <f>VLOOKUP($A35,$A$15:$X$23,COLUMN(T$28),0)*T$25/100</f>
        <v>21.049187836356797</v>
      </c>
      <c r="U35" s="221">
        <f ca="1">VLOOKUP($A35,$A$15:$X$23,COLUMN(U$28),0)*U$25/100</f>
        <v>14.618823599171531</v>
      </c>
      <c r="V35" s="221">
        <f ca="1">VLOOKUP($A35,$A$15:$X$23,COLUMN(V$28),0)*V$25/100</f>
        <v>7.6123419101690057</v>
      </c>
      <c r="W35" s="221">
        <f ca="1">VLOOKUP($A35,$A$15:$X$23,COLUMN(W$28),0)*W$25/100</f>
        <v>23.658386573066895</v>
      </c>
      <c r="X35" s="221">
        <f ca="1">VLOOKUP($A35,$A$15:$X$23,COLUMN(X$28),0)*X$25/100</f>
        <v>4.9213001729830328</v>
      </c>
      <c r="Y35" s="221">
        <f t="shared" ca="1" si="11"/>
        <v>15.361150218182228</v>
      </c>
      <c r="Z35" s="323">
        <f t="shared" ca="1" si="12"/>
        <v>16.481352502169464</v>
      </c>
      <c r="AA35" s="217">
        <f t="shared" ca="1" si="3"/>
        <v>5.2801829139015544</v>
      </c>
      <c r="AB35" s="217">
        <f t="shared" ca="1" si="4"/>
        <v>25.383659635186504</v>
      </c>
      <c r="AC35" s="217">
        <f ca="1">Z35-AA35</f>
        <v>11.201169588267909</v>
      </c>
      <c r="AD35" s="217">
        <f t="shared" ca="1" si="14"/>
        <v>8.9023071330170396</v>
      </c>
      <c r="AE35" s="366">
        <f t="shared" ca="1" si="5"/>
        <v>3</v>
      </c>
      <c r="AF35" s="1002">
        <v>6</v>
      </c>
      <c r="AG35" s="359" t="str">
        <f t="shared" ca="1" si="6"/>
        <v>Trading with another water company</v>
      </c>
      <c r="AH35" s="983">
        <f t="shared" ca="1" si="7"/>
        <v>12.051480776693191</v>
      </c>
      <c r="AI35" s="983">
        <f t="shared" ca="1" si="8"/>
        <v>0.96233212805607415</v>
      </c>
      <c r="AJ35" s="983">
        <f t="shared" ca="1" si="9"/>
        <v>0.9623321280560706</v>
      </c>
      <c r="AK35" s="978"/>
    </row>
    <row r="36" spans="1:37" x14ac:dyDescent="0.25">
      <c r="A36" s="9" t="s">
        <v>233</v>
      </c>
      <c r="B36" s="221">
        <f t="shared" si="15"/>
        <v>9.017723962446258</v>
      </c>
      <c r="C36" s="221">
        <f t="shared" ca="1" si="21"/>
        <v>9.3779540022360752</v>
      </c>
      <c r="D36" s="221"/>
      <c r="E36" s="221"/>
      <c r="F36" s="221"/>
      <c r="G36" s="221">
        <f t="shared" ca="1" si="16"/>
        <v>9.1978389823411675</v>
      </c>
      <c r="H36" s="323">
        <f t="shared" ca="1" si="17"/>
        <v>10.38435552595482</v>
      </c>
      <c r="I36" s="217">
        <f ca="1">MIN(B36:F36)*100/$G39</f>
        <v>10.181005760238756</v>
      </c>
      <c r="J36" s="217">
        <f ca="1">MAX(B36:F36)*100/$G39</f>
        <v>10.587705291670883</v>
      </c>
      <c r="K36" s="217">
        <f t="shared" ca="1" si="18"/>
        <v>0.20334976571606411</v>
      </c>
      <c r="L36" s="217">
        <f t="shared" ca="1" si="19"/>
        <v>0.20334976571606234</v>
      </c>
      <c r="M36" s="366">
        <f t="shared" ca="1" si="20"/>
        <v>6</v>
      </c>
      <c r="N36" s="1003">
        <v>7</v>
      </c>
      <c r="O36" s="359" t="str">
        <f t="shared" ca="1" si="0"/>
        <v>Taking water from the River Trent</v>
      </c>
      <c r="P36" s="217">
        <f t="shared" ca="1" si="1"/>
        <v>9.5026239913896067</v>
      </c>
      <c r="Q36" s="217">
        <f t="shared" ca="1" si="10"/>
        <v>0.10382732069166778</v>
      </c>
      <c r="R36" s="217">
        <f t="shared" ca="1" si="2"/>
        <v>0.10382732069167311</v>
      </c>
      <c r="S36" s="978"/>
      <c r="T36" s="31"/>
      <c r="U36" s="31"/>
      <c r="V36" s="317"/>
      <c r="W36" s="15"/>
      <c r="X36" s="15"/>
      <c r="Y36" s="31"/>
      <c r="Z36" s="322"/>
      <c r="AE36" s="366"/>
      <c r="AF36" s="1003">
        <v>7</v>
      </c>
      <c r="AG36" s="359" t="str">
        <f t="shared" ca="1" si="6"/>
        <v xml:space="preserve">Taking more groundwater </v>
      </c>
      <c r="AH36" s="983">
        <f t="shared" ca="1" si="7"/>
        <v>7.0556791031201538</v>
      </c>
      <c r="AI36" s="983">
        <f t="shared" ca="1" si="8"/>
        <v>2.38018381272878</v>
      </c>
      <c r="AJ36" s="983">
        <f t="shared" ca="1" si="9"/>
        <v>2.3801838127287791</v>
      </c>
    </row>
    <row r="37" spans="1:37" x14ac:dyDescent="0.25">
      <c r="A37" s="9" t="s">
        <v>72</v>
      </c>
      <c r="B37" s="221">
        <f t="shared" si="15"/>
        <v>8.5088181100289564</v>
      </c>
      <c r="C37" s="221">
        <f t="shared" ca="1" si="21"/>
        <v>8.3248900895941844</v>
      </c>
      <c r="D37" s="221"/>
      <c r="E37" s="221"/>
      <c r="F37" s="221"/>
      <c r="G37" s="221">
        <f t="shared" ca="1" si="16"/>
        <v>8.4168540998115695</v>
      </c>
      <c r="H37" s="323">
        <f t="shared" ca="1" si="17"/>
        <v>9.5026239913896067</v>
      </c>
      <c r="I37" s="217">
        <f ca="1">MIN(B37:F37)*100/$G39</f>
        <v>9.3987966706979389</v>
      </c>
      <c r="J37" s="217">
        <f ca="1">MAX(B37:F37)*100/$G39</f>
        <v>9.6064513120812798</v>
      </c>
      <c r="K37" s="217">
        <f t="shared" ca="1" si="18"/>
        <v>0.10382732069166778</v>
      </c>
      <c r="L37" s="217">
        <f t="shared" ca="1" si="19"/>
        <v>0.10382732069167311</v>
      </c>
      <c r="M37" s="366">
        <f t="shared" ca="1" si="20"/>
        <v>7</v>
      </c>
      <c r="N37" s="1002">
        <v>8</v>
      </c>
      <c r="O37" s="359" t="str">
        <f t="shared" ca="1" si="0"/>
        <v xml:space="preserve">Taking more groundwater </v>
      </c>
      <c r="P37" s="217">
        <f t="shared" ca="1" si="1"/>
        <v>7.1682690104241447</v>
      </c>
      <c r="Q37" s="217">
        <f t="shared" ca="1" si="10"/>
        <v>1.1998370274089663</v>
      </c>
      <c r="R37" s="217">
        <f t="shared" ca="1" si="2"/>
        <v>1.1998370274089671</v>
      </c>
      <c r="S37" s="978"/>
      <c r="T37" s="31"/>
      <c r="U37" s="31"/>
      <c r="V37" s="317"/>
      <c r="W37" s="15"/>
      <c r="X37" s="15"/>
      <c r="Y37" s="31"/>
      <c r="Z37" s="322"/>
      <c r="AE37" s="366"/>
    </row>
    <row r="38" spans="1:37" x14ac:dyDescent="0.25">
      <c r="A38" s="9" t="s">
        <v>73</v>
      </c>
      <c r="B38" s="221">
        <f t="shared" si="15"/>
        <v>5.2864788979556021</v>
      </c>
      <c r="C38" s="221">
        <f t="shared" ca="1" si="21"/>
        <v>7.4119661765017222</v>
      </c>
      <c r="D38" s="221"/>
      <c r="E38" s="221"/>
      <c r="F38" s="221"/>
      <c r="G38" s="221">
        <f t="shared" ca="1" si="16"/>
        <v>6.3492225372286626</v>
      </c>
      <c r="H38" s="323">
        <f t="shared" ca="1" si="17"/>
        <v>7.1682690104241447</v>
      </c>
      <c r="I38" s="217">
        <f ca="1">MIN(B38:F38)*100/$G39</f>
        <v>5.9684319830151784</v>
      </c>
      <c r="J38" s="217">
        <f ca="1">MAX(B38:F38)*100/$G39</f>
        <v>8.3681060378331118</v>
      </c>
      <c r="K38" s="217">
        <f t="shared" ca="1" si="18"/>
        <v>1.1998370274089663</v>
      </c>
      <c r="L38" s="217">
        <f t="shared" ca="1" si="19"/>
        <v>1.1998370274089671</v>
      </c>
      <c r="M38" s="366">
        <f t="shared" ca="1" si="20"/>
        <v>8</v>
      </c>
      <c r="N38" s="217"/>
      <c r="O38" s="217"/>
      <c r="P38" s="217"/>
      <c r="Q38" s="217"/>
      <c r="R38" s="217"/>
      <c r="S38" s="978"/>
      <c r="T38" s="221">
        <f>VLOOKUP($A38,$A$15:$X$23,COLUMN(T$28),0)*T$25/100</f>
        <v>4.3577118741105458</v>
      </c>
      <c r="U38" s="221">
        <f ca="1">VLOOKUP($A38,$A$15:$X$23,COLUMN(U$28),0)*U$25/100</f>
        <v>8.7945274921734136</v>
      </c>
      <c r="V38" s="124"/>
      <c r="Y38" s="221">
        <f ca="1">SUMPRODUCT($T$13:$X$13,T38:X38)/SUMIF($T38:$X38,"&gt;0",$T$13:$X$13)</f>
        <v>6.5761196831419797</v>
      </c>
      <c r="Z38" s="323">
        <f ca="1">Y38*100/$Y$39</f>
        <v>7.0556791031201538</v>
      </c>
      <c r="AA38" s="217">
        <f ca="1">MIN(T38:X38)*100/$Y$39</f>
        <v>4.6754952903913738</v>
      </c>
      <c r="AB38" s="217">
        <f ca="1">MAX(T38:X38)*100/$Y$39</f>
        <v>9.4358629158489329</v>
      </c>
      <c r="AC38" s="217">
        <f ca="1">Z38-AA38</f>
        <v>2.38018381272878</v>
      </c>
      <c r="AD38" s="217">
        <f ca="1">AB38-Z38</f>
        <v>2.3801838127287791</v>
      </c>
      <c r="AE38" s="366">
        <f ca="1">RANK(Z38,CAM_WRMP_COMBSCALES_FINAL)</f>
        <v>7</v>
      </c>
      <c r="AF38" s="217"/>
      <c r="AG38" s="217"/>
      <c r="AH38" s="217"/>
      <c r="AI38" s="217"/>
      <c r="AJ38" s="217"/>
      <c r="AK38" s="978"/>
    </row>
    <row r="39" spans="1:37" ht="15.75" thickBot="1" x14ac:dyDescent="0.3">
      <c r="A39" s="9"/>
      <c r="B39" s="313">
        <f t="shared" ref="B39:H39" si="22">SUM(B30:B38)</f>
        <v>100</v>
      </c>
      <c r="C39" s="35">
        <f t="shared" ca="1" si="22"/>
        <v>65.455396767403784</v>
      </c>
      <c r="D39" s="35">
        <f t="shared" ca="1" si="22"/>
        <v>21.792191294615392</v>
      </c>
      <c r="E39" s="35">
        <f t="shared" ca="1" si="22"/>
        <v>41.733726653503012</v>
      </c>
      <c r="F39" s="35">
        <f t="shared" ca="1" si="22"/>
        <v>41.73372665350302</v>
      </c>
      <c r="G39" s="313">
        <f t="shared" ca="1" si="22"/>
        <v>88.57399921788064</v>
      </c>
      <c r="H39" s="324">
        <f t="shared" ca="1" si="22"/>
        <v>99.999999999999986</v>
      </c>
      <c r="O39" s="217"/>
      <c r="P39" s="217"/>
      <c r="S39" s="331"/>
      <c r="T39" s="35">
        <f t="shared" ref="T39:Z39" si="23">SUM(T30:T38)</f>
        <v>99.999999999999986</v>
      </c>
      <c r="U39" s="35">
        <f t="shared" ca="1" si="23"/>
        <v>77.863348462194978</v>
      </c>
      <c r="V39" s="35">
        <f t="shared" ca="1" si="23"/>
        <v>38.04219777529687</v>
      </c>
      <c r="W39" s="35">
        <f t="shared" ca="1" si="23"/>
        <v>44.116305148722105</v>
      </c>
      <c r="X39" s="35">
        <f t="shared" ca="1" si="23"/>
        <v>44.116305148722105</v>
      </c>
      <c r="Y39" s="35">
        <f ca="1">SUM(Y30:Y38)</f>
        <v>93.203213851291736</v>
      </c>
      <c r="Z39" s="324">
        <f t="shared" ca="1" si="23"/>
        <v>100</v>
      </c>
    </row>
    <row r="40" spans="1:37" x14ac:dyDescent="0.25">
      <c r="A40" s="9"/>
      <c r="B40" s="9"/>
      <c r="C40" s="9"/>
      <c r="D40" s="9"/>
      <c r="E40" s="9"/>
      <c r="F40" s="9"/>
      <c r="G40" s="9"/>
      <c r="H40" s="9" t="s">
        <v>1057</v>
      </c>
      <c r="O40" s="217"/>
      <c r="P40" s="217"/>
      <c r="S40" s="331"/>
      <c r="T40" s="9"/>
      <c r="U40" s="9"/>
      <c r="V40" s="9"/>
      <c r="W40" s="9"/>
      <c r="X40" s="9"/>
      <c r="Y40" s="9"/>
      <c r="Z40" s="9" t="s">
        <v>1057</v>
      </c>
    </row>
    <row r="41" spans="1:37" x14ac:dyDescent="0.25">
      <c r="A41" s="9"/>
      <c r="B41" s="9"/>
      <c r="C41" s="9"/>
      <c r="D41" s="9"/>
      <c r="E41" s="9"/>
      <c r="F41" s="9"/>
      <c r="G41" s="9"/>
      <c r="H41" s="9"/>
      <c r="S41" s="331"/>
      <c r="T41" s="9"/>
      <c r="U41" s="9"/>
      <c r="V41" s="9"/>
      <c r="W41" s="9"/>
      <c r="X41" s="9"/>
      <c r="Y41" s="9"/>
      <c r="Z41" s="9"/>
    </row>
    <row r="42" spans="1:37" ht="19.5" x14ac:dyDescent="0.3">
      <c r="A42" s="112"/>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965"/>
    </row>
    <row r="43" spans="1:37" ht="19.5" x14ac:dyDescent="0.3">
      <c r="A43" s="112" t="s">
        <v>440</v>
      </c>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965"/>
    </row>
    <row r="44" spans="1:37" x14ac:dyDescent="0.25">
      <c r="A44" s="331"/>
      <c r="B44" s="331"/>
      <c r="C44" s="331"/>
      <c r="D44" s="331"/>
      <c r="E44" s="331"/>
      <c r="F44" s="331"/>
      <c r="G44" s="331"/>
      <c r="H44" s="331"/>
      <c r="I44" s="331"/>
      <c r="J44" s="331"/>
      <c r="K44" s="331"/>
      <c r="L44" s="331"/>
      <c r="M44" s="331"/>
      <c r="N44" s="331"/>
      <c r="O44" s="331"/>
      <c r="P44" s="331"/>
      <c r="Q44" s="331"/>
      <c r="R44" s="331"/>
      <c r="S44" s="331"/>
      <c r="T44" s="331"/>
      <c r="U44" s="331"/>
      <c r="V44" s="331"/>
      <c r="W44" s="331"/>
      <c r="X44" s="331"/>
      <c r="Y44" s="331"/>
      <c r="Z44" s="331"/>
      <c r="AA44" s="331"/>
      <c r="AB44" s="331"/>
      <c r="AC44" s="331"/>
      <c r="AD44" s="331"/>
      <c r="AE44" s="331"/>
      <c r="AF44" s="331"/>
      <c r="AG44" s="331"/>
      <c r="AH44" s="331"/>
      <c r="AI44" s="331"/>
      <c r="AJ44" s="331"/>
    </row>
    <row r="45" spans="1:37" x14ac:dyDescent="0.25">
      <c r="A45" s="544" t="s">
        <v>478</v>
      </c>
      <c r="B45" s="331"/>
      <c r="C45" s="331"/>
      <c r="D45" s="331"/>
      <c r="E45" s="331"/>
      <c r="F45" s="331"/>
      <c r="G45" s="331"/>
      <c r="H45" s="331"/>
      <c r="I45" s="331"/>
      <c r="J45" s="331"/>
      <c r="K45" s="331"/>
      <c r="L45" s="331"/>
      <c r="M45" s="331"/>
      <c r="N45" s="331"/>
      <c r="O45" s="331"/>
      <c r="P45" s="331"/>
      <c r="Q45" s="331"/>
      <c r="R45" s="331"/>
      <c r="S45" s="331"/>
      <c r="T45" s="331"/>
      <c r="U45" s="331"/>
      <c r="V45" s="331"/>
      <c r="W45" s="331"/>
      <c r="X45" s="331"/>
      <c r="Y45" s="331"/>
      <c r="Z45" s="331"/>
      <c r="AA45" s="331"/>
      <c r="AB45" s="331"/>
      <c r="AC45" s="331"/>
      <c r="AD45" s="331"/>
      <c r="AE45" s="331"/>
      <c r="AF45" s="331"/>
      <c r="AG45" s="331"/>
      <c r="AH45" s="331"/>
      <c r="AI45" s="331"/>
      <c r="AJ45" s="331"/>
    </row>
    <row r="46" spans="1:37" x14ac:dyDescent="0.25">
      <c r="A46" s="331"/>
      <c r="B46" s="331"/>
      <c r="C46" s="331"/>
      <c r="D46" s="331"/>
      <c r="E46" s="331"/>
      <c r="F46" s="331"/>
      <c r="G46" s="331"/>
      <c r="H46" s="331"/>
      <c r="I46" s="331"/>
      <c r="J46" s="331"/>
      <c r="K46" s="331"/>
      <c r="L46" s="331"/>
      <c r="M46" s="331"/>
      <c r="N46" s="331"/>
      <c r="O46" s="331"/>
      <c r="P46" s="331"/>
      <c r="Q46" s="331"/>
      <c r="R46" s="331"/>
      <c r="S46" s="331"/>
      <c r="T46" s="331"/>
      <c r="U46" s="331"/>
      <c r="V46" s="331"/>
      <c r="W46" s="331"/>
      <c r="X46" s="331"/>
      <c r="Y46" s="331"/>
      <c r="Z46" s="331"/>
      <c r="AA46" s="331"/>
      <c r="AB46" s="331"/>
      <c r="AC46" s="331"/>
      <c r="AD46" s="331"/>
      <c r="AE46" s="331"/>
      <c r="AF46" s="331"/>
      <c r="AG46" s="331"/>
      <c r="AH46" s="331"/>
      <c r="AI46" s="331"/>
      <c r="AJ46" s="331"/>
    </row>
    <row r="47" spans="1:37" x14ac:dyDescent="0.25">
      <c r="A47" s="331"/>
      <c r="B47" s="331"/>
      <c r="C47" s="331"/>
      <c r="D47" s="331"/>
      <c r="E47" s="331"/>
      <c r="F47" s="331"/>
      <c r="G47" s="331"/>
      <c r="H47" s="331"/>
      <c r="I47" s="331"/>
      <c r="J47" s="331"/>
      <c r="K47" s="331"/>
      <c r="L47" s="331"/>
      <c r="M47" s="331"/>
      <c r="N47" s="331"/>
      <c r="O47" s="331"/>
      <c r="P47" s="331"/>
      <c r="Q47" s="331"/>
      <c r="R47" s="331"/>
      <c r="S47" s="331"/>
      <c r="T47" s="331"/>
      <c r="U47" s="331"/>
      <c r="V47" s="331"/>
      <c r="W47" s="331"/>
      <c r="X47" s="331"/>
      <c r="Y47" s="331"/>
      <c r="Z47" s="331"/>
      <c r="AA47" s="331"/>
      <c r="AB47" s="331"/>
      <c r="AC47" s="331"/>
      <c r="AD47" s="331"/>
      <c r="AE47" s="331"/>
      <c r="AF47" s="331"/>
      <c r="AG47" s="331"/>
      <c r="AH47" s="331"/>
      <c r="AI47" s="331"/>
      <c r="AJ47" s="331"/>
    </row>
    <row r="48" spans="1:37" x14ac:dyDescent="0.25">
      <c r="A48" s="331"/>
      <c r="B48" s="331"/>
      <c r="C48" s="331"/>
      <c r="D48" s="331"/>
      <c r="E48" s="331"/>
      <c r="F48" s="331"/>
      <c r="G48" s="331"/>
      <c r="H48" s="331"/>
      <c r="I48" s="331"/>
      <c r="J48" s="331"/>
      <c r="K48" s="331"/>
      <c r="L48" s="331"/>
      <c r="M48" s="331"/>
      <c r="N48" s="331"/>
      <c r="O48" s="331"/>
      <c r="P48" s="331"/>
      <c r="Q48" s="331"/>
      <c r="R48" s="331"/>
      <c r="S48" s="331"/>
      <c r="T48" s="331"/>
      <c r="U48" s="331"/>
      <c r="V48" s="331"/>
      <c r="W48" s="331"/>
      <c r="X48" s="331"/>
      <c r="Y48" s="331"/>
      <c r="Z48" s="331"/>
      <c r="AA48" s="331"/>
      <c r="AB48" s="331"/>
      <c r="AC48" s="331"/>
      <c r="AD48" s="331"/>
      <c r="AE48" s="331"/>
      <c r="AF48" s="331"/>
      <c r="AG48" s="331"/>
      <c r="AH48" s="331"/>
      <c r="AI48" s="331"/>
      <c r="AJ48" s="331"/>
    </row>
    <row r="49" spans="1:36" x14ac:dyDescent="0.25">
      <c r="A49" s="331"/>
      <c r="B49" s="331"/>
      <c r="C49" s="331"/>
      <c r="D49" s="331"/>
      <c r="E49" s="331"/>
      <c r="F49" s="331"/>
      <c r="G49" s="331"/>
      <c r="H49" s="331"/>
      <c r="I49" s="331"/>
      <c r="J49" s="331"/>
      <c r="K49" s="331"/>
      <c r="L49" s="331"/>
      <c r="M49" s="331"/>
      <c r="N49" s="331"/>
      <c r="O49" s="331"/>
      <c r="P49" s="331"/>
      <c r="Q49" s="331"/>
      <c r="R49" s="331"/>
      <c r="S49" s="331"/>
      <c r="T49" s="331"/>
      <c r="U49" s="331"/>
      <c r="V49" s="331"/>
      <c r="W49" s="331"/>
      <c r="X49" s="331"/>
      <c r="Y49" s="331"/>
      <c r="Z49" s="331"/>
      <c r="AA49" s="331"/>
      <c r="AB49" s="331"/>
      <c r="AC49" s="331"/>
      <c r="AD49" s="331"/>
      <c r="AE49" s="331"/>
      <c r="AF49" s="331"/>
      <c r="AG49" s="331"/>
      <c r="AH49" s="331"/>
      <c r="AI49" s="331"/>
      <c r="AJ49" s="331"/>
    </row>
    <row r="50" spans="1:36" x14ac:dyDescent="0.25">
      <c r="A50" s="331"/>
      <c r="B50" s="331"/>
      <c r="C50" s="331"/>
      <c r="D50" s="331"/>
      <c r="E50" s="331"/>
      <c r="F50" s="331"/>
      <c r="G50" s="331"/>
      <c r="H50" s="331"/>
      <c r="I50" s="331"/>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c r="AH50" s="331"/>
      <c r="AI50" s="331"/>
      <c r="AJ50" s="331"/>
    </row>
    <row r="51" spans="1:36" x14ac:dyDescent="0.25">
      <c r="A51" s="331"/>
      <c r="B51" s="331"/>
      <c r="C51" s="331"/>
      <c r="D51" s="331"/>
      <c r="E51" s="331"/>
      <c r="F51" s="331"/>
      <c r="G51" s="331"/>
      <c r="H51" s="331"/>
      <c r="I51" s="331"/>
      <c r="J51" s="331"/>
      <c r="K51" s="331"/>
      <c r="L51" s="331"/>
      <c r="M51" s="331"/>
      <c r="N51" s="331"/>
      <c r="O51" s="331"/>
      <c r="P51" s="331"/>
      <c r="Q51" s="331"/>
      <c r="R51" s="331"/>
      <c r="S51" s="331"/>
      <c r="T51" s="331"/>
      <c r="U51" s="331"/>
      <c r="V51" s="331"/>
      <c r="W51" s="331"/>
      <c r="X51" s="331"/>
      <c r="Y51" s="331"/>
      <c r="Z51" s="331"/>
      <c r="AA51" s="331"/>
      <c r="AB51" s="331"/>
      <c r="AC51" s="331"/>
      <c r="AD51" s="331"/>
      <c r="AE51" s="331"/>
      <c r="AF51" s="331"/>
      <c r="AG51" s="331"/>
      <c r="AH51" s="331"/>
      <c r="AI51" s="331"/>
      <c r="AJ51" s="331"/>
    </row>
    <row r="52" spans="1:36" x14ac:dyDescent="0.25">
      <c r="A52" s="331"/>
      <c r="B52" s="331"/>
      <c r="C52" s="331"/>
      <c r="D52" s="331"/>
      <c r="E52" s="331"/>
      <c r="F52" s="331"/>
      <c r="G52" s="331"/>
      <c r="H52" s="331"/>
      <c r="I52" s="331"/>
      <c r="J52" s="331"/>
      <c r="K52" s="331"/>
      <c r="L52" s="331"/>
      <c r="M52" s="331"/>
      <c r="N52" s="331"/>
      <c r="O52" s="331"/>
      <c r="P52" s="331"/>
      <c r="Q52" s="331"/>
      <c r="R52" s="331"/>
      <c r="S52" s="331"/>
      <c r="T52" s="331"/>
      <c r="U52" s="331"/>
      <c r="V52" s="331"/>
      <c r="W52" s="331"/>
      <c r="X52" s="331"/>
      <c r="Y52" s="331"/>
      <c r="Z52" s="331"/>
      <c r="AA52" s="331"/>
      <c r="AB52" s="331"/>
      <c r="AC52" s="331"/>
      <c r="AD52" s="331"/>
      <c r="AE52" s="331"/>
      <c r="AF52" s="331"/>
      <c r="AG52" s="331"/>
      <c r="AH52" s="331"/>
      <c r="AI52" s="331"/>
      <c r="AJ52" s="331"/>
    </row>
    <row r="53" spans="1:36" x14ac:dyDescent="0.25">
      <c r="A53" s="331"/>
      <c r="B53" s="331"/>
      <c r="C53" s="331"/>
      <c r="D53" s="331"/>
      <c r="E53" s="331"/>
      <c r="F53" s="331"/>
      <c r="G53" s="331"/>
      <c r="H53" s="331"/>
      <c r="I53" s="331"/>
      <c r="J53" s="331"/>
      <c r="K53" s="331"/>
      <c r="L53" s="331"/>
      <c r="M53" s="331"/>
      <c r="N53" s="331"/>
      <c r="O53" s="331"/>
      <c r="P53" s="331"/>
      <c r="Q53" s="331"/>
      <c r="R53" s="331"/>
      <c r="S53" s="331"/>
      <c r="T53" s="331"/>
      <c r="U53" s="331"/>
      <c r="V53" s="331"/>
      <c r="W53" s="331"/>
      <c r="X53" s="331"/>
      <c r="Y53" s="331"/>
      <c r="Z53" s="331"/>
      <c r="AA53" s="331"/>
      <c r="AB53" s="331"/>
      <c r="AC53" s="331"/>
      <c r="AD53" s="331"/>
      <c r="AE53" s="331"/>
      <c r="AF53" s="331"/>
      <c r="AG53" s="331"/>
      <c r="AH53" s="331"/>
      <c r="AI53" s="331"/>
      <c r="AJ53" s="331"/>
    </row>
    <row r="54" spans="1:36" x14ac:dyDescent="0.25">
      <c r="A54" s="331"/>
      <c r="B54" s="331"/>
      <c r="C54" s="331"/>
      <c r="D54" s="331"/>
      <c r="E54" s="331"/>
      <c r="F54" s="331"/>
      <c r="G54" s="331"/>
      <c r="H54" s="331"/>
      <c r="I54" s="331"/>
      <c r="J54" s="331"/>
      <c r="K54" s="331"/>
      <c r="L54" s="331"/>
      <c r="M54" s="331"/>
      <c r="N54" s="331"/>
      <c r="O54" s="331"/>
      <c r="P54" s="331"/>
      <c r="Q54" s="331"/>
      <c r="R54" s="331"/>
      <c r="S54" s="331"/>
      <c r="T54" s="331"/>
      <c r="U54" s="331"/>
      <c r="V54" s="331"/>
      <c r="W54" s="331"/>
      <c r="X54" s="331"/>
      <c r="Y54" s="331"/>
      <c r="Z54" s="331"/>
      <c r="AA54" s="331"/>
      <c r="AB54" s="331"/>
      <c r="AC54" s="331"/>
      <c r="AD54" s="331"/>
      <c r="AE54" s="331"/>
      <c r="AF54" s="331"/>
      <c r="AG54" s="331"/>
      <c r="AH54" s="331"/>
      <c r="AI54" s="331"/>
      <c r="AJ54" s="331"/>
    </row>
    <row r="55" spans="1:36" x14ac:dyDescent="0.25">
      <c r="A55" s="331"/>
      <c r="B55" s="331"/>
      <c r="C55" s="331"/>
      <c r="D55" s="331"/>
      <c r="E55" s="331"/>
      <c r="F55" s="331"/>
      <c r="G55" s="331"/>
      <c r="H55" s="331"/>
      <c r="I55" s="331"/>
      <c r="J55" s="331"/>
      <c r="K55" s="331"/>
      <c r="L55" s="331"/>
      <c r="M55" s="331"/>
      <c r="N55" s="331"/>
      <c r="O55" s="331"/>
      <c r="P55" s="331"/>
      <c r="Q55" s="331"/>
      <c r="R55" s="331"/>
      <c r="S55" s="331"/>
      <c r="T55" s="331"/>
      <c r="U55" s="331"/>
      <c r="V55" s="331"/>
      <c r="W55" s="331"/>
      <c r="X55" s="331"/>
      <c r="Y55" s="331"/>
      <c r="Z55" s="331"/>
      <c r="AA55" s="331"/>
      <c r="AB55" s="331"/>
      <c r="AC55" s="331"/>
      <c r="AD55" s="331"/>
      <c r="AE55" s="331"/>
      <c r="AF55" s="331"/>
      <c r="AG55" s="331"/>
      <c r="AH55" s="331"/>
      <c r="AI55" s="331"/>
      <c r="AJ55" s="331"/>
    </row>
    <row r="56" spans="1:36" x14ac:dyDescent="0.25">
      <c r="A56" s="331"/>
      <c r="B56" s="331"/>
      <c r="C56" s="331"/>
      <c r="D56" s="331"/>
      <c r="E56" s="331"/>
      <c r="F56" s="331"/>
      <c r="G56" s="331"/>
      <c r="H56" s="331"/>
      <c r="I56" s="331"/>
      <c r="J56" s="331"/>
      <c r="K56" s="331"/>
      <c r="L56" s="331"/>
      <c r="M56" s="331"/>
      <c r="N56" s="331"/>
      <c r="O56" s="331"/>
      <c r="P56" s="331"/>
      <c r="Q56" s="331"/>
      <c r="R56" s="331"/>
      <c r="S56" s="331"/>
      <c r="T56" s="331"/>
      <c r="U56" s="331"/>
      <c r="V56" s="331"/>
      <c r="W56" s="331"/>
      <c r="X56" s="331"/>
      <c r="Y56" s="331"/>
      <c r="Z56" s="331"/>
      <c r="AA56" s="331"/>
      <c r="AB56" s="331"/>
      <c r="AC56" s="331"/>
      <c r="AD56" s="331"/>
      <c r="AE56" s="331"/>
      <c r="AF56" s="331"/>
      <c r="AG56" s="331"/>
      <c r="AH56" s="331"/>
      <c r="AI56" s="331"/>
      <c r="AJ56" s="331"/>
    </row>
    <row r="57" spans="1:36" x14ac:dyDescent="0.25">
      <c r="A57" s="331"/>
      <c r="B57" s="331"/>
      <c r="C57" s="331"/>
      <c r="D57" s="331"/>
      <c r="E57" s="331"/>
      <c r="F57" s="331"/>
      <c r="G57" s="331"/>
      <c r="H57" s="331"/>
      <c r="I57" s="331"/>
      <c r="J57" s="331"/>
      <c r="K57" s="331"/>
      <c r="L57" s="331"/>
      <c r="M57" s="331"/>
      <c r="N57" s="331"/>
      <c r="O57" s="331"/>
      <c r="P57" s="331"/>
      <c r="Q57" s="331"/>
      <c r="R57" s="331"/>
      <c r="S57" s="331"/>
      <c r="T57" s="331"/>
      <c r="U57" s="331"/>
      <c r="V57" s="331"/>
      <c r="W57" s="331"/>
      <c r="X57" s="331"/>
      <c r="Y57" s="331"/>
      <c r="Z57" s="331"/>
      <c r="AA57" s="331"/>
      <c r="AB57" s="331"/>
      <c r="AC57" s="331"/>
      <c r="AD57" s="331"/>
      <c r="AE57" s="331"/>
      <c r="AF57" s="331"/>
      <c r="AG57" s="331"/>
      <c r="AH57" s="331"/>
      <c r="AI57" s="331"/>
      <c r="AJ57" s="331"/>
    </row>
    <row r="58" spans="1:36" x14ac:dyDescent="0.25">
      <c r="A58" s="331"/>
      <c r="B58" s="331"/>
      <c r="C58" s="331"/>
      <c r="D58" s="331"/>
      <c r="E58" s="331"/>
      <c r="F58" s="331"/>
      <c r="G58" s="331"/>
      <c r="H58" s="331"/>
      <c r="I58" s="331"/>
      <c r="J58" s="331"/>
      <c r="K58" s="331"/>
      <c r="L58" s="331"/>
      <c r="M58" s="331"/>
      <c r="N58" s="331"/>
      <c r="O58" s="331"/>
      <c r="P58" s="331"/>
      <c r="Q58" s="331"/>
      <c r="R58" s="331"/>
      <c r="S58" s="331"/>
      <c r="T58" s="331"/>
      <c r="U58" s="331"/>
      <c r="V58" s="331"/>
      <c r="W58" s="331"/>
      <c r="X58" s="331"/>
      <c r="Y58" s="331"/>
      <c r="Z58" s="331"/>
      <c r="AA58" s="331"/>
      <c r="AB58" s="331"/>
      <c r="AC58" s="331"/>
      <c r="AD58" s="331"/>
      <c r="AE58" s="331"/>
      <c r="AF58" s="331"/>
      <c r="AG58" s="331"/>
      <c r="AH58" s="331"/>
      <c r="AI58" s="331"/>
      <c r="AJ58" s="331"/>
    </row>
    <row r="59" spans="1:36" x14ac:dyDescent="0.25">
      <c r="A59" s="331"/>
      <c r="B59" s="331"/>
      <c r="C59" s="331"/>
      <c r="D59" s="331"/>
      <c r="E59" s="331"/>
      <c r="F59" s="331"/>
      <c r="G59" s="331"/>
      <c r="H59" s="331"/>
      <c r="I59" s="331"/>
      <c r="J59" s="331"/>
      <c r="K59" s="331"/>
      <c r="L59" s="331"/>
      <c r="M59" s="331"/>
      <c r="N59" s="331"/>
      <c r="O59" s="331"/>
      <c r="P59" s="331"/>
      <c r="Q59" s="331"/>
      <c r="R59" s="331"/>
      <c r="S59" s="331"/>
      <c r="T59" s="331"/>
      <c r="U59" s="331"/>
      <c r="V59" s="331"/>
      <c r="W59" s="331"/>
      <c r="X59" s="331"/>
      <c r="Y59" s="331"/>
      <c r="Z59" s="331"/>
      <c r="AA59" s="331"/>
      <c r="AB59" s="331"/>
      <c r="AC59" s="331"/>
      <c r="AD59" s="331"/>
      <c r="AE59" s="331"/>
      <c r="AF59" s="331"/>
      <c r="AG59" s="331"/>
      <c r="AH59" s="331"/>
      <c r="AI59" s="331"/>
      <c r="AJ59" s="331"/>
    </row>
    <row r="60" spans="1:36" x14ac:dyDescent="0.25">
      <c r="A60" s="331"/>
      <c r="B60" s="331"/>
      <c r="C60" s="331"/>
      <c r="D60" s="331"/>
      <c r="E60" s="331"/>
      <c r="F60" s="331"/>
      <c r="G60" s="331"/>
      <c r="H60" s="331"/>
      <c r="I60" s="331"/>
      <c r="J60" s="331"/>
      <c r="K60" s="331"/>
      <c r="L60" s="331"/>
      <c r="M60" s="331"/>
      <c r="N60" s="331"/>
      <c r="O60" s="331"/>
      <c r="P60" s="331"/>
      <c r="Q60" s="331"/>
      <c r="R60" s="331"/>
      <c r="S60" s="331"/>
      <c r="T60" s="331"/>
      <c r="U60" s="331"/>
      <c r="V60" s="331"/>
      <c r="W60" s="331"/>
      <c r="X60" s="331"/>
      <c r="Y60" s="331"/>
      <c r="Z60" s="331"/>
      <c r="AA60" s="331"/>
      <c r="AB60" s="331"/>
      <c r="AC60" s="331"/>
      <c r="AD60" s="331"/>
      <c r="AE60" s="331"/>
      <c r="AF60" s="331"/>
      <c r="AG60" s="331"/>
      <c r="AH60" s="331"/>
      <c r="AI60" s="331"/>
      <c r="AJ60" s="331"/>
    </row>
    <row r="61" spans="1:36" x14ac:dyDescent="0.25">
      <c r="A61" s="331"/>
      <c r="B61" s="331"/>
      <c r="C61" s="331"/>
      <c r="D61" s="331"/>
      <c r="E61" s="331"/>
      <c r="F61" s="331"/>
      <c r="G61" s="331"/>
      <c r="H61" s="331"/>
      <c r="I61" s="331"/>
      <c r="J61" s="331"/>
      <c r="K61" s="331"/>
      <c r="L61" s="331"/>
      <c r="M61" s="331"/>
      <c r="N61" s="331"/>
      <c r="O61" s="331"/>
      <c r="P61" s="331"/>
      <c r="Q61" s="331"/>
      <c r="R61" s="331"/>
      <c r="S61" s="331"/>
      <c r="T61" s="331"/>
      <c r="U61" s="331"/>
      <c r="V61" s="331"/>
      <c r="W61" s="331"/>
      <c r="X61" s="331"/>
      <c r="Y61" s="331"/>
      <c r="Z61" s="331"/>
      <c r="AA61" s="331"/>
      <c r="AB61" s="331"/>
      <c r="AC61" s="331"/>
      <c r="AD61" s="331"/>
      <c r="AE61" s="331"/>
      <c r="AF61" s="331"/>
      <c r="AG61" s="331"/>
      <c r="AH61" s="331"/>
      <c r="AI61" s="331"/>
      <c r="AJ61" s="331"/>
    </row>
    <row r="62" spans="1:36" x14ac:dyDescent="0.25">
      <c r="A62" s="331"/>
      <c r="B62" s="331"/>
      <c r="C62" s="331"/>
      <c r="D62" s="331"/>
      <c r="E62" s="331"/>
      <c r="F62" s="331"/>
      <c r="G62" s="331"/>
      <c r="H62" s="331"/>
      <c r="I62" s="331"/>
      <c r="J62" s="331"/>
      <c r="K62" s="331"/>
      <c r="L62" s="331"/>
      <c r="M62" s="331"/>
      <c r="N62" s="331"/>
      <c r="O62" s="331"/>
      <c r="P62" s="331"/>
      <c r="Q62" s="331"/>
      <c r="R62" s="331"/>
      <c r="S62" s="331"/>
      <c r="T62" s="331"/>
      <c r="U62" s="331"/>
      <c r="V62" s="331"/>
      <c r="W62" s="331"/>
      <c r="X62" s="331"/>
      <c r="Y62" s="331"/>
      <c r="Z62" s="331"/>
      <c r="AA62" s="331"/>
      <c r="AB62" s="331"/>
      <c r="AC62" s="331"/>
      <c r="AD62" s="331"/>
      <c r="AE62" s="331"/>
      <c r="AF62" s="331"/>
      <c r="AG62" s="331"/>
      <c r="AH62" s="331"/>
      <c r="AI62" s="331"/>
      <c r="AJ62" s="331"/>
    </row>
    <row r="63" spans="1:36" x14ac:dyDescent="0.25">
      <c r="A63" s="331"/>
      <c r="B63" s="331"/>
      <c r="C63" s="331"/>
      <c r="D63" s="331"/>
      <c r="E63" s="331"/>
      <c r="F63" s="331"/>
      <c r="G63" s="331"/>
      <c r="H63" s="331"/>
      <c r="I63" s="331"/>
      <c r="J63" s="331"/>
      <c r="K63" s="331"/>
      <c r="L63" s="331"/>
      <c r="M63" s="331"/>
      <c r="N63" s="331"/>
      <c r="O63" s="331"/>
      <c r="P63" s="331"/>
      <c r="Q63" s="331"/>
      <c r="R63" s="331"/>
      <c r="S63" s="331"/>
      <c r="T63" s="331"/>
      <c r="U63" s="331"/>
      <c r="V63" s="331"/>
      <c r="W63" s="331"/>
      <c r="X63" s="331"/>
      <c r="Y63" s="331"/>
      <c r="Z63" s="331"/>
      <c r="AA63" s="331"/>
      <c r="AB63" s="331"/>
      <c r="AC63" s="331"/>
      <c r="AD63" s="331"/>
      <c r="AE63" s="331"/>
      <c r="AF63" s="331"/>
      <c r="AG63" s="331"/>
      <c r="AH63" s="331"/>
      <c r="AI63" s="331"/>
      <c r="AJ63" s="331"/>
    </row>
    <row r="64" spans="1:36" x14ac:dyDescent="0.25">
      <c r="A64" s="331"/>
      <c r="B64" s="331"/>
      <c r="C64" s="331"/>
      <c r="D64" s="331"/>
      <c r="E64" s="331"/>
      <c r="F64" s="331"/>
      <c r="G64" s="331"/>
      <c r="H64" s="331"/>
      <c r="I64" s="331"/>
      <c r="J64" s="331"/>
      <c r="K64" s="331"/>
      <c r="L64" s="331"/>
      <c r="M64" s="331"/>
      <c r="N64" s="331"/>
      <c r="O64" s="331"/>
      <c r="P64" s="331"/>
      <c r="Q64" s="331"/>
      <c r="R64" s="331"/>
      <c r="S64" s="331"/>
      <c r="T64" s="331"/>
      <c r="U64" s="331"/>
      <c r="V64" s="331"/>
      <c r="W64" s="331"/>
      <c r="X64" s="331"/>
      <c r="Y64" s="331"/>
      <c r="Z64" s="331"/>
      <c r="AA64" s="331"/>
      <c r="AB64" s="331"/>
      <c r="AC64" s="331"/>
      <c r="AD64" s="331"/>
      <c r="AE64" s="331"/>
      <c r="AF64" s="331"/>
      <c r="AG64" s="331"/>
      <c r="AH64" s="331"/>
      <c r="AI64" s="331"/>
      <c r="AJ64" s="331"/>
    </row>
    <row r="65" spans="1:36" x14ac:dyDescent="0.25">
      <c r="A65" s="331"/>
      <c r="B65" s="331"/>
      <c r="C65" s="331"/>
      <c r="D65" s="331"/>
      <c r="E65" s="331"/>
      <c r="F65" s="331"/>
      <c r="G65" s="331"/>
      <c r="H65" s="331"/>
      <c r="I65" s="331"/>
      <c r="J65" s="331"/>
      <c r="K65" s="331"/>
      <c r="L65" s="331"/>
      <c r="M65" s="331"/>
      <c r="N65" s="331"/>
      <c r="O65" s="331"/>
      <c r="P65" s="331"/>
      <c r="Q65" s="331"/>
      <c r="R65" s="331"/>
      <c r="S65" s="331"/>
      <c r="T65" s="331"/>
      <c r="U65" s="331"/>
      <c r="V65" s="331"/>
      <c r="W65" s="331"/>
      <c r="X65" s="331"/>
      <c r="Y65" s="331"/>
      <c r="Z65" s="331"/>
      <c r="AA65" s="331"/>
      <c r="AB65" s="331"/>
      <c r="AC65" s="331"/>
      <c r="AD65" s="331"/>
      <c r="AE65" s="331"/>
      <c r="AF65" s="331"/>
      <c r="AG65" s="331"/>
      <c r="AH65" s="331"/>
      <c r="AI65" s="331"/>
      <c r="AJ65" s="331"/>
    </row>
    <row r="66" spans="1:36" x14ac:dyDescent="0.25">
      <c r="A66" s="331"/>
      <c r="B66" s="331"/>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331"/>
      <c r="AC66" s="331"/>
      <c r="AD66" s="331"/>
      <c r="AE66" s="331"/>
      <c r="AF66" s="331"/>
      <c r="AG66" s="331"/>
      <c r="AH66" s="331"/>
      <c r="AI66" s="331"/>
      <c r="AJ66" s="331"/>
    </row>
    <row r="67" spans="1:36" x14ac:dyDescent="0.25">
      <c r="A67" s="331"/>
      <c r="B67" s="331"/>
      <c r="C67" s="331"/>
      <c r="D67" s="331"/>
      <c r="E67" s="331"/>
      <c r="F67" s="331"/>
      <c r="G67" s="331"/>
      <c r="H67" s="331"/>
      <c r="I67" s="331"/>
      <c r="J67" s="331"/>
      <c r="K67" s="331"/>
      <c r="L67" s="331"/>
      <c r="M67" s="331"/>
      <c r="N67" s="331"/>
      <c r="O67" s="331"/>
      <c r="P67" s="331"/>
      <c r="Q67" s="331"/>
      <c r="R67" s="331"/>
      <c r="S67" s="331"/>
      <c r="T67" s="331"/>
      <c r="U67" s="331"/>
      <c r="V67" s="331"/>
      <c r="W67" s="331"/>
      <c r="X67" s="331"/>
      <c r="Y67" s="331"/>
      <c r="Z67" s="331"/>
      <c r="AA67" s="331"/>
      <c r="AB67" s="331"/>
      <c r="AC67" s="331"/>
      <c r="AD67" s="331"/>
      <c r="AE67" s="331"/>
      <c r="AF67" s="331"/>
      <c r="AG67" s="331"/>
      <c r="AH67" s="331"/>
      <c r="AI67" s="331"/>
      <c r="AJ67" s="331"/>
    </row>
    <row r="68" spans="1:36" x14ac:dyDescent="0.25">
      <c r="A68" s="331"/>
      <c r="B68" s="331"/>
      <c r="C68" s="331"/>
      <c r="D68" s="331"/>
      <c r="E68" s="331"/>
      <c r="F68" s="331"/>
      <c r="G68" s="331"/>
      <c r="H68" s="331"/>
      <c r="I68" s="331"/>
      <c r="J68" s="331"/>
      <c r="K68" s="331"/>
      <c r="L68" s="331"/>
      <c r="M68" s="331"/>
      <c r="N68" s="331"/>
      <c r="O68" s="331"/>
      <c r="P68" s="331"/>
      <c r="Q68" s="331"/>
      <c r="R68" s="331"/>
      <c r="S68" s="331"/>
      <c r="T68" s="331"/>
      <c r="U68" s="331"/>
      <c r="V68" s="331"/>
      <c r="W68" s="331"/>
      <c r="X68" s="331"/>
      <c r="Y68" s="331"/>
      <c r="Z68" s="331"/>
      <c r="AA68" s="331"/>
      <c r="AB68" s="331"/>
      <c r="AC68" s="331"/>
      <c r="AD68" s="331"/>
      <c r="AE68" s="331"/>
      <c r="AF68" s="331"/>
      <c r="AG68" s="331"/>
      <c r="AH68" s="331"/>
      <c r="AI68" s="331"/>
      <c r="AJ68" s="331"/>
    </row>
    <row r="69" spans="1:36" x14ac:dyDescent="0.25">
      <c r="A69" s="331"/>
      <c r="B69" s="331"/>
      <c r="C69" s="331"/>
      <c r="D69" s="331"/>
      <c r="E69" s="331"/>
      <c r="F69" s="331"/>
      <c r="G69" s="331"/>
      <c r="H69" s="331"/>
      <c r="I69" s="331"/>
      <c r="J69" s="331"/>
      <c r="K69" s="331"/>
      <c r="L69" s="331"/>
      <c r="M69" s="331"/>
      <c r="N69" s="331"/>
      <c r="O69" s="331"/>
      <c r="P69" s="331"/>
      <c r="Q69" s="331"/>
      <c r="R69" s="331"/>
      <c r="S69" s="331"/>
      <c r="T69" s="331"/>
      <c r="U69" s="331"/>
      <c r="V69" s="331"/>
      <c r="W69" s="331"/>
      <c r="X69" s="331"/>
      <c r="Y69" s="331"/>
      <c r="Z69" s="331"/>
      <c r="AA69" s="331"/>
      <c r="AB69" s="331"/>
      <c r="AC69" s="331"/>
      <c r="AD69" s="331"/>
      <c r="AE69" s="331"/>
      <c r="AF69" s="331"/>
      <c r="AG69" s="331"/>
      <c r="AH69" s="331"/>
      <c r="AI69" s="331"/>
      <c r="AJ69" s="331"/>
    </row>
    <row r="70" spans="1:36" x14ac:dyDescent="0.25">
      <c r="A70" s="331"/>
      <c r="B70" s="331"/>
      <c r="C70" s="331"/>
      <c r="D70" s="331"/>
      <c r="E70" s="331"/>
      <c r="F70" s="331"/>
      <c r="G70" s="331"/>
      <c r="H70" s="331"/>
      <c r="I70" s="331"/>
      <c r="J70" s="331"/>
      <c r="K70" s="331"/>
      <c r="L70" s="331"/>
      <c r="M70" s="331"/>
      <c r="N70" s="331"/>
      <c r="O70" s="331"/>
      <c r="P70" s="331"/>
      <c r="Q70" s="331"/>
      <c r="R70" s="331"/>
      <c r="S70" s="331"/>
      <c r="T70" s="331"/>
      <c r="U70" s="331"/>
      <c r="V70" s="331"/>
      <c r="W70" s="331"/>
      <c r="X70" s="331"/>
      <c r="Y70" s="331"/>
      <c r="Z70" s="331"/>
      <c r="AA70" s="331"/>
      <c r="AB70" s="331"/>
      <c r="AC70" s="331"/>
      <c r="AD70" s="331"/>
      <c r="AE70" s="331"/>
      <c r="AF70" s="331"/>
      <c r="AG70" s="331"/>
      <c r="AH70" s="331"/>
      <c r="AI70" s="331"/>
      <c r="AJ70" s="331"/>
    </row>
    <row r="71" spans="1:36" x14ac:dyDescent="0.25">
      <c r="A71" s="544" t="s">
        <v>479</v>
      </c>
      <c r="B71" s="331"/>
      <c r="C71" s="331"/>
      <c r="D71" s="331"/>
      <c r="E71" s="331"/>
      <c r="F71" s="331"/>
      <c r="G71" s="331"/>
      <c r="H71" s="331"/>
      <c r="I71" s="331"/>
      <c r="J71" s="331"/>
      <c r="K71" s="331"/>
      <c r="L71" s="331"/>
      <c r="M71" s="331"/>
      <c r="N71" s="331"/>
      <c r="O71" s="331"/>
      <c r="P71" s="331"/>
      <c r="Q71" s="331"/>
      <c r="R71" s="331"/>
      <c r="S71" s="331"/>
      <c r="T71" s="331"/>
      <c r="U71" s="331"/>
      <c r="V71" s="331"/>
      <c r="W71" s="331"/>
      <c r="X71" s="331"/>
      <c r="Y71" s="331"/>
      <c r="Z71" s="331"/>
      <c r="AA71" s="331"/>
      <c r="AB71" s="331"/>
      <c r="AC71" s="331"/>
      <c r="AD71" s="331"/>
      <c r="AE71" s="331"/>
      <c r="AF71" s="331"/>
      <c r="AG71" s="331"/>
      <c r="AH71" s="331"/>
      <c r="AI71" s="331"/>
      <c r="AJ71" s="331"/>
    </row>
    <row r="72" spans="1:36" x14ac:dyDescent="0.25">
      <c r="A72" s="331"/>
      <c r="B72" s="331"/>
      <c r="C72" s="331"/>
      <c r="D72" s="331"/>
      <c r="E72" s="331"/>
      <c r="F72" s="331"/>
      <c r="G72" s="331"/>
      <c r="H72" s="331"/>
      <c r="I72" s="331"/>
      <c r="J72" s="331"/>
      <c r="K72" s="331"/>
      <c r="L72" s="331"/>
      <c r="M72" s="331"/>
      <c r="N72" s="331"/>
      <c r="O72" s="331"/>
      <c r="P72" s="331"/>
      <c r="Q72" s="331"/>
      <c r="R72" s="331"/>
      <c r="S72" s="331"/>
      <c r="T72" s="331"/>
      <c r="U72" s="331"/>
      <c r="V72" s="331"/>
      <c r="W72" s="331"/>
      <c r="X72" s="331"/>
      <c r="Y72" s="331"/>
      <c r="Z72" s="331"/>
      <c r="AA72" s="331"/>
      <c r="AB72" s="331"/>
      <c r="AC72" s="331"/>
      <c r="AD72" s="331"/>
      <c r="AE72" s="331"/>
      <c r="AF72" s="331"/>
      <c r="AG72" s="331"/>
      <c r="AH72" s="331"/>
      <c r="AI72" s="331"/>
      <c r="AJ72" s="331"/>
    </row>
    <row r="73" spans="1:36" x14ac:dyDescent="0.25">
      <c r="A73" s="331"/>
      <c r="B73" s="331"/>
      <c r="C73" s="331"/>
      <c r="D73" s="331"/>
      <c r="E73" s="331"/>
      <c r="F73" s="331"/>
      <c r="G73" s="331"/>
      <c r="H73" s="331"/>
      <c r="I73" s="331"/>
      <c r="J73" s="331"/>
      <c r="K73" s="331"/>
      <c r="L73" s="331"/>
      <c r="M73" s="331"/>
      <c r="N73" s="331"/>
      <c r="O73" s="331"/>
      <c r="P73" s="331"/>
      <c r="Q73" s="331"/>
      <c r="R73" s="331"/>
      <c r="S73" s="331"/>
      <c r="T73" s="331"/>
      <c r="U73" s="331"/>
      <c r="V73" s="331"/>
      <c r="W73" s="331"/>
      <c r="X73" s="331"/>
      <c r="Y73" s="331"/>
      <c r="Z73" s="331"/>
      <c r="AA73" s="331"/>
      <c r="AB73" s="331"/>
      <c r="AC73" s="331"/>
      <c r="AD73" s="331"/>
      <c r="AE73" s="331"/>
      <c r="AF73" s="331"/>
      <c r="AG73" s="331"/>
      <c r="AH73" s="331"/>
      <c r="AI73" s="331"/>
      <c r="AJ73" s="331"/>
    </row>
    <row r="74" spans="1:36" x14ac:dyDescent="0.25">
      <c r="A74" s="331"/>
      <c r="B74" s="331"/>
      <c r="C74" s="331"/>
      <c r="D74" s="331"/>
      <c r="E74" s="331"/>
      <c r="F74" s="331"/>
      <c r="G74" s="331"/>
      <c r="H74" s="331"/>
      <c r="I74" s="331"/>
      <c r="J74" s="331"/>
      <c r="K74" s="331"/>
      <c r="L74" s="331"/>
      <c r="M74" s="331"/>
      <c r="N74" s="331"/>
      <c r="O74" s="331"/>
      <c r="P74" s="331"/>
      <c r="Q74" s="331"/>
      <c r="R74" s="331"/>
      <c r="S74" s="331"/>
      <c r="T74" s="331"/>
      <c r="U74" s="331"/>
      <c r="V74" s="331"/>
      <c r="W74" s="331"/>
      <c r="X74" s="331"/>
      <c r="Y74" s="331"/>
      <c r="Z74" s="331"/>
      <c r="AA74" s="331"/>
      <c r="AB74" s="331"/>
      <c r="AC74" s="331"/>
      <c r="AD74" s="331"/>
      <c r="AE74" s="331"/>
      <c r="AF74" s="331"/>
      <c r="AG74" s="331"/>
      <c r="AH74" s="331"/>
      <c r="AI74" s="331"/>
      <c r="AJ74" s="331"/>
    </row>
    <row r="75" spans="1:36" x14ac:dyDescent="0.25">
      <c r="A75" s="331"/>
      <c r="B75" s="331"/>
      <c r="C75" s="331"/>
      <c r="D75" s="331"/>
      <c r="E75" s="331"/>
      <c r="F75" s="331"/>
      <c r="G75" s="331"/>
      <c r="H75" s="331"/>
      <c r="I75" s="331"/>
      <c r="J75" s="331"/>
      <c r="K75" s="331"/>
      <c r="L75" s="331"/>
      <c r="M75" s="331"/>
      <c r="N75" s="331"/>
      <c r="O75" s="331"/>
      <c r="P75" s="331"/>
      <c r="Q75" s="331"/>
      <c r="R75" s="331"/>
      <c r="S75" s="331"/>
      <c r="T75" s="331"/>
      <c r="U75" s="331"/>
      <c r="V75" s="331"/>
      <c r="W75" s="331"/>
      <c r="X75" s="331"/>
      <c r="Y75" s="331"/>
      <c r="Z75" s="331"/>
      <c r="AA75" s="331"/>
      <c r="AB75" s="331"/>
      <c r="AC75" s="331"/>
      <c r="AD75" s="331"/>
      <c r="AE75" s="331"/>
      <c r="AF75" s="331"/>
      <c r="AG75" s="331"/>
      <c r="AH75" s="331"/>
      <c r="AI75" s="331"/>
      <c r="AJ75" s="331"/>
    </row>
    <row r="76" spans="1:36" x14ac:dyDescent="0.25">
      <c r="A76" s="331"/>
      <c r="B76" s="331"/>
      <c r="C76" s="331"/>
      <c r="D76" s="331"/>
      <c r="E76" s="331"/>
      <c r="F76" s="331"/>
      <c r="G76" s="331"/>
      <c r="H76" s="331"/>
      <c r="I76" s="331"/>
      <c r="J76" s="331"/>
      <c r="K76" s="331"/>
      <c r="L76" s="331"/>
      <c r="M76" s="331"/>
      <c r="N76" s="331"/>
      <c r="O76" s="331"/>
      <c r="P76" s="331"/>
      <c r="Q76" s="331"/>
      <c r="R76" s="331"/>
      <c r="S76" s="331"/>
      <c r="T76" s="331"/>
      <c r="U76" s="331"/>
      <c r="V76" s="331"/>
      <c r="W76" s="331"/>
      <c r="X76" s="331"/>
      <c r="Y76" s="331"/>
      <c r="Z76" s="331"/>
      <c r="AA76" s="331"/>
      <c r="AB76" s="331"/>
      <c r="AC76" s="331"/>
      <c r="AD76" s="331"/>
      <c r="AE76" s="331"/>
      <c r="AF76" s="331"/>
      <c r="AG76" s="331"/>
      <c r="AH76" s="331"/>
      <c r="AI76" s="331"/>
      <c r="AJ76" s="331"/>
    </row>
    <row r="77" spans="1:36" x14ac:dyDescent="0.25">
      <c r="A77" s="331"/>
      <c r="B77" s="331"/>
      <c r="C77" s="331"/>
      <c r="D77" s="331"/>
      <c r="E77" s="331"/>
      <c r="F77" s="331"/>
      <c r="G77" s="331"/>
      <c r="H77" s="331"/>
      <c r="I77" s="331"/>
      <c r="J77" s="331"/>
      <c r="K77" s="331"/>
      <c r="L77" s="331"/>
      <c r="M77" s="331"/>
      <c r="N77" s="331"/>
      <c r="O77" s="331"/>
      <c r="P77" s="331"/>
      <c r="Q77" s="331"/>
      <c r="R77" s="331"/>
      <c r="S77" s="331"/>
      <c r="T77" s="331"/>
      <c r="U77" s="331"/>
      <c r="V77" s="331"/>
      <c r="W77" s="331"/>
      <c r="X77" s="331"/>
      <c r="Y77" s="331"/>
      <c r="Z77" s="331"/>
      <c r="AA77" s="331"/>
      <c r="AB77" s="331"/>
      <c r="AC77" s="331"/>
      <c r="AD77" s="331"/>
      <c r="AE77" s="331"/>
      <c r="AF77" s="331"/>
      <c r="AG77" s="331"/>
      <c r="AH77" s="331"/>
      <c r="AI77" s="331"/>
      <c r="AJ77" s="331"/>
    </row>
    <row r="78" spans="1:36" x14ac:dyDescent="0.25">
      <c r="A78" s="331"/>
      <c r="B78" s="331"/>
      <c r="C78" s="331"/>
      <c r="D78" s="331"/>
      <c r="E78" s="331"/>
      <c r="F78" s="331"/>
      <c r="G78" s="331"/>
      <c r="H78" s="331"/>
      <c r="I78" s="331"/>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1"/>
      <c r="AG78" s="331"/>
      <c r="AH78" s="331"/>
      <c r="AI78" s="331"/>
      <c r="AJ78" s="331"/>
    </row>
    <row r="79" spans="1:36" x14ac:dyDescent="0.25">
      <c r="A79" s="331"/>
      <c r="B79" s="331"/>
      <c r="C79" s="331"/>
      <c r="D79" s="331"/>
      <c r="E79" s="331"/>
      <c r="F79" s="331"/>
      <c r="G79" s="331"/>
      <c r="H79" s="331"/>
      <c r="I79" s="331"/>
      <c r="J79" s="331"/>
      <c r="K79" s="331"/>
      <c r="L79" s="331"/>
      <c r="M79" s="331"/>
      <c r="N79" s="331"/>
      <c r="O79" s="331"/>
      <c r="P79" s="331"/>
      <c r="Q79" s="331"/>
      <c r="R79" s="331"/>
      <c r="S79" s="331"/>
      <c r="T79" s="331"/>
      <c r="U79" s="331"/>
      <c r="V79" s="331"/>
      <c r="W79" s="331"/>
      <c r="X79" s="331"/>
      <c r="Y79" s="331"/>
      <c r="Z79" s="331"/>
      <c r="AA79" s="331"/>
      <c r="AB79" s="331"/>
      <c r="AC79" s="331"/>
      <c r="AD79" s="331"/>
      <c r="AE79" s="331"/>
      <c r="AF79" s="331"/>
      <c r="AG79" s="331"/>
      <c r="AH79" s="331"/>
      <c r="AI79" s="331"/>
      <c r="AJ79" s="331"/>
    </row>
    <row r="80" spans="1:36" x14ac:dyDescent="0.25">
      <c r="A80" s="331"/>
      <c r="B80" s="331"/>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31"/>
      <c r="AD80" s="331"/>
      <c r="AE80" s="331"/>
      <c r="AF80" s="331"/>
      <c r="AG80" s="331"/>
      <c r="AH80" s="331"/>
      <c r="AI80" s="331"/>
      <c r="AJ80" s="331"/>
    </row>
    <row r="81" spans="1:36" x14ac:dyDescent="0.25">
      <c r="A81" s="331"/>
      <c r="B81" s="331"/>
      <c r="C81" s="331"/>
      <c r="D81" s="331"/>
      <c r="E81" s="331"/>
      <c r="F81" s="331"/>
      <c r="G81" s="331"/>
      <c r="H81" s="331"/>
      <c r="I81" s="331"/>
      <c r="J81" s="331"/>
      <c r="K81" s="331"/>
      <c r="L81" s="331"/>
      <c r="M81" s="331"/>
      <c r="N81" s="331"/>
      <c r="O81" s="331"/>
      <c r="P81" s="331"/>
      <c r="Q81" s="331"/>
      <c r="R81" s="331"/>
      <c r="S81" s="331"/>
      <c r="T81" s="331"/>
      <c r="U81" s="331"/>
      <c r="V81" s="331"/>
      <c r="W81" s="331"/>
      <c r="X81" s="331"/>
      <c r="Y81" s="331"/>
      <c r="Z81" s="331"/>
      <c r="AA81" s="331"/>
      <c r="AB81" s="331"/>
      <c r="AC81" s="331"/>
      <c r="AD81" s="331"/>
      <c r="AE81" s="331"/>
      <c r="AF81" s="331"/>
      <c r="AG81" s="331"/>
      <c r="AH81" s="331"/>
      <c r="AI81" s="331"/>
      <c r="AJ81" s="331"/>
    </row>
    <row r="82" spans="1:36" x14ac:dyDescent="0.25">
      <c r="A82" s="331"/>
      <c r="B82" s="331"/>
      <c r="C82" s="331"/>
      <c r="D82" s="331"/>
      <c r="E82" s="331"/>
      <c r="F82" s="331"/>
      <c r="G82" s="331"/>
      <c r="H82" s="331"/>
      <c r="I82" s="331"/>
      <c r="J82" s="331"/>
      <c r="K82" s="331"/>
      <c r="L82" s="331"/>
      <c r="M82" s="331"/>
      <c r="N82" s="331"/>
      <c r="O82" s="331"/>
      <c r="P82" s="331"/>
      <c r="Q82" s="331"/>
      <c r="R82" s="331"/>
      <c r="S82" s="331"/>
      <c r="T82" s="331"/>
      <c r="U82" s="331"/>
      <c r="V82" s="331"/>
      <c r="W82" s="331"/>
      <c r="X82" s="331"/>
      <c r="Y82" s="331"/>
      <c r="Z82" s="331"/>
      <c r="AA82" s="331"/>
      <c r="AB82" s="331"/>
      <c r="AC82" s="331"/>
      <c r="AD82" s="331"/>
      <c r="AE82" s="331"/>
      <c r="AF82" s="331"/>
      <c r="AG82" s="331"/>
      <c r="AH82" s="331"/>
      <c r="AI82" s="331"/>
      <c r="AJ82" s="331"/>
    </row>
    <row r="83" spans="1:36" x14ac:dyDescent="0.25">
      <c r="A83" s="331"/>
      <c r="B83" s="331"/>
      <c r="C83" s="331"/>
      <c r="D83" s="331"/>
      <c r="E83" s="331"/>
      <c r="F83" s="331"/>
      <c r="G83" s="331"/>
      <c r="H83" s="331"/>
      <c r="I83" s="331"/>
      <c r="J83" s="331"/>
      <c r="K83" s="331"/>
      <c r="L83" s="331"/>
      <c r="M83" s="331"/>
      <c r="N83" s="331"/>
      <c r="O83" s="331"/>
      <c r="P83" s="331"/>
      <c r="Q83" s="331"/>
      <c r="R83" s="331"/>
      <c r="S83" s="331"/>
      <c r="T83" s="331"/>
      <c r="U83" s="331"/>
      <c r="V83" s="331"/>
      <c r="W83" s="331"/>
      <c r="X83" s="331"/>
      <c r="Y83" s="331"/>
      <c r="Z83" s="331"/>
      <c r="AA83" s="331"/>
      <c r="AB83" s="331"/>
      <c r="AC83" s="331"/>
      <c r="AD83" s="331"/>
      <c r="AE83" s="331"/>
      <c r="AF83" s="331"/>
      <c r="AG83" s="331"/>
      <c r="AH83" s="331"/>
      <c r="AI83" s="331"/>
      <c r="AJ83" s="331"/>
    </row>
    <row r="84" spans="1:36" x14ac:dyDescent="0.25">
      <c r="A84" s="331"/>
      <c r="B84" s="331"/>
      <c r="C84" s="331"/>
      <c r="D84" s="331"/>
      <c r="E84" s="331"/>
      <c r="F84" s="331"/>
      <c r="G84" s="331"/>
      <c r="H84" s="331"/>
      <c r="I84" s="331"/>
      <c r="J84" s="331"/>
      <c r="K84" s="331"/>
      <c r="L84" s="331"/>
      <c r="M84" s="331"/>
      <c r="N84" s="331"/>
      <c r="O84" s="331"/>
      <c r="P84" s="331"/>
      <c r="Q84" s="331"/>
      <c r="R84" s="331"/>
      <c r="S84" s="331"/>
      <c r="T84" s="331"/>
      <c r="U84" s="331"/>
      <c r="V84" s="331"/>
      <c r="W84" s="331"/>
      <c r="X84" s="331"/>
      <c r="Y84" s="331"/>
      <c r="Z84" s="331"/>
      <c r="AA84" s="331"/>
      <c r="AB84" s="331"/>
      <c r="AC84" s="331"/>
      <c r="AD84" s="331"/>
      <c r="AE84" s="331"/>
      <c r="AF84" s="331"/>
      <c r="AG84" s="331"/>
      <c r="AH84" s="331"/>
      <c r="AI84" s="331"/>
      <c r="AJ84" s="331"/>
    </row>
    <row r="85" spans="1:36" x14ac:dyDescent="0.25">
      <c r="A85" s="331"/>
      <c r="B85" s="331"/>
      <c r="C85" s="331"/>
      <c r="D85" s="331"/>
      <c r="E85" s="331"/>
      <c r="F85" s="331"/>
      <c r="G85" s="331"/>
      <c r="H85" s="331"/>
      <c r="I85" s="331"/>
      <c r="J85" s="331"/>
      <c r="K85" s="331"/>
      <c r="L85" s="331"/>
      <c r="M85" s="331"/>
      <c r="N85" s="331"/>
      <c r="O85" s="331"/>
      <c r="P85" s="331"/>
      <c r="Q85" s="331"/>
      <c r="R85" s="331"/>
      <c r="S85" s="331"/>
      <c r="T85" s="331"/>
      <c r="U85" s="331"/>
      <c r="V85" s="331"/>
      <c r="W85" s="331"/>
      <c r="X85" s="331"/>
      <c r="Y85" s="331"/>
      <c r="Z85" s="331"/>
      <c r="AA85" s="331"/>
      <c r="AB85" s="331"/>
      <c r="AC85" s="331"/>
      <c r="AD85" s="331"/>
      <c r="AE85" s="331"/>
      <c r="AF85" s="331"/>
      <c r="AG85" s="331"/>
      <c r="AH85" s="331"/>
      <c r="AI85" s="331"/>
      <c r="AJ85" s="331"/>
    </row>
    <row r="86" spans="1:36" x14ac:dyDescent="0.25">
      <c r="A86" s="331"/>
      <c r="B86" s="331"/>
      <c r="C86" s="331"/>
      <c r="D86" s="331"/>
      <c r="E86" s="331"/>
      <c r="F86" s="331"/>
      <c r="G86" s="331"/>
      <c r="H86" s="331"/>
      <c r="I86" s="331"/>
      <c r="J86" s="331"/>
      <c r="K86" s="331"/>
      <c r="L86" s="331"/>
      <c r="M86" s="331"/>
      <c r="N86" s="331"/>
      <c r="O86" s="331"/>
      <c r="P86" s="331"/>
      <c r="Q86" s="331"/>
      <c r="R86" s="331"/>
      <c r="S86" s="331"/>
      <c r="T86" s="331"/>
      <c r="U86" s="331"/>
      <c r="V86" s="331"/>
      <c r="W86" s="331"/>
      <c r="X86" s="331"/>
      <c r="Y86" s="331"/>
      <c r="Z86" s="331"/>
      <c r="AA86" s="331"/>
      <c r="AB86" s="331"/>
      <c r="AC86" s="331"/>
      <c r="AD86" s="331"/>
      <c r="AE86" s="331"/>
      <c r="AF86" s="331"/>
      <c r="AG86" s="331"/>
      <c r="AH86" s="331"/>
      <c r="AI86" s="331"/>
      <c r="AJ86" s="331"/>
    </row>
    <row r="87" spans="1:36" x14ac:dyDescent="0.25">
      <c r="A87" s="331"/>
      <c r="B87" s="331"/>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331"/>
      <c r="AG87" s="331"/>
      <c r="AH87" s="331"/>
      <c r="AI87" s="331"/>
      <c r="AJ87" s="331"/>
    </row>
    <row r="88" spans="1:36" x14ac:dyDescent="0.25">
      <c r="A88" s="331"/>
      <c r="B88" s="331"/>
      <c r="C88" s="331"/>
      <c r="D88" s="331"/>
      <c r="E88" s="331"/>
      <c r="F88" s="331"/>
      <c r="G88" s="331"/>
      <c r="H88" s="331"/>
      <c r="I88" s="331"/>
      <c r="J88" s="331"/>
      <c r="K88" s="331"/>
      <c r="L88" s="331"/>
      <c r="M88" s="331"/>
      <c r="N88" s="331"/>
      <c r="O88" s="331"/>
      <c r="P88" s="331"/>
      <c r="Q88" s="331"/>
      <c r="R88" s="331"/>
      <c r="S88" s="331"/>
      <c r="T88" s="331"/>
      <c r="U88" s="331"/>
      <c r="V88" s="331"/>
      <c r="W88" s="331"/>
      <c r="X88" s="331"/>
      <c r="Y88" s="331"/>
      <c r="Z88" s="331"/>
      <c r="AA88" s="331"/>
      <c r="AB88" s="331"/>
      <c r="AC88" s="331"/>
      <c r="AD88" s="331"/>
      <c r="AE88" s="331"/>
      <c r="AF88" s="331"/>
      <c r="AG88" s="331"/>
      <c r="AH88" s="331"/>
      <c r="AI88" s="331"/>
      <c r="AJ88" s="331"/>
    </row>
    <row r="89" spans="1:36" x14ac:dyDescent="0.25">
      <c r="A89" s="331"/>
      <c r="B89" s="331"/>
      <c r="C89" s="331"/>
      <c r="D89" s="331"/>
      <c r="E89" s="331"/>
      <c r="F89" s="331"/>
      <c r="G89" s="331"/>
      <c r="H89" s="331"/>
      <c r="I89" s="331"/>
      <c r="J89" s="331"/>
      <c r="K89" s="331"/>
      <c r="L89" s="331"/>
      <c r="M89" s="331"/>
      <c r="N89" s="331"/>
      <c r="O89" s="331"/>
      <c r="P89" s="331"/>
      <c r="Q89" s="331"/>
      <c r="R89" s="331"/>
      <c r="S89" s="331"/>
      <c r="T89" s="331"/>
      <c r="U89" s="331"/>
      <c r="V89" s="331"/>
      <c r="W89" s="331"/>
      <c r="X89" s="331"/>
      <c r="Y89" s="331"/>
      <c r="Z89" s="331"/>
      <c r="AA89" s="331"/>
      <c r="AB89" s="331"/>
      <c r="AC89" s="331"/>
      <c r="AD89" s="331"/>
      <c r="AE89" s="331"/>
      <c r="AF89" s="331"/>
      <c r="AG89" s="331"/>
      <c r="AH89" s="331"/>
      <c r="AI89" s="331"/>
      <c r="AJ89" s="331"/>
    </row>
    <row r="90" spans="1:36" x14ac:dyDescent="0.25">
      <c r="A90" s="331"/>
      <c r="B90" s="331"/>
      <c r="C90" s="331"/>
      <c r="D90" s="331"/>
      <c r="E90" s="331"/>
      <c r="F90" s="331"/>
      <c r="G90" s="331"/>
      <c r="H90" s="331"/>
      <c r="I90" s="331"/>
      <c r="J90" s="331"/>
      <c r="K90" s="331"/>
      <c r="L90" s="331"/>
      <c r="M90" s="331"/>
      <c r="N90" s="331"/>
      <c r="O90" s="331"/>
      <c r="P90" s="331"/>
      <c r="Q90" s="331"/>
      <c r="R90" s="331"/>
      <c r="S90" s="331"/>
      <c r="T90" s="331"/>
      <c r="U90" s="331"/>
      <c r="V90" s="331"/>
      <c r="W90" s="331"/>
      <c r="X90" s="331"/>
      <c r="Y90" s="331"/>
      <c r="Z90" s="331"/>
      <c r="AA90" s="331"/>
      <c r="AB90" s="331"/>
      <c r="AC90" s="331"/>
      <c r="AD90" s="331"/>
      <c r="AE90" s="331"/>
      <c r="AF90" s="331"/>
      <c r="AG90" s="331"/>
      <c r="AH90" s="331"/>
      <c r="AI90" s="331"/>
      <c r="AJ90" s="331"/>
    </row>
    <row r="91" spans="1:36" x14ac:dyDescent="0.25">
      <c r="A91" s="331"/>
      <c r="B91" s="331"/>
      <c r="C91" s="331"/>
      <c r="D91" s="331"/>
      <c r="E91" s="331"/>
      <c r="F91" s="331"/>
      <c r="G91" s="331"/>
      <c r="H91" s="331"/>
      <c r="I91" s="331"/>
      <c r="J91" s="331"/>
      <c r="K91" s="331"/>
      <c r="L91" s="331"/>
      <c r="M91" s="331"/>
      <c r="N91" s="331"/>
      <c r="O91" s="331"/>
      <c r="P91" s="331"/>
      <c r="Q91" s="331"/>
      <c r="R91" s="331"/>
      <c r="S91" s="331"/>
      <c r="T91" s="331"/>
      <c r="U91" s="331"/>
      <c r="V91" s="331"/>
      <c r="W91" s="331"/>
      <c r="X91" s="331"/>
      <c r="Y91" s="331"/>
      <c r="Z91" s="331"/>
      <c r="AA91" s="331"/>
      <c r="AB91" s="331"/>
      <c r="AC91" s="331"/>
      <c r="AD91" s="331"/>
      <c r="AE91" s="331"/>
      <c r="AF91" s="331"/>
      <c r="AG91" s="331"/>
      <c r="AH91" s="331"/>
      <c r="AI91" s="331"/>
      <c r="AJ91" s="331"/>
    </row>
    <row r="92" spans="1:36" x14ac:dyDescent="0.25">
      <c r="A92" s="331"/>
      <c r="B92" s="331"/>
      <c r="C92" s="331"/>
      <c r="D92" s="331"/>
      <c r="E92" s="331"/>
      <c r="F92" s="331"/>
      <c r="G92" s="331"/>
      <c r="H92" s="331"/>
      <c r="I92" s="331"/>
      <c r="J92" s="331"/>
      <c r="K92" s="331"/>
      <c r="L92" s="331"/>
      <c r="M92" s="331"/>
      <c r="N92" s="331"/>
      <c r="O92" s="331"/>
      <c r="P92" s="331"/>
      <c r="Q92" s="331"/>
      <c r="R92" s="331"/>
      <c r="S92" s="331"/>
      <c r="T92" s="331"/>
      <c r="U92" s="331"/>
      <c r="V92" s="331"/>
      <c r="W92" s="331"/>
      <c r="X92" s="331"/>
      <c r="Y92" s="331"/>
      <c r="Z92" s="331"/>
      <c r="AA92" s="331"/>
      <c r="AB92" s="331"/>
      <c r="AC92" s="331"/>
      <c r="AD92" s="331"/>
      <c r="AE92" s="331"/>
      <c r="AF92" s="331"/>
      <c r="AG92" s="331"/>
      <c r="AH92" s="331"/>
      <c r="AI92" s="331"/>
      <c r="AJ92" s="331"/>
    </row>
    <row r="93" spans="1:36" x14ac:dyDescent="0.25">
      <c r="A93" s="331"/>
      <c r="B93" s="331"/>
      <c r="C93" s="331"/>
      <c r="D93" s="331"/>
      <c r="E93" s="331"/>
      <c r="F93" s="331"/>
      <c r="G93" s="331"/>
      <c r="H93" s="331"/>
      <c r="I93" s="331"/>
      <c r="J93" s="331"/>
      <c r="K93" s="331"/>
      <c r="L93" s="331"/>
      <c r="M93" s="331"/>
      <c r="N93" s="331"/>
      <c r="O93" s="331"/>
      <c r="P93" s="331"/>
      <c r="Q93" s="331"/>
      <c r="R93" s="331"/>
      <c r="S93" s="331"/>
      <c r="T93" s="331"/>
      <c r="U93" s="331"/>
      <c r="V93" s="331"/>
      <c r="W93" s="331"/>
      <c r="X93" s="331"/>
      <c r="Y93" s="331"/>
      <c r="Z93" s="331"/>
      <c r="AA93" s="331"/>
      <c r="AB93" s="331"/>
      <c r="AC93" s="331"/>
      <c r="AD93" s="331"/>
      <c r="AE93" s="331"/>
      <c r="AF93" s="331"/>
      <c r="AG93" s="331"/>
      <c r="AH93" s="331"/>
      <c r="AI93" s="331"/>
      <c r="AJ93" s="331"/>
    </row>
    <row r="94" spans="1:36" x14ac:dyDescent="0.25">
      <c r="A94" s="331"/>
      <c r="B94" s="331"/>
      <c r="C94" s="331"/>
      <c r="D94" s="331"/>
      <c r="E94" s="331"/>
      <c r="F94" s="331"/>
      <c r="G94" s="331"/>
      <c r="H94" s="331"/>
      <c r="I94" s="331"/>
      <c r="J94" s="331"/>
      <c r="K94" s="331"/>
      <c r="L94" s="331"/>
      <c r="M94" s="331"/>
      <c r="N94" s="331"/>
      <c r="O94" s="331"/>
      <c r="P94" s="331"/>
      <c r="Q94" s="331"/>
      <c r="R94" s="331"/>
      <c r="S94" s="331"/>
      <c r="T94" s="331"/>
      <c r="U94" s="331"/>
      <c r="V94" s="331"/>
      <c r="W94" s="331"/>
      <c r="X94" s="331"/>
      <c r="Y94" s="331"/>
      <c r="Z94" s="331"/>
      <c r="AA94" s="331"/>
      <c r="AB94" s="331"/>
      <c r="AC94" s="331"/>
      <c r="AD94" s="331"/>
      <c r="AE94" s="331"/>
      <c r="AF94" s="331"/>
      <c r="AG94" s="331"/>
      <c r="AH94" s="331"/>
      <c r="AI94" s="331"/>
      <c r="AJ94" s="331"/>
    </row>
    <row r="95" spans="1:36" x14ac:dyDescent="0.25">
      <c r="A95" s="544" t="s">
        <v>244</v>
      </c>
      <c r="B95" s="331"/>
      <c r="C95" s="331"/>
      <c r="D95" s="331"/>
      <c r="E95" s="331"/>
      <c r="F95" s="331"/>
      <c r="G95" s="331"/>
      <c r="H95" s="331"/>
      <c r="I95" s="331"/>
      <c r="J95" s="331"/>
      <c r="K95" s="331"/>
      <c r="L95" s="331"/>
      <c r="M95" s="331"/>
      <c r="N95" s="331"/>
      <c r="O95" s="331"/>
      <c r="P95" s="331"/>
      <c r="Q95" s="331"/>
      <c r="R95" s="331"/>
      <c r="S95" s="331"/>
      <c r="T95" s="331"/>
      <c r="U95" s="331"/>
      <c r="V95" s="331"/>
      <c r="W95" s="331"/>
      <c r="X95" s="331"/>
      <c r="Y95" s="331"/>
      <c r="Z95" s="331"/>
      <c r="AA95" s="331"/>
      <c r="AB95" s="331"/>
      <c r="AC95" s="331"/>
      <c r="AD95" s="331"/>
      <c r="AE95" s="331"/>
      <c r="AF95" s="331"/>
      <c r="AG95" s="331"/>
      <c r="AH95" s="331"/>
      <c r="AI95" s="331"/>
      <c r="AJ95" s="331"/>
    </row>
    <row r="96" spans="1:36" x14ac:dyDescent="0.25">
      <c r="A96" s="331"/>
      <c r="B96" s="331"/>
      <c r="C96" s="331"/>
      <c r="D96" s="331"/>
      <c r="E96" s="331"/>
      <c r="F96" s="331"/>
      <c r="G96" s="331"/>
      <c r="H96" s="331"/>
      <c r="I96" s="331"/>
      <c r="J96" s="331"/>
      <c r="K96" s="331"/>
      <c r="L96" s="331"/>
      <c r="M96" s="331"/>
      <c r="N96" s="331"/>
      <c r="O96" s="331"/>
      <c r="P96" s="331"/>
      <c r="Q96" s="331"/>
      <c r="R96" s="331"/>
      <c r="S96" s="331"/>
      <c r="T96" s="331"/>
      <c r="U96" s="331"/>
      <c r="V96" s="331"/>
      <c r="W96" s="331"/>
      <c r="X96" s="331"/>
      <c r="Y96" s="331"/>
      <c r="Z96" s="331"/>
      <c r="AA96" s="331"/>
      <c r="AB96" s="331"/>
      <c r="AC96" s="331"/>
      <c r="AD96" s="331"/>
      <c r="AE96" s="331"/>
      <c r="AF96" s="331"/>
      <c r="AG96" s="331"/>
      <c r="AH96" s="331"/>
      <c r="AI96" s="331"/>
      <c r="AJ96" s="331"/>
    </row>
    <row r="97" spans="1:36" x14ac:dyDescent="0.25">
      <c r="A97" s="331"/>
      <c r="B97" s="331"/>
      <c r="C97" s="331"/>
      <c r="D97" s="331"/>
      <c r="E97" s="331"/>
      <c r="F97" s="331"/>
      <c r="G97" s="331"/>
      <c r="H97" s="331"/>
      <c r="I97" s="331"/>
      <c r="J97" s="331"/>
      <c r="K97" s="331"/>
      <c r="L97" s="331"/>
      <c r="M97" s="331"/>
      <c r="N97" s="331"/>
      <c r="O97" s="331"/>
      <c r="P97" s="331"/>
      <c r="Q97" s="331"/>
      <c r="R97" s="331"/>
      <c r="S97" s="331"/>
      <c r="T97" s="331"/>
      <c r="U97" s="331"/>
      <c r="V97" s="331"/>
      <c r="W97" s="331"/>
      <c r="X97" s="331"/>
      <c r="Y97" s="331"/>
      <c r="Z97" s="331"/>
      <c r="AA97" s="331"/>
      <c r="AB97" s="331"/>
      <c r="AC97" s="331"/>
      <c r="AD97" s="331"/>
      <c r="AE97" s="331"/>
      <c r="AF97" s="331"/>
      <c r="AG97" s="331"/>
      <c r="AH97" s="331"/>
      <c r="AI97" s="331"/>
      <c r="AJ97" s="331"/>
    </row>
    <row r="98" spans="1:36" x14ac:dyDescent="0.25">
      <c r="A98" s="331"/>
      <c r="B98" s="331"/>
      <c r="C98" s="331"/>
      <c r="D98" s="331"/>
      <c r="E98" s="331"/>
      <c r="F98" s="331"/>
      <c r="G98" s="331"/>
      <c r="H98" s="331"/>
      <c r="I98" s="331"/>
      <c r="J98" s="331"/>
      <c r="K98" s="331"/>
      <c r="L98" s="331"/>
      <c r="M98" s="331"/>
      <c r="N98" s="331"/>
      <c r="O98" s="331"/>
      <c r="P98" s="331"/>
      <c r="Q98" s="331"/>
      <c r="R98" s="331"/>
      <c r="S98" s="331"/>
      <c r="T98" s="331"/>
      <c r="U98" s="331"/>
      <c r="V98" s="331"/>
      <c r="W98" s="331"/>
      <c r="X98" s="331"/>
      <c r="Y98" s="331"/>
      <c r="Z98" s="331"/>
      <c r="AA98" s="331"/>
      <c r="AB98" s="331"/>
      <c r="AC98" s="331"/>
      <c r="AD98" s="331"/>
      <c r="AE98" s="331"/>
      <c r="AF98" s="331"/>
      <c r="AG98" s="331"/>
      <c r="AH98" s="331"/>
      <c r="AI98" s="331"/>
      <c r="AJ98" s="331"/>
    </row>
    <row r="99" spans="1:36" x14ac:dyDescent="0.25">
      <c r="A99" s="331"/>
      <c r="B99" s="331"/>
      <c r="C99" s="331"/>
      <c r="D99" s="331"/>
      <c r="E99" s="331"/>
      <c r="F99" s="331"/>
      <c r="G99" s="331"/>
      <c r="H99" s="331"/>
      <c r="I99" s="331"/>
      <c r="J99" s="331"/>
      <c r="K99" s="331"/>
      <c r="L99" s="331"/>
      <c r="M99" s="331"/>
      <c r="N99" s="331"/>
      <c r="O99" s="331"/>
      <c r="P99" s="331"/>
      <c r="Q99" s="331"/>
      <c r="R99" s="331"/>
      <c r="S99" s="331"/>
      <c r="T99" s="331"/>
      <c r="U99" s="331"/>
      <c r="V99" s="331"/>
      <c r="W99" s="331"/>
      <c r="X99" s="331"/>
      <c r="Y99" s="331"/>
      <c r="Z99" s="331"/>
      <c r="AA99" s="331"/>
      <c r="AB99" s="331"/>
      <c r="AC99" s="331"/>
      <c r="AD99" s="331"/>
      <c r="AE99" s="331"/>
      <c r="AF99" s="331"/>
      <c r="AG99" s="331"/>
      <c r="AH99" s="331"/>
      <c r="AI99" s="331"/>
      <c r="AJ99" s="331"/>
    </row>
    <row r="100" spans="1:36" x14ac:dyDescent="0.25">
      <c r="A100" s="331"/>
      <c r="B100" s="331"/>
      <c r="C100" s="331"/>
      <c r="D100" s="331"/>
      <c r="E100" s="331"/>
      <c r="F100" s="331"/>
      <c r="G100" s="331"/>
      <c r="H100" s="331"/>
      <c r="I100" s="331"/>
      <c r="J100" s="331"/>
      <c r="K100" s="331"/>
      <c r="L100" s="331"/>
      <c r="M100" s="331"/>
      <c r="N100" s="331"/>
      <c r="O100" s="331"/>
      <c r="P100" s="331"/>
      <c r="Q100" s="331"/>
      <c r="R100" s="331"/>
      <c r="S100" s="331"/>
      <c r="T100" s="331"/>
      <c r="U100" s="331"/>
      <c r="V100" s="331"/>
      <c r="W100" s="331"/>
      <c r="X100" s="331"/>
      <c r="Y100" s="331"/>
      <c r="Z100" s="331"/>
      <c r="AA100" s="331"/>
      <c r="AB100" s="331"/>
      <c r="AC100" s="331"/>
      <c r="AD100" s="331"/>
      <c r="AE100" s="331"/>
      <c r="AF100" s="331"/>
      <c r="AG100" s="331"/>
      <c r="AH100" s="331"/>
      <c r="AI100" s="331"/>
      <c r="AJ100" s="331"/>
    </row>
    <row r="101" spans="1:36" x14ac:dyDescent="0.25">
      <c r="A101" s="331"/>
      <c r="B101" s="331"/>
      <c r="C101" s="331"/>
      <c r="D101" s="331"/>
      <c r="E101" s="331"/>
      <c r="F101" s="331"/>
      <c r="G101" s="331"/>
      <c r="H101" s="331"/>
      <c r="I101" s="331"/>
      <c r="J101" s="331"/>
      <c r="K101" s="331"/>
      <c r="L101" s="331"/>
      <c r="M101" s="331"/>
      <c r="N101" s="331"/>
      <c r="O101" s="331"/>
      <c r="P101" s="331"/>
      <c r="Q101" s="331"/>
      <c r="R101" s="331"/>
      <c r="S101" s="331"/>
      <c r="T101" s="331"/>
      <c r="U101" s="331"/>
      <c r="V101" s="331"/>
      <c r="W101" s="331"/>
      <c r="X101" s="331"/>
      <c r="Y101" s="331"/>
      <c r="Z101" s="331"/>
      <c r="AA101" s="331"/>
      <c r="AB101" s="331"/>
      <c r="AC101" s="331"/>
      <c r="AD101" s="331"/>
      <c r="AE101" s="331"/>
      <c r="AF101" s="331"/>
      <c r="AG101" s="331"/>
      <c r="AH101" s="331"/>
      <c r="AI101" s="331"/>
      <c r="AJ101" s="331"/>
    </row>
    <row r="102" spans="1:36" x14ac:dyDescent="0.25">
      <c r="A102" s="331"/>
      <c r="B102" s="331"/>
      <c r="C102" s="331"/>
      <c r="D102" s="331"/>
      <c r="E102" s="331"/>
      <c r="F102" s="331"/>
      <c r="G102" s="331"/>
      <c r="H102" s="331"/>
      <c r="I102" s="331"/>
      <c r="J102" s="331"/>
      <c r="K102" s="331"/>
      <c r="L102" s="331"/>
      <c r="M102" s="331"/>
      <c r="N102" s="331"/>
      <c r="O102" s="331"/>
      <c r="P102" s="331"/>
      <c r="Q102" s="331"/>
      <c r="R102" s="331"/>
      <c r="S102" s="331"/>
      <c r="T102" s="331"/>
      <c r="U102" s="331"/>
      <c r="V102" s="331"/>
      <c r="W102" s="331"/>
      <c r="X102" s="331"/>
      <c r="Y102" s="331"/>
      <c r="Z102" s="331"/>
      <c r="AA102" s="331"/>
      <c r="AB102" s="331"/>
      <c r="AC102" s="331"/>
      <c r="AD102" s="331"/>
      <c r="AE102" s="331"/>
      <c r="AF102" s="331"/>
      <c r="AG102" s="331"/>
      <c r="AH102" s="331"/>
      <c r="AI102" s="331"/>
      <c r="AJ102" s="331"/>
    </row>
    <row r="103" spans="1:36" x14ac:dyDescent="0.25">
      <c r="A103" s="331"/>
      <c r="B103" s="331"/>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row>
    <row r="104" spans="1:36" x14ac:dyDescent="0.25">
      <c r="A104" s="331"/>
      <c r="B104" s="331"/>
      <c r="C104" s="331"/>
      <c r="D104" s="331"/>
      <c r="E104" s="331"/>
      <c r="F104" s="331"/>
      <c r="G104" s="331"/>
      <c r="H104" s="331"/>
      <c r="I104" s="331"/>
      <c r="J104" s="331"/>
      <c r="K104" s="331"/>
      <c r="L104" s="331"/>
      <c r="M104" s="331"/>
      <c r="N104" s="331"/>
      <c r="O104" s="331"/>
      <c r="P104" s="331"/>
      <c r="Q104" s="331"/>
      <c r="R104" s="331"/>
      <c r="S104" s="331"/>
      <c r="T104" s="331"/>
      <c r="U104" s="331"/>
      <c r="V104" s="331"/>
      <c r="W104" s="331"/>
      <c r="X104" s="331"/>
      <c r="Y104" s="331"/>
      <c r="Z104" s="331"/>
      <c r="AA104" s="331"/>
      <c r="AB104" s="331"/>
      <c r="AC104" s="331"/>
      <c r="AD104" s="331"/>
      <c r="AE104" s="331"/>
      <c r="AF104" s="331"/>
      <c r="AG104" s="331"/>
      <c r="AH104" s="331"/>
      <c r="AI104" s="331"/>
      <c r="AJ104" s="331"/>
    </row>
    <row r="105" spans="1:36" x14ac:dyDescent="0.25">
      <c r="A105" s="331"/>
      <c r="B105" s="331"/>
      <c r="C105" s="331"/>
      <c r="D105" s="331"/>
      <c r="E105" s="331"/>
      <c r="F105" s="331"/>
      <c r="G105" s="331"/>
      <c r="H105" s="331"/>
      <c r="I105" s="331"/>
      <c r="J105" s="331"/>
      <c r="K105" s="331"/>
      <c r="L105" s="331"/>
      <c r="M105" s="331"/>
      <c r="N105" s="331"/>
      <c r="O105" s="331"/>
      <c r="P105" s="331"/>
      <c r="Q105" s="331"/>
      <c r="R105" s="331"/>
      <c r="S105" s="331"/>
      <c r="T105" s="331"/>
      <c r="U105" s="331"/>
      <c r="V105" s="331"/>
      <c r="W105" s="331"/>
      <c r="X105" s="331"/>
      <c r="Y105" s="331"/>
      <c r="Z105" s="331"/>
      <c r="AA105" s="331"/>
      <c r="AB105" s="331"/>
      <c r="AC105" s="331"/>
      <c r="AD105" s="331"/>
      <c r="AE105" s="331"/>
      <c r="AF105" s="331"/>
      <c r="AG105" s="331"/>
      <c r="AH105" s="331"/>
      <c r="AI105" s="331"/>
      <c r="AJ105" s="331"/>
    </row>
    <row r="106" spans="1:36" x14ac:dyDescent="0.25">
      <c r="A106" s="331"/>
      <c r="B106" s="331"/>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c r="AH106" s="331"/>
      <c r="AI106" s="331"/>
      <c r="AJ106" s="331"/>
    </row>
    <row r="107" spans="1:36" x14ac:dyDescent="0.25">
      <c r="A107" s="331"/>
      <c r="B107" s="331"/>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row>
    <row r="108" spans="1:36" x14ac:dyDescent="0.25">
      <c r="A108" s="331"/>
      <c r="B108" s="331"/>
      <c r="C108" s="331"/>
      <c r="D108" s="331"/>
      <c r="E108" s="331"/>
      <c r="F108" s="331"/>
      <c r="G108" s="331"/>
      <c r="H108" s="331"/>
      <c r="I108" s="331"/>
      <c r="J108" s="331"/>
      <c r="K108" s="331"/>
      <c r="L108" s="331"/>
      <c r="M108" s="331"/>
      <c r="N108" s="331"/>
      <c r="O108" s="331"/>
      <c r="P108" s="331"/>
      <c r="Q108" s="331"/>
      <c r="R108" s="331"/>
      <c r="S108" s="331"/>
      <c r="T108" s="331"/>
      <c r="U108" s="331"/>
      <c r="V108" s="331"/>
      <c r="W108" s="331"/>
      <c r="X108" s="331"/>
      <c r="Y108" s="331"/>
      <c r="Z108" s="331"/>
      <c r="AA108" s="331"/>
      <c r="AB108" s="331"/>
      <c r="AC108" s="331"/>
      <c r="AD108" s="331"/>
      <c r="AE108" s="331"/>
      <c r="AF108" s="331"/>
      <c r="AG108" s="331"/>
      <c r="AH108" s="331"/>
      <c r="AI108" s="331"/>
      <c r="AJ108" s="331"/>
    </row>
    <row r="109" spans="1:36" x14ac:dyDescent="0.25">
      <c r="A109" s="331"/>
      <c r="B109" s="331"/>
      <c r="C109" s="331"/>
      <c r="D109" s="331"/>
      <c r="E109" s="331"/>
      <c r="F109" s="331"/>
      <c r="G109" s="331"/>
      <c r="H109" s="331"/>
      <c r="I109" s="331"/>
      <c r="J109" s="331"/>
      <c r="K109" s="331"/>
      <c r="L109" s="331"/>
      <c r="M109" s="331"/>
      <c r="N109" s="331"/>
      <c r="O109" s="331"/>
      <c r="P109" s="331"/>
      <c r="Q109" s="331"/>
      <c r="R109" s="331"/>
      <c r="S109" s="331"/>
      <c r="T109" s="331"/>
      <c r="U109" s="331"/>
      <c r="V109" s="331"/>
      <c r="W109" s="331"/>
      <c r="X109" s="331"/>
      <c r="Y109" s="331"/>
      <c r="Z109" s="331"/>
      <c r="AA109" s="331"/>
      <c r="AB109" s="331"/>
      <c r="AC109" s="331"/>
      <c r="AD109" s="331"/>
      <c r="AE109" s="331"/>
      <c r="AF109" s="331"/>
      <c r="AG109" s="331"/>
      <c r="AH109" s="331"/>
      <c r="AI109" s="331"/>
      <c r="AJ109" s="331"/>
    </row>
    <row r="110" spans="1:36" x14ac:dyDescent="0.25">
      <c r="A110" s="331"/>
      <c r="B110" s="331"/>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row>
    <row r="111" spans="1:36" x14ac:dyDescent="0.25">
      <c r="A111" s="331"/>
      <c r="B111" s="331"/>
      <c r="C111" s="331"/>
      <c r="D111" s="331"/>
      <c r="E111" s="331"/>
      <c r="F111" s="331"/>
      <c r="G111" s="331"/>
      <c r="H111" s="331"/>
      <c r="I111" s="331"/>
      <c r="J111" s="331"/>
      <c r="K111" s="331"/>
      <c r="L111" s="331"/>
      <c r="M111" s="331"/>
      <c r="N111" s="331"/>
      <c r="O111" s="331"/>
      <c r="P111" s="331"/>
      <c r="Q111" s="331"/>
      <c r="R111" s="331"/>
      <c r="S111" s="331"/>
      <c r="T111" s="331"/>
      <c r="U111" s="331"/>
      <c r="V111" s="331"/>
      <c r="W111" s="331"/>
      <c r="X111" s="331"/>
      <c r="Y111" s="331"/>
      <c r="Z111" s="331"/>
      <c r="AA111" s="331"/>
      <c r="AB111" s="331"/>
      <c r="AC111" s="331"/>
      <c r="AD111" s="331"/>
      <c r="AE111" s="331"/>
      <c r="AF111" s="331"/>
      <c r="AG111" s="331"/>
      <c r="AH111" s="331"/>
      <c r="AI111" s="331"/>
      <c r="AJ111" s="331"/>
    </row>
    <row r="112" spans="1:36" x14ac:dyDescent="0.25">
      <c r="A112" s="331"/>
      <c r="B112" s="331"/>
      <c r="C112" s="331"/>
      <c r="D112" s="331"/>
      <c r="E112" s="331"/>
      <c r="F112" s="331"/>
      <c r="G112" s="331"/>
      <c r="H112" s="331"/>
      <c r="I112" s="331"/>
      <c r="J112" s="331"/>
      <c r="K112" s="331"/>
      <c r="L112" s="331"/>
      <c r="M112" s="331"/>
      <c r="N112" s="331"/>
      <c r="O112" s="331"/>
      <c r="P112" s="331"/>
      <c r="Q112" s="331"/>
      <c r="R112" s="331"/>
      <c r="S112" s="331"/>
      <c r="T112" s="331"/>
      <c r="U112" s="331"/>
      <c r="V112" s="331"/>
      <c r="W112" s="331"/>
      <c r="X112" s="331"/>
      <c r="Y112" s="331"/>
      <c r="Z112" s="331"/>
      <c r="AA112" s="331"/>
      <c r="AB112" s="331"/>
      <c r="AC112" s="331"/>
      <c r="AD112" s="331"/>
      <c r="AE112" s="331"/>
      <c r="AF112" s="331"/>
      <c r="AG112" s="331"/>
      <c r="AH112" s="331"/>
      <c r="AI112" s="331"/>
      <c r="AJ112" s="331"/>
    </row>
    <row r="113" spans="1:36" x14ac:dyDescent="0.25">
      <c r="A113" s="331"/>
      <c r="B113" s="331"/>
      <c r="C113" s="331"/>
      <c r="D113" s="331"/>
      <c r="E113" s="331"/>
      <c r="F113" s="331"/>
      <c r="G113" s="331"/>
      <c r="H113" s="331"/>
      <c r="I113" s="331"/>
      <c r="J113" s="331"/>
      <c r="K113" s="331"/>
      <c r="L113" s="331"/>
      <c r="M113" s="331"/>
      <c r="N113" s="331"/>
      <c r="O113" s="331"/>
      <c r="P113" s="331"/>
      <c r="Q113" s="331"/>
      <c r="R113" s="331"/>
      <c r="S113" s="331"/>
      <c r="T113" s="331"/>
      <c r="U113" s="331"/>
      <c r="V113" s="331"/>
      <c r="W113" s="331"/>
      <c r="X113" s="331"/>
      <c r="Y113" s="331"/>
      <c r="Z113" s="331"/>
      <c r="AA113" s="331"/>
      <c r="AB113" s="331"/>
      <c r="AC113" s="331"/>
      <c r="AD113" s="331"/>
      <c r="AE113" s="331"/>
      <c r="AF113" s="331"/>
      <c r="AG113" s="331"/>
      <c r="AH113" s="331"/>
      <c r="AI113" s="331"/>
      <c r="AJ113" s="331"/>
    </row>
    <row r="114" spans="1:36" x14ac:dyDescent="0.25">
      <c r="A114" s="331"/>
      <c r="B114" s="331"/>
      <c r="C114" s="331"/>
      <c r="D114" s="331"/>
      <c r="E114" s="331"/>
      <c r="F114" s="331"/>
      <c r="G114" s="331"/>
      <c r="H114" s="331"/>
      <c r="I114" s="331"/>
      <c r="J114" s="331"/>
      <c r="K114" s="331"/>
      <c r="L114" s="331"/>
      <c r="M114" s="331"/>
      <c r="N114" s="331"/>
      <c r="O114" s="331"/>
      <c r="P114" s="331"/>
      <c r="Q114" s="331"/>
      <c r="R114" s="331"/>
      <c r="S114" s="331"/>
      <c r="T114" s="331"/>
      <c r="U114" s="331"/>
      <c r="V114" s="331"/>
      <c r="W114" s="331"/>
      <c r="X114" s="331"/>
      <c r="Y114" s="331"/>
      <c r="Z114" s="331"/>
      <c r="AA114" s="331"/>
      <c r="AB114" s="331"/>
      <c r="AC114" s="331"/>
      <c r="AD114" s="331"/>
      <c r="AE114" s="331"/>
      <c r="AF114" s="331"/>
      <c r="AG114" s="331"/>
      <c r="AH114" s="331"/>
      <c r="AI114" s="331"/>
      <c r="AJ114" s="331"/>
    </row>
    <row r="115" spans="1:36" x14ac:dyDescent="0.25">
      <c r="A115" s="331"/>
      <c r="B115" s="331"/>
      <c r="C115" s="331"/>
      <c r="D115" s="331"/>
      <c r="E115" s="331"/>
      <c r="F115" s="331"/>
      <c r="G115" s="331"/>
      <c r="H115" s="331"/>
      <c r="I115" s="331"/>
      <c r="J115" s="331"/>
      <c r="K115" s="331"/>
      <c r="L115" s="331"/>
      <c r="M115" s="331"/>
      <c r="N115" s="331"/>
      <c r="O115" s="331"/>
      <c r="P115" s="331"/>
      <c r="Q115" s="331"/>
      <c r="R115" s="331"/>
      <c r="S115" s="331"/>
      <c r="T115" s="331"/>
      <c r="U115" s="331"/>
      <c r="V115" s="331"/>
      <c r="W115" s="331"/>
      <c r="X115" s="331"/>
      <c r="Y115" s="331"/>
      <c r="Z115" s="331"/>
      <c r="AA115" s="331"/>
      <c r="AB115" s="331"/>
      <c r="AC115" s="331"/>
      <c r="AD115" s="331"/>
      <c r="AE115" s="331"/>
      <c r="AF115" s="331"/>
      <c r="AG115" s="331"/>
      <c r="AH115" s="331"/>
      <c r="AI115" s="331"/>
      <c r="AJ115" s="331"/>
    </row>
    <row r="116" spans="1:36" x14ac:dyDescent="0.25">
      <c r="A116" s="331"/>
      <c r="B116" s="331"/>
      <c r="C116" s="331"/>
      <c r="D116" s="331"/>
      <c r="E116" s="331"/>
      <c r="F116" s="331"/>
      <c r="G116" s="331"/>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row>
    <row r="117" spans="1:36" x14ac:dyDescent="0.25">
      <c r="A117" s="331"/>
      <c r="B117" s="331"/>
      <c r="C117" s="331"/>
      <c r="D117" s="331"/>
      <c r="E117" s="331"/>
      <c r="F117" s="331"/>
      <c r="G117" s="331"/>
      <c r="H117" s="331"/>
      <c r="I117" s="331"/>
      <c r="J117" s="331"/>
      <c r="K117" s="331"/>
      <c r="L117" s="331"/>
      <c r="M117" s="331"/>
      <c r="N117" s="331"/>
      <c r="O117" s="331"/>
      <c r="P117" s="331"/>
      <c r="Q117" s="331"/>
      <c r="R117" s="331"/>
      <c r="S117" s="331"/>
      <c r="T117" s="331"/>
      <c r="U117" s="331"/>
      <c r="V117" s="331"/>
      <c r="W117" s="331"/>
      <c r="X117" s="331"/>
      <c r="Y117" s="331"/>
      <c r="Z117" s="331"/>
      <c r="AA117" s="331"/>
      <c r="AB117" s="331"/>
      <c r="AC117" s="331"/>
      <c r="AD117" s="331"/>
      <c r="AE117" s="331"/>
      <c r="AF117" s="331"/>
      <c r="AG117" s="331"/>
      <c r="AH117" s="331"/>
      <c r="AI117" s="331"/>
      <c r="AJ117" s="331"/>
    </row>
    <row r="118" spans="1:36" x14ac:dyDescent="0.25">
      <c r="A118" s="331"/>
      <c r="B118" s="331"/>
      <c r="C118" s="331"/>
      <c r="D118" s="331"/>
      <c r="E118" s="331"/>
      <c r="F118" s="331"/>
      <c r="G118" s="331"/>
      <c r="H118" s="331"/>
      <c r="I118" s="331"/>
      <c r="J118" s="331"/>
      <c r="K118" s="331"/>
      <c r="L118" s="331"/>
      <c r="M118" s="331"/>
      <c r="N118" s="331"/>
      <c r="O118" s="331"/>
      <c r="P118" s="331"/>
      <c r="Q118" s="331"/>
      <c r="R118" s="331"/>
      <c r="S118" s="331"/>
      <c r="T118" s="331"/>
      <c r="U118" s="331"/>
      <c r="V118" s="331"/>
      <c r="W118" s="331"/>
      <c r="X118" s="331"/>
      <c r="Y118" s="331"/>
      <c r="Z118" s="331"/>
      <c r="AA118" s="331"/>
      <c r="AB118" s="331"/>
      <c r="AC118" s="331"/>
      <c r="AD118" s="331"/>
      <c r="AE118" s="331"/>
      <c r="AF118" s="331"/>
      <c r="AG118" s="331"/>
      <c r="AH118" s="331"/>
      <c r="AI118" s="331"/>
      <c r="AJ118" s="331"/>
    </row>
    <row r="119" spans="1:36" x14ac:dyDescent="0.25">
      <c r="A119" s="331"/>
      <c r="B119" s="331"/>
      <c r="C119" s="331"/>
      <c r="D119" s="331"/>
      <c r="E119" s="331"/>
      <c r="F119" s="331"/>
      <c r="G119" s="331"/>
      <c r="H119" s="331"/>
      <c r="I119" s="331"/>
      <c r="J119" s="331"/>
      <c r="K119" s="331"/>
      <c r="L119" s="331"/>
      <c r="M119" s="331"/>
      <c r="N119" s="331"/>
      <c r="O119" s="331"/>
      <c r="P119" s="331"/>
      <c r="Q119" s="331"/>
      <c r="R119" s="331"/>
      <c r="S119" s="331"/>
      <c r="T119" s="331"/>
      <c r="U119" s="331"/>
      <c r="V119" s="331"/>
      <c r="W119" s="331"/>
      <c r="X119" s="331"/>
      <c r="Y119" s="331"/>
      <c r="Z119" s="331"/>
      <c r="AA119" s="331"/>
      <c r="AB119" s="331"/>
      <c r="AC119" s="331"/>
      <c r="AD119" s="331"/>
      <c r="AE119" s="331"/>
      <c r="AF119" s="331"/>
      <c r="AG119" s="331"/>
      <c r="AH119" s="331"/>
      <c r="AI119" s="331"/>
      <c r="AJ119" s="331"/>
    </row>
    <row r="120" spans="1:36" x14ac:dyDescent="0.25">
      <c r="A120" s="331"/>
      <c r="B120" s="331"/>
      <c r="C120" s="331"/>
      <c r="D120" s="331"/>
      <c r="E120" s="331"/>
      <c r="F120" s="331"/>
      <c r="G120" s="331"/>
      <c r="H120" s="331"/>
      <c r="I120" s="331"/>
      <c r="J120" s="331"/>
      <c r="K120" s="331"/>
      <c r="L120" s="331"/>
      <c r="M120" s="331"/>
      <c r="N120" s="331"/>
      <c r="O120" s="331"/>
      <c r="P120" s="331"/>
      <c r="Q120" s="331"/>
      <c r="R120" s="331"/>
      <c r="S120" s="331"/>
      <c r="T120" s="331"/>
      <c r="U120" s="331"/>
      <c r="V120" s="331"/>
      <c r="W120" s="331"/>
      <c r="X120" s="331"/>
      <c r="Y120" s="331"/>
      <c r="Z120" s="331"/>
      <c r="AA120" s="331"/>
      <c r="AB120" s="331"/>
      <c r="AC120" s="331"/>
      <c r="AD120" s="331"/>
      <c r="AE120" s="331"/>
      <c r="AF120" s="331"/>
      <c r="AG120" s="331"/>
      <c r="AH120" s="331"/>
      <c r="AI120" s="331"/>
      <c r="AJ120" s="331"/>
    </row>
    <row r="121" spans="1:36" x14ac:dyDescent="0.25">
      <c r="A121" s="331"/>
      <c r="B121" s="331"/>
      <c r="C121" s="331"/>
      <c r="D121" s="331"/>
      <c r="E121" s="331"/>
      <c r="F121" s="331"/>
      <c r="G121" s="331"/>
      <c r="H121" s="331"/>
      <c r="I121" s="331"/>
      <c r="J121" s="331"/>
      <c r="K121" s="331"/>
      <c r="L121" s="331"/>
      <c r="M121" s="331"/>
      <c r="N121" s="331"/>
      <c r="O121" s="331"/>
      <c r="P121" s="331"/>
      <c r="Q121" s="331"/>
      <c r="R121" s="331"/>
      <c r="S121" s="331"/>
      <c r="T121" s="331"/>
      <c r="U121" s="331"/>
      <c r="V121" s="331"/>
      <c r="W121" s="331"/>
      <c r="X121" s="331"/>
      <c r="Y121" s="331"/>
      <c r="Z121" s="331"/>
      <c r="AA121" s="331"/>
      <c r="AB121" s="331"/>
      <c r="AC121" s="331"/>
      <c r="AD121" s="331"/>
      <c r="AE121" s="331"/>
      <c r="AF121" s="331"/>
      <c r="AG121" s="331"/>
      <c r="AH121" s="331"/>
      <c r="AI121" s="331"/>
      <c r="AJ121" s="331"/>
    </row>
    <row r="122" spans="1:36" x14ac:dyDescent="0.25">
      <c r="A122" s="544" t="s">
        <v>243</v>
      </c>
      <c r="B122" s="331"/>
      <c r="C122" s="331"/>
      <c r="D122" s="331"/>
      <c r="E122" s="331"/>
      <c r="F122" s="331"/>
      <c r="G122" s="331"/>
      <c r="H122" s="331"/>
      <c r="I122" s="331"/>
      <c r="J122" s="331"/>
      <c r="K122" s="331"/>
      <c r="L122" s="331"/>
      <c r="M122" s="331"/>
      <c r="N122" s="331"/>
      <c r="O122" s="331"/>
      <c r="P122" s="331"/>
      <c r="Q122" s="331"/>
      <c r="R122" s="331"/>
      <c r="S122" s="331"/>
      <c r="T122" s="331"/>
      <c r="U122" s="331"/>
      <c r="V122" s="331"/>
      <c r="W122" s="331"/>
      <c r="X122" s="331"/>
      <c r="Y122" s="331"/>
      <c r="Z122" s="331"/>
      <c r="AA122" s="331"/>
      <c r="AB122" s="331"/>
      <c r="AC122" s="331"/>
      <c r="AD122" s="331"/>
      <c r="AE122" s="331"/>
      <c r="AF122" s="331"/>
      <c r="AG122" s="331"/>
      <c r="AH122" s="331"/>
      <c r="AI122" s="331"/>
      <c r="AJ122" s="331"/>
    </row>
    <row r="123" spans="1:36" x14ac:dyDescent="0.25">
      <c r="A123" s="331"/>
      <c r="B123" s="331"/>
      <c r="C123" s="331"/>
      <c r="D123" s="331"/>
      <c r="E123" s="331"/>
      <c r="F123" s="331"/>
      <c r="G123" s="331"/>
      <c r="H123" s="331"/>
      <c r="I123" s="331"/>
      <c r="J123" s="331"/>
      <c r="K123" s="331"/>
      <c r="L123" s="331"/>
      <c r="M123" s="331"/>
      <c r="N123" s="331"/>
      <c r="O123" s="331"/>
      <c r="P123" s="331"/>
      <c r="Q123" s="331"/>
      <c r="R123" s="331"/>
      <c r="S123" s="331"/>
      <c r="T123" s="331"/>
      <c r="U123" s="331"/>
      <c r="V123" s="331"/>
      <c r="W123" s="331"/>
      <c r="X123" s="331"/>
      <c r="Y123" s="331"/>
      <c r="Z123" s="331"/>
      <c r="AA123" s="331"/>
      <c r="AB123" s="331"/>
      <c r="AC123" s="331"/>
      <c r="AD123" s="331"/>
      <c r="AE123" s="331"/>
      <c r="AF123" s="331"/>
      <c r="AG123" s="331"/>
      <c r="AH123" s="331"/>
      <c r="AI123" s="331"/>
      <c r="AJ123" s="331"/>
    </row>
    <row r="124" spans="1:36" x14ac:dyDescent="0.25">
      <c r="A124" s="331"/>
      <c r="B124" s="331"/>
      <c r="C124" s="331"/>
      <c r="D124" s="331"/>
      <c r="E124" s="331"/>
      <c r="F124" s="331"/>
      <c r="G124" s="331"/>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row>
    <row r="125" spans="1:36" x14ac:dyDescent="0.25">
      <c r="A125" s="331"/>
      <c r="B125" s="331"/>
      <c r="C125" s="331"/>
      <c r="D125" s="331"/>
      <c r="E125" s="331"/>
      <c r="F125" s="331"/>
      <c r="G125" s="331"/>
      <c r="H125" s="331"/>
      <c r="I125" s="331"/>
      <c r="J125" s="331"/>
      <c r="K125" s="331"/>
      <c r="L125" s="331"/>
      <c r="M125" s="331"/>
      <c r="N125" s="331"/>
      <c r="O125" s="331"/>
      <c r="P125" s="331"/>
      <c r="Q125" s="331"/>
      <c r="R125" s="331"/>
      <c r="S125" s="331"/>
      <c r="T125" s="331"/>
      <c r="U125" s="331"/>
      <c r="V125" s="331"/>
      <c r="W125" s="331"/>
      <c r="X125" s="331"/>
      <c r="Y125" s="331"/>
      <c r="Z125" s="331"/>
      <c r="AA125" s="331"/>
      <c r="AB125" s="331"/>
      <c r="AC125" s="331"/>
      <c r="AD125" s="331"/>
      <c r="AE125" s="331"/>
      <c r="AF125" s="331"/>
      <c r="AG125" s="331"/>
      <c r="AH125" s="331"/>
      <c r="AI125" s="331"/>
      <c r="AJ125" s="331"/>
    </row>
    <row r="126" spans="1:36" x14ac:dyDescent="0.25">
      <c r="A126" s="331"/>
      <c r="B126" s="331"/>
      <c r="C126" s="331"/>
      <c r="D126" s="331"/>
      <c r="E126" s="331"/>
      <c r="F126" s="331"/>
      <c r="G126" s="331"/>
      <c r="H126" s="331"/>
      <c r="I126" s="331"/>
      <c r="J126" s="331"/>
      <c r="K126" s="331"/>
      <c r="L126" s="331"/>
      <c r="M126" s="331"/>
      <c r="N126" s="331"/>
      <c r="O126" s="331"/>
      <c r="P126" s="331"/>
      <c r="Q126" s="331"/>
      <c r="R126" s="331"/>
      <c r="S126" s="331"/>
      <c r="T126" s="331"/>
      <c r="U126" s="331"/>
      <c r="V126" s="331"/>
      <c r="W126" s="331"/>
      <c r="X126" s="331"/>
      <c r="Y126" s="331"/>
      <c r="Z126" s="331"/>
      <c r="AA126" s="331"/>
      <c r="AB126" s="331"/>
      <c r="AC126" s="331"/>
      <c r="AD126" s="331"/>
      <c r="AE126" s="331"/>
      <c r="AF126" s="331"/>
      <c r="AG126" s="331"/>
      <c r="AH126" s="331"/>
      <c r="AI126" s="331"/>
      <c r="AJ126" s="331"/>
    </row>
    <row r="127" spans="1:36" x14ac:dyDescent="0.25">
      <c r="A127" s="331"/>
      <c r="B127" s="331"/>
      <c r="C127" s="331"/>
      <c r="D127" s="331"/>
      <c r="E127" s="331"/>
      <c r="F127" s="331"/>
      <c r="G127" s="331"/>
      <c r="H127" s="331"/>
      <c r="I127" s="331"/>
      <c r="J127" s="331"/>
      <c r="K127" s="331"/>
      <c r="L127" s="331"/>
      <c r="M127" s="331"/>
      <c r="N127" s="331"/>
      <c r="O127" s="331"/>
      <c r="P127" s="331"/>
      <c r="Q127" s="331"/>
      <c r="R127" s="331"/>
      <c r="S127" s="331"/>
      <c r="T127" s="331"/>
      <c r="U127" s="331"/>
      <c r="V127" s="331"/>
      <c r="W127" s="331"/>
      <c r="X127" s="331"/>
      <c r="Y127" s="331"/>
      <c r="Z127" s="331"/>
      <c r="AA127" s="331"/>
      <c r="AB127" s="331"/>
      <c r="AC127" s="331"/>
      <c r="AD127" s="331"/>
      <c r="AE127" s="331"/>
      <c r="AF127" s="331"/>
      <c r="AG127" s="331"/>
      <c r="AH127" s="331"/>
      <c r="AI127" s="331"/>
      <c r="AJ127" s="331"/>
    </row>
    <row r="128" spans="1:36" x14ac:dyDescent="0.25">
      <c r="A128" s="331"/>
      <c r="B128" s="331"/>
      <c r="C128" s="331"/>
      <c r="D128" s="331"/>
      <c r="E128" s="331"/>
      <c r="F128" s="331"/>
      <c r="G128" s="331"/>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row>
    <row r="129" spans="1:36" x14ac:dyDescent="0.25">
      <c r="A129" s="331"/>
      <c r="B129" s="331"/>
      <c r="C129" s="331"/>
      <c r="D129" s="331"/>
      <c r="E129" s="331"/>
      <c r="F129" s="331"/>
      <c r="G129" s="331"/>
      <c r="H129" s="331"/>
      <c r="I129" s="331"/>
      <c r="J129" s="331"/>
      <c r="K129" s="331"/>
      <c r="L129" s="331"/>
      <c r="M129" s="331"/>
      <c r="N129" s="331"/>
      <c r="O129" s="331"/>
      <c r="P129" s="331"/>
      <c r="Q129" s="331"/>
      <c r="R129" s="331"/>
      <c r="S129" s="331"/>
      <c r="T129" s="331"/>
      <c r="U129" s="331"/>
      <c r="V129" s="331"/>
      <c r="W129" s="331"/>
      <c r="X129" s="331"/>
      <c r="Y129" s="331"/>
      <c r="Z129" s="331"/>
      <c r="AA129" s="331"/>
      <c r="AB129" s="331"/>
      <c r="AC129" s="331"/>
      <c r="AD129" s="331"/>
      <c r="AE129" s="331"/>
      <c r="AF129" s="331"/>
      <c r="AG129" s="331"/>
      <c r="AH129" s="331"/>
      <c r="AI129" s="331"/>
      <c r="AJ129" s="331"/>
    </row>
    <row r="130" spans="1:36" x14ac:dyDescent="0.25">
      <c r="A130" s="331"/>
      <c r="B130" s="331"/>
      <c r="C130" s="331"/>
      <c r="D130" s="331"/>
      <c r="E130" s="331"/>
      <c r="F130" s="331"/>
      <c r="G130" s="331"/>
      <c r="H130" s="331"/>
      <c r="I130" s="331"/>
      <c r="J130" s="331"/>
      <c r="K130" s="331"/>
      <c r="L130" s="331"/>
      <c r="M130" s="331"/>
      <c r="N130" s="331"/>
      <c r="O130" s="331"/>
      <c r="P130" s="331"/>
      <c r="Q130" s="331"/>
      <c r="R130" s="331"/>
      <c r="S130" s="331"/>
      <c r="T130" s="331"/>
      <c r="U130" s="331"/>
      <c r="V130" s="331"/>
      <c r="W130" s="331"/>
      <c r="X130" s="331"/>
      <c r="Y130" s="331"/>
      <c r="Z130" s="331"/>
      <c r="AA130" s="331"/>
      <c r="AB130" s="331"/>
      <c r="AC130" s="331"/>
      <c r="AD130" s="331"/>
      <c r="AE130" s="331"/>
      <c r="AF130" s="331"/>
      <c r="AG130" s="331"/>
      <c r="AH130" s="331"/>
      <c r="AI130" s="331"/>
      <c r="AJ130" s="331"/>
    </row>
    <row r="131" spans="1:36" x14ac:dyDescent="0.25">
      <c r="A131" s="331"/>
      <c r="B131" s="331"/>
      <c r="C131" s="331"/>
      <c r="D131" s="331"/>
      <c r="E131" s="331"/>
      <c r="F131" s="331"/>
      <c r="G131" s="331"/>
      <c r="H131" s="331"/>
      <c r="I131" s="331"/>
      <c r="J131" s="331"/>
      <c r="K131" s="331"/>
      <c r="L131" s="331"/>
      <c r="M131" s="331"/>
      <c r="N131" s="331"/>
      <c r="O131" s="331"/>
      <c r="P131" s="331"/>
      <c r="Q131" s="331"/>
      <c r="R131" s="331"/>
      <c r="S131" s="331"/>
      <c r="T131" s="331"/>
      <c r="U131" s="331"/>
      <c r="V131" s="331"/>
      <c r="W131" s="331"/>
      <c r="X131" s="331"/>
      <c r="Y131" s="331"/>
      <c r="Z131" s="331"/>
      <c r="AA131" s="331"/>
      <c r="AB131" s="331"/>
      <c r="AC131" s="331"/>
      <c r="AD131" s="331"/>
      <c r="AE131" s="331"/>
      <c r="AF131" s="331"/>
      <c r="AG131" s="331"/>
      <c r="AH131" s="331"/>
      <c r="AI131" s="331"/>
      <c r="AJ131" s="331"/>
    </row>
    <row r="132" spans="1:36" x14ac:dyDescent="0.25">
      <c r="A132" s="331"/>
      <c r="B132" s="331"/>
      <c r="C132" s="331"/>
      <c r="D132" s="331"/>
      <c r="E132" s="331"/>
      <c r="F132" s="331"/>
      <c r="G132" s="331"/>
      <c r="H132" s="331"/>
      <c r="I132" s="331"/>
      <c r="J132" s="331"/>
      <c r="K132" s="331"/>
      <c r="L132" s="331"/>
      <c r="M132" s="331"/>
      <c r="N132" s="331"/>
      <c r="O132" s="331"/>
      <c r="P132" s="331"/>
      <c r="Q132" s="331"/>
      <c r="R132" s="331"/>
      <c r="S132" s="331"/>
      <c r="T132" s="331"/>
      <c r="U132" s="331"/>
      <c r="V132" s="331"/>
      <c r="W132" s="331"/>
      <c r="X132" s="331"/>
      <c r="Y132" s="331"/>
      <c r="Z132" s="331"/>
      <c r="AA132" s="331"/>
      <c r="AB132" s="331"/>
      <c r="AC132" s="331"/>
      <c r="AD132" s="331"/>
      <c r="AE132" s="331"/>
      <c r="AF132" s="331"/>
      <c r="AG132" s="331"/>
      <c r="AH132" s="331"/>
      <c r="AI132" s="331"/>
      <c r="AJ132" s="331"/>
    </row>
    <row r="133" spans="1:36" x14ac:dyDescent="0.25">
      <c r="A133" s="331"/>
      <c r="B133" s="331"/>
      <c r="C133" s="331"/>
      <c r="D133" s="331"/>
      <c r="E133" s="331"/>
      <c r="F133" s="331"/>
      <c r="G133" s="331"/>
      <c r="H133" s="331"/>
      <c r="I133" s="331"/>
      <c r="J133" s="331"/>
      <c r="K133" s="331"/>
      <c r="L133" s="331"/>
      <c r="M133" s="331"/>
      <c r="N133" s="331"/>
      <c r="O133" s="331"/>
      <c r="P133" s="331"/>
      <c r="Q133" s="331"/>
      <c r="R133" s="331"/>
      <c r="S133" s="331"/>
      <c r="T133" s="331"/>
      <c r="U133" s="331"/>
      <c r="V133" s="331"/>
      <c r="W133" s="331"/>
      <c r="X133" s="331"/>
      <c r="Y133" s="331"/>
      <c r="Z133" s="331"/>
      <c r="AA133" s="331"/>
      <c r="AB133" s="331"/>
      <c r="AC133" s="331"/>
      <c r="AD133" s="331"/>
      <c r="AE133" s="331"/>
      <c r="AF133" s="331"/>
      <c r="AG133" s="331"/>
      <c r="AH133" s="331"/>
      <c r="AI133" s="331"/>
      <c r="AJ133" s="331"/>
    </row>
    <row r="134" spans="1:36" x14ac:dyDescent="0.25">
      <c r="A134" s="331"/>
      <c r="B134" s="331"/>
      <c r="C134" s="331"/>
      <c r="D134" s="331"/>
      <c r="E134" s="331"/>
      <c r="F134" s="331"/>
      <c r="G134" s="331"/>
      <c r="H134" s="331"/>
      <c r="I134" s="331"/>
      <c r="J134" s="331"/>
      <c r="K134" s="331"/>
      <c r="L134" s="331"/>
      <c r="M134" s="331"/>
      <c r="N134" s="331"/>
      <c r="O134" s="331"/>
      <c r="P134" s="331"/>
      <c r="Q134" s="331"/>
      <c r="R134" s="331"/>
      <c r="S134" s="331"/>
      <c r="T134" s="331"/>
      <c r="U134" s="331"/>
      <c r="V134" s="331"/>
      <c r="W134" s="331"/>
      <c r="X134" s="331"/>
      <c r="Y134" s="331"/>
      <c r="Z134" s="331"/>
      <c r="AA134" s="331"/>
      <c r="AB134" s="331"/>
      <c r="AC134" s="331"/>
      <c r="AD134" s="331"/>
      <c r="AE134" s="331"/>
      <c r="AF134" s="331"/>
      <c r="AG134" s="331"/>
      <c r="AH134" s="331"/>
      <c r="AI134" s="331"/>
      <c r="AJ134" s="331"/>
    </row>
    <row r="135" spans="1:36" x14ac:dyDescent="0.25">
      <c r="A135" s="331"/>
      <c r="B135" s="331"/>
      <c r="C135" s="331"/>
      <c r="D135" s="331"/>
      <c r="E135" s="331"/>
      <c r="F135" s="331"/>
      <c r="G135" s="331"/>
      <c r="H135" s="331"/>
      <c r="I135" s="331"/>
      <c r="J135" s="331"/>
      <c r="K135" s="331"/>
      <c r="L135" s="331"/>
      <c r="M135" s="331"/>
      <c r="N135" s="331"/>
      <c r="O135" s="331"/>
      <c r="P135" s="331"/>
      <c r="Q135" s="331"/>
      <c r="R135" s="331"/>
      <c r="S135" s="331"/>
      <c r="T135" s="331"/>
      <c r="U135" s="331"/>
      <c r="V135" s="331"/>
      <c r="W135" s="331"/>
      <c r="X135" s="331"/>
      <c r="Y135" s="331"/>
      <c r="Z135" s="331"/>
      <c r="AA135" s="331"/>
      <c r="AB135" s="331"/>
      <c r="AC135" s="331"/>
      <c r="AD135" s="331"/>
      <c r="AE135" s="331"/>
      <c r="AF135" s="331"/>
      <c r="AG135" s="331"/>
      <c r="AH135" s="331"/>
      <c r="AI135" s="331"/>
      <c r="AJ135" s="331"/>
    </row>
    <row r="136" spans="1:36" x14ac:dyDescent="0.25">
      <c r="A136" s="331"/>
      <c r="B136" s="331"/>
      <c r="C136" s="331"/>
      <c r="D136" s="331"/>
      <c r="E136" s="331"/>
      <c r="F136" s="331"/>
      <c r="G136" s="331"/>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row>
    <row r="137" spans="1:36" x14ac:dyDescent="0.25">
      <c r="A137" s="331"/>
      <c r="B137" s="331"/>
      <c r="C137" s="331"/>
      <c r="D137" s="331"/>
      <c r="E137" s="331"/>
      <c r="F137" s="331"/>
      <c r="G137" s="331"/>
      <c r="H137" s="331"/>
      <c r="I137" s="331"/>
      <c r="J137" s="331"/>
      <c r="K137" s="331"/>
      <c r="L137" s="331"/>
      <c r="M137" s="331"/>
      <c r="N137" s="331"/>
      <c r="O137" s="331"/>
      <c r="P137" s="331"/>
      <c r="Q137" s="331"/>
      <c r="R137" s="331"/>
      <c r="S137" s="331"/>
      <c r="T137" s="331"/>
      <c r="U137" s="331"/>
      <c r="V137" s="331"/>
      <c r="W137" s="331"/>
      <c r="X137" s="331"/>
      <c r="Y137" s="331"/>
      <c r="Z137" s="331"/>
      <c r="AA137" s="331"/>
      <c r="AB137" s="331"/>
      <c r="AC137" s="331"/>
      <c r="AD137" s="331"/>
      <c r="AE137" s="331"/>
      <c r="AF137" s="331"/>
      <c r="AG137" s="331"/>
      <c r="AH137" s="331"/>
      <c r="AI137" s="331"/>
      <c r="AJ137" s="331"/>
    </row>
    <row r="138" spans="1:36" x14ac:dyDescent="0.25">
      <c r="A138" s="331"/>
      <c r="B138" s="331"/>
      <c r="C138" s="331"/>
      <c r="D138" s="331"/>
      <c r="E138" s="331"/>
      <c r="F138" s="331"/>
      <c r="G138" s="331"/>
      <c r="H138" s="331"/>
      <c r="I138" s="331"/>
      <c r="J138" s="331"/>
      <c r="K138" s="331"/>
      <c r="L138" s="331"/>
      <c r="M138" s="331"/>
      <c r="N138" s="331"/>
      <c r="O138" s="331"/>
      <c r="P138" s="331"/>
      <c r="Q138" s="331"/>
      <c r="R138" s="331"/>
      <c r="S138" s="331"/>
      <c r="T138" s="331"/>
      <c r="U138" s="331"/>
      <c r="V138" s="331"/>
      <c r="W138" s="331"/>
      <c r="X138" s="331"/>
      <c r="Y138" s="331"/>
      <c r="Z138" s="331"/>
      <c r="AA138" s="331"/>
      <c r="AB138" s="331"/>
      <c r="AC138" s="331"/>
      <c r="AD138" s="331"/>
      <c r="AE138" s="331"/>
      <c r="AF138" s="331"/>
      <c r="AG138" s="331"/>
      <c r="AH138" s="331"/>
      <c r="AI138" s="331"/>
      <c r="AJ138" s="331"/>
    </row>
    <row r="139" spans="1:36" x14ac:dyDescent="0.25">
      <c r="A139" s="331"/>
      <c r="B139" s="331"/>
      <c r="C139" s="331"/>
      <c r="D139" s="331"/>
      <c r="E139" s="331"/>
      <c r="F139" s="331"/>
      <c r="G139" s="331"/>
      <c r="H139" s="331"/>
      <c r="I139" s="331"/>
      <c r="J139" s="331"/>
      <c r="K139" s="331"/>
      <c r="L139" s="331"/>
      <c r="M139" s="331"/>
      <c r="N139" s="331"/>
      <c r="O139" s="331"/>
      <c r="P139" s="331"/>
      <c r="Q139" s="331"/>
      <c r="R139" s="331"/>
      <c r="S139" s="331"/>
      <c r="T139" s="331"/>
      <c r="U139" s="331"/>
      <c r="V139" s="331"/>
      <c r="W139" s="331"/>
      <c r="X139" s="331"/>
      <c r="Y139" s="331"/>
      <c r="Z139" s="331"/>
      <c r="AA139" s="331"/>
      <c r="AB139" s="331"/>
      <c r="AC139" s="331"/>
      <c r="AD139" s="331"/>
      <c r="AE139" s="331"/>
      <c r="AF139" s="331"/>
      <c r="AG139" s="331"/>
      <c r="AH139" s="331"/>
      <c r="AI139" s="331"/>
      <c r="AJ139" s="331"/>
    </row>
    <row r="140" spans="1:36" x14ac:dyDescent="0.25">
      <c r="A140" s="331"/>
      <c r="B140" s="331"/>
      <c r="C140" s="331"/>
      <c r="D140" s="331"/>
      <c r="E140" s="331"/>
      <c r="F140" s="331"/>
      <c r="G140" s="331"/>
      <c r="H140" s="331"/>
      <c r="I140" s="331"/>
      <c r="J140" s="331"/>
      <c r="K140" s="331"/>
      <c r="L140" s="331"/>
      <c r="M140" s="331"/>
      <c r="N140" s="331"/>
      <c r="O140" s="331"/>
      <c r="P140" s="331"/>
      <c r="Q140" s="331"/>
      <c r="R140" s="331"/>
      <c r="S140" s="331"/>
      <c r="T140" s="331"/>
      <c r="U140" s="331"/>
      <c r="V140" s="331"/>
      <c r="W140" s="331"/>
      <c r="X140" s="331"/>
      <c r="Y140" s="331"/>
      <c r="Z140" s="331"/>
      <c r="AA140" s="331"/>
      <c r="AB140" s="331"/>
      <c r="AC140" s="331"/>
      <c r="AD140" s="331"/>
      <c r="AE140" s="331"/>
      <c r="AF140" s="331"/>
      <c r="AG140" s="331"/>
      <c r="AH140" s="331"/>
      <c r="AI140" s="331"/>
      <c r="AJ140" s="331"/>
    </row>
    <row r="141" spans="1:36" x14ac:dyDescent="0.25">
      <c r="A141" s="331"/>
      <c r="B141" s="331"/>
      <c r="C141" s="331"/>
      <c r="D141" s="331"/>
      <c r="E141" s="331"/>
      <c r="F141" s="331"/>
      <c r="G141" s="331"/>
      <c r="H141" s="331"/>
      <c r="I141" s="331"/>
      <c r="J141" s="331"/>
      <c r="K141" s="331"/>
      <c r="L141" s="331"/>
      <c r="M141" s="331"/>
      <c r="N141" s="331"/>
      <c r="O141" s="331"/>
      <c r="P141" s="331"/>
      <c r="Q141" s="331"/>
      <c r="R141" s="331"/>
      <c r="S141" s="331"/>
      <c r="T141" s="331"/>
      <c r="U141" s="331"/>
      <c r="V141" s="331"/>
      <c r="W141" s="331"/>
      <c r="X141" s="331"/>
      <c r="Y141" s="331"/>
      <c r="Z141" s="331"/>
      <c r="AA141" s="331"/>
      <c r="AB141" s="331"/>
      <c r="AC141" s="331"/>
      <c r="AD141" s="331"/>
      <c r="AE141" s="331"/>
      <c r="AF141" s="331"/>
      <c r="AG141" s="331"/>
      <c r="AH141" s="331"/>
      <c r="AI141" s="331"/>
      <c r="AJ141" s="331"/>
    </row>
    <row r="142" spans="1:36" x14ac:dyDescent="0.25">
      <c r="A142" s="331"/>
      <c r="B142" s="331"/>
      <c r="C142" s="331"/>
      <c r="D142" s="331"/>
      <c r="E142" s="331"/>
      <c r="F142" s="331"/>
      <c r="G142" s="331"/>
      <c r="H142" s="331"/>
      <c r="I142" s="331"/>
      <c r="J142" s="331"/>
      <c r="K142" s="331"/>
      <c r="L142" s="331"/>
      <c r="M142" s="331"/>
      <c r="N142" s="331"/>
      <c r="O142" s="331"/>
      <c r="P142" s="331"/>
      <c r="Q142" s="331"/>
      <c r="R142" s="331"/>
      <c r="S142" s="331"/>
      <c r="T142" s="331"/>
      <c r="U142" s="331"/>
      <c r="V142" s="331"/>
      <c r="W142" s="331"/>
      <c r="X142" s="331"/>
      <c r="Y142" s="331"/>
      <c r="Z142" s="331"/>
      <c r="AA142" s="331"/>
      <c r="AB142" s="331"/>
      <c r="AC142" s="331"/>
      <c r="AD142" s="331"/>
      <c r="AE142" s="331"/>
      <c r="AF142" s="331"/>
      <c r="AG142" s="331"/>
      <c r="AH142" s="331"/>
      <c r="AI142" s="331"/>
      <c r="AJ142" s="331"/>
    </row>
    <row r="143" spans="1:36" x14ac:dyDescent="0.25">
      <c r="A143" s="331"/>
      <c r="B143" s="331"/>
      <c r="C143" s="331"/>
      <c r="D143" s="331"/>
      <c r="E143" s="331"/>
      <c r="F143" s="331"/>
      <c r="G143" s="331"/>
      <c r="H143" s="331"/>
      <c r="I143" s="331"/>
      <c r="J143" s="331"/>
      <c r="K143" s="331"/>
      <c r="L143" s="331"/>
      <c r="M143" s="331"/>
      <c r="N143" s="331"/>
      <c r="O143" s="331"/>
      <c r="P143" s="331"/>
      <c r="Q143" s="331"/>
      <c r="R143" s="331"/>
      <c r="S143" s="331"/>
      <c r="T143" s="331"/>
      <c r="U143" s="331"/>
      <c r="V143" s="331"/>
      <c r="W143" s="331"/>
      <c r="X143" s="331"/>
      <c r="Y143" s="331"/>
      <c r="Z143" s="331"/>
      <c r="AA143" s="331"/>
      <c r="AB143" s="331"/>
      <c r="AC143" s="331"/>
      <c r="AD143" s="331"/>
      <c r="AE143" s="331"/>
      <c r="AF143" s="331"/>
      <c r="AG143" s="331"/>
      <c r="AH143" s="331"/>
      <c r="AI143" s="331"/>
      <c r="AJ143" s="331"/>
    </row>
    <row r="144" spans="1:36" x14ac:dyDescent="0.25">
      <c r="A144" s="331"/>
      <c r="B144" s="331"/>
      <c r="C144" s="331"/>
      <c r="D144" s="331"/>
      <c r="E144" s="331"/>
      <c r="F144" s="331"/>
      <c r="G144" s="331"/>
      <c r="H144" s="331"/>
      <c r="I144" s="331"/>
      <c r="J144" s="331"/>
      <c r="K144" s="331"/>
      <c r="L144" s="331"/>
      <c r="M144" s="331"/>
      <c r="N144" s="331"/>
      <c r="O144" s="331"/>
      <c r="P144" s="331"/>
      <c r="Q144" s="331"/>
      <c r="R144" s="331"/>
      <c r="S144" s="331"/>
      <c r="T144" s="331"/>
      <c r="U144" s="331"/>
      <c r="V144" s="331"/>
      <c r="W144" s="331"/>
      <c r="X144" s="331"/>
      <c r="Y144" s="331"/>
      <c r="Z144" s="331"/>
      <c r="AA144" s="331"/>
      <c r="AB144" s="331"/>
      <c r="AC144" s="331"/>
      <c r="AD144" s="331"/>
      <c r="AE144" s="331"/>
      <c r="AF144" s="331"/>
      <c r="AG144" s="331"/>
      <c r="AH144" s="331"/>
      <c r="AI144" s="331"/>
      <c r="AJ144" s="331"/>
    </row>
    <row r="145" spans="1:36" x14ac:dyDescent="0.25">
      <c r="A145" s="331"/>
      <c r="B145" s="331"/>
      <c r="C145" s="331"/>
      <c r="D145" s="331"/>
      <c r="E145" s="331"/>
      <c r="F145" s="331"/>
      <c r="G145" s="331"/>
      <c r="H145" s="331"/>
      <c r="I145" s="331"/>
      <c r="J145" s="331"/>
      <c r="K145" s="331"/>
      <c r="L145" s="331"/>
      <c r="M145" s="331"/>
      <c r="N145" s="331"/>
      <c r="O145" s="331"/>
      <c r="P145" s="331"/>
      <c r="Q145" s="331"/>
      <c r="R145" s="331"/>
      <c r="S145" s="331"/>
      <c r="T145" s="331"/>
      <c r="U145" s="331"/>
      <c r="V145" s="331"/>
      <c r="W145" s="331"/>
      <c r="X145" s="331"/>
      <c r="Y145" s="331"/>
      <c r="Z145" s="331"/>
      <c r="AA145" s="331"/>
      <c r="AB145" s="331"/>
      <c r="AC145" s="331"/>
      <c r="AD145" s="331"/>
      <c r="AE145" s="331"/>
      <c r="AF145" s="331"/>
      <c r="AG145" s="331"/>
      <c r="AH145" s="331"/>
      <c r="AI145" s="331"/>
      <c r="AJ145" s="331"/>
    </row>
    <row r="146" spans="1:36" x14ac:dyDescent="0.25">
      <c r="A146" s="331"/>
      <c r="B146" s="331"/>
      <c r="C146" s="331"/>
      <c r="D146" s="331"/>
      <c r="E146" s="331"/>
      <c r="F146" s="331"/>
      <c r="G146" s="331"/>
      <c r="H146" s="331"/>
      <c r="I146" s="331"/>
      <c r="J146" s="331"/>
      <c r="K146" s="331"/>
      <c r="L146" s="331"/>
      <c r="M146" s="331"/>
      <c r="N146" s="331"/>
      <c r="O146" s="331"/>
      <c r="P146" s="331"/>
      <c r="Q146" s="331"/>
      <c r="R146" s="331"/>
      <c r="S146" s="331"/>
      <c r="T146" s="331"/>
      <c r="U146" s="331"/>
      <c r="V146" s="331"/>
      <c r="W146" s="331"/>
      <c r="X146" s="331"/>
      <c r="Y146" s="331"/>
      <c r="Z146" s="331"/>
      <c r="AA146" s="331"/>
      <c r="AB146" s="331"/>
      <c r="AC146" s="331"/>
      <c r="AD146" s="331"/>
      <c r="AE146" s="331"/>
      <c r="AF146" s="331"/>
      <c r="AG146" s="331"/>
      <c r="AH146" s="331"/>
      <c r="AI146" s="331"/>
      <c r="AJ146" s="331"/>
    </row>
    <row r="147" spans="1:36" x14ac:dyDescent="0.25">
      <c r="A147" s="331"/>
      <c r="B147" s="331"/>
      <c r="C147" s="331"/>
      <c r="D147" s="331"/>
      <c r="E147" s="331"/>
      <c r="F147" s="331"/>
      <c r="G147" s="331"/>
      <c r="H147" s="331"/>
      <c r="I147" s="331"/>
      <c r="J147" s="331"/>
      <c r="K147" s="331"/>
      <c r="L147" s="331"/>
      <c r="M147" s="331"/>
      <c r="N147" s="331"/>
      <c r="O147" s="331"/>
      <c r="P147" s="331"/>
      <c r="Q147" s="331"/>
      <c r="R147" s="331"/>
      <c r="S147" s="331"/>
      <c r="T147" s="331"/>
      <c r="U147" s="331"/>
      <c r="V147" s="331"/>
      <c r="W147" s="331"/>
      <c r="X147" s="331"/>
      <c r="Y147" s="331"/>
      <c r="Z147" s="331"/>
      <c r="AA147" s="331"/>
      <c r="AB147" s="331"/>
      <c r="AC147" s="331"/>
      <c r="AD147" s="331"/>
      <c r="AE147" s="331"/>
      <c r="AF147" s="331"/>
      <c r="AG147" s="331"/>
      <c r="AH147" s="331"/>
      <c r="AI147" s="331"/>
      <c r="AJ147" s="331"/>
    </row>
    <row r="148" spans="1:36" x14ac:dyDescent="0.25">
      <c r="A148" s="544" t="s">
        <v>245</v>
      </c>
      <c r="B148" s="331"/>
      <c r="C148" s="331"/>
      <c r="D148" s="331"/>
      <c r="E148" s="331"/>
      <c r="F148" s="331"/>
      <c r="G148" s="331"/>
      <c r="H148" s="331"/>
      <c r="I148" s="331"/>
      <c r="J148" s="331"/>
      <c r="K148" s="331"/>
      <c r="L148" s="331"/>
      <c r="M148" s="331"/>
      <c r="N148" s="331"/>
      <c r="O148" s="331"/>
      <c r="P148" s="331"/>
      <c r="Q148" s="331"/>
      <c r="R148" s="331"/>
      <c r="S148" s="331"/>
      <c r="T148" s="331"/>
      <c r="U148" s="331"/>
      <c r="V148" s="331"/>
      <c r="W148" s="331"/>
      <c r="X148" s="331"/>
      <c r="Y148" s="331"/>
      <c r="Z148" s="331"/>
      <c r="AA148" s="331"/>
      <c r="AB148" s="331"/>
      <c r="AC148" s="331"/>
      <c r="AD148" s="331"/>
      <c r="AE148" s="331"/>
      <c r="AF148" s="331"/>
      <c r="AG148" s="331"/>
      <c r="AH148" s="331"/>
      <c r="AI148" s="331"/>
      <c r="AJ148" s="331"/>
    </row>
    <row r="149" spans="1:36" x14ac:dyDescent="0.25">
      <c r="A149" s="331"/>
      <c r="B149" s="331"/>
      <c r="C149" s="331"/>
      <c r="D149" s="331"/>
      <c r="E149" s="331"/>
      <c r="F149" s="331"/>
      <c r="G149" s="331"/>
      <c r="H149" s="331"/>
      <c r="I149" s="331"/>
      <c r="J149" s="331"/>
      <c r="K149" s="331"/>
      <c r="L149" s="331"/>
      <c r="M149" s="331"/>
      <c r="N149" s="331"/>
      <c r="O149" s="331"/>
      <c r="P149" s="331"/>
      <c r="Q149" s="331"/>
      <c r="R149" s="331"/>
      <c r="S149" s="331"/>
      <c r="T149" s="331"/>
      <c r="U149" s="331"/>
      <c r="V149" s="331"/>
      <c r="W149" s="331"/>
      <c r="X149" s="331"/>
      <c r="Y149" s="331"/>
      <c r="Z149" s="331"/>
      <c r="AA149" s="331"/>
      <c r="AB149" s="331"/>
      <c r="AC149" s="331"/>
      <c r="AD149" s="331"/>
      <c r="AE149" s="331"/>
      <c r="AF149" s="331"/>
      <c r="AG149" s="331"/>
      <c r="AH149" s="331"/>
      <c r="AI149" s="331"/>
      <c r="AJ149" s="331"/>
    </row>
    <row r="150" spans="1:36" x14ac:dyDescent="0.25">
      <c r="A150" s="331"/>
      <c r="B150" s="331"/>
      <c r="C150" s="331"/>
      <c r="D150" s="331"/>
      <c r="E150" s="331"/>
      <c r="F150" s="331"/>
      <c r="G150" s="331"/>
      <c r="H150" s="331"/>
      <c r="I150" s="331"/>
      <c r="J150" s="331"/>
      <c r="K150" s="331"/>
      <c r="L150" s="331"/>
      <c r="M150" s="331"/>
      <c r="N150" s="331"/>
      <c r="O150" s="331"/>
      <c r="P150" s="331"/>
      <c r="Q150" s="331"/>
      <c r="R150" s="331"/>
      <c r="S150" s="331"/>
      <c r="T150" s="331"/>
      <c r="U150" s="331"/>
      <c r="V150" s="331"/>
      <c r="W150" s="331"/>
      <c r="X150" s="331"/>
      <c r="Y150" s="331"/>
      <c r="Z150" s="331"/>
      <c r="AA150" s="331"/>
      <c r="AB150" s="331"/>
      <c r="AC150" s="331"/>
      <c r="AD150" s="331"/>
      <c r="AE150" s="331"/>
      <c r="AF150" s="331"/>
      <c r="AG150" s="331"/>
      <c r="AH150" s="331"/>
      <c r="AI150" s="331"/>
      <c r="AJ150" s="331"/>
    </row>
    <row r="151" spans="1:36" x14ac:dyDescent="0.25">
      <c r="A151" s="331"/>
      <c r="B151" s="331"/>
      <c r="C151" s="331"/>
      <c r="D151" s="331"/>
      <c r="E151" s="331"/>
      <c r="F151" s="331"/>
      <c r="G151" s="331"/>
      <c r="H151" s="331"/>
      <c r="I151" s="331"/>
      <c r="J151" s="331"/>
      <c r="K151" s="331"/>
      <c r="L151" s="331"/>
      <c r="M151" s="331"/>
      <c r="N151" s="331"/>
      <c r="O151" s="331"/>
      <c r="P151" s="331"/>
      <c r="Q151" s="331"/>
      <c r="R151" s="331"/>
      <c r="S151" s="331"/>
      <c r="T151" s="331"/>
      <c r="U151" s="331"/>
      <c r="V151" s="331"/>
      <c r="W151" s="331"/>
      <c r="X151" s="331"/>
      <c r="Y151" s="331"/>
      <c r="Z151" s="331"/>
      <c r="AA151" s="331"/>
      <c r="AB151" s="331"/>
      <c r="AC151" s="331"/>
      <c r="AD151" s="331"/>
      <c r="AE151" s="331"/>
      <c r="AF151" s="331"/>
      <c r="AG151" s="331"/>
      <c r="AH151" s="331"/>
      <c r="AI151" s="331"/>
      <c r="AJ151" s="331"/>
    </row>
    <row r="152" spans="1:36" x14ac:dyDescent="0.25">
      <c r="A152" s="331"/>
      <c r="B152" s="331"/>
      <c r="C152" s="331"/>
      <c r="D152" s="331"/>
      <c r="E152" s="331"/>
      <c r="F152" s="331"/>
      <c r="G152" s="331"/>
      <c r="H152" s="331"/>
      <c r="I152" s="331"/>
      <c r="J152" s="331"/>
      <c r="K152" s="331"/>
      <c r="L152" s="331"/>
      <c r="M152" s="331"/>
      <c r="N152" s="331"/>
      <c r="O152" s="331"/>
      <c r="P152" s="331"/>
      <c r="Q152" s="331"/>
      <c r="R152" s="331"/>
      <c r="S152" s="331"/>
      <c r="T152" s="331"/>
      <c r="U152" s="331"/>
      <c r="V152" s="331"/>
      <c r="W152" s="331"/>
      <c r="X152" s="331"/>
      <c r="Y152" s="331"/>
      <c r="Z152" s="331"/>
      <c r="AA152" s="331"/>
      <c r="AB152" s="331"/>
      <c r="AC152" s="331"/>
      <c r="AD152" s="331"/>
      <c r="AE152" s="331"/>
      <c r="AF152" s="331"/>
      <c r="AG152" s="331"/>
      <c r="AH152" s="331"/>
      <c r="AI152" s="331"/>
      <c r="AJ152" s="331"/>
    </row>
    <row r="153" spans="1:36" x14ac:dyDescent="0.25">
      <c r="A153" s="331"/>
      <c r="B153" s="331"/>
      <c r="C153" s="331"/>
      <c r="D153" s="331"/>
      <c r="E153" s="331"/>
      <c r="F153" s="331"/>
      <c r="G153" s="331"/>
      <c r="H153" s="331"/>
      <c r="I153" s="331"/>
      <c r="J153" s="331"/>
      <c r="K153" s="331"/>
      <c r="L153" s="331"/>
      <c r="M153" s="331"/>
      <c r="N153" s="331"/>
      <c r="O153" s="331"/>
      <c r="P153" s="331"/>
      <c r="Q153" s="331"/>
      <c r="R153" s="331"/>
      <c r="S153" s="331"/>
      <c r="T153" s="331"/>
      <c r="U153" s="331"/>
      <c r="V153" s="331"/>
      <c r="W153" s="331"/>
      <c r="X153" s="331"/>
      <c r="Y153" s="331"/>
      <c r="Z153" s="331"/>
      <c r="AA153" s="331"/>
      <c r="AB153" s="331"/>
      <c r="AC153" s="331"/>
      <c r="AD153" s="331"/>
      <c r="AE153" s="331"/>
      <c r="AF153" s="331"/>
      <c r="AG153" s="331"/>
      <c r="AH153" s="331"/>
      <c r="AI153" s="331"/>
      <c r="AJ153" s="331"/>
    </row>
    <row r="154" spans="1:36" x14ac:dyDescent="0.25">
      <c r="A154" s="331"/>
      <c r="B154" s="331"/>
      <c r="C154" s="331"/>
      <c r="D154" s="331"/>
      <c r="E154" s="331"/>
      <c r="F154" s="331"/>
      <c r="G154" s="331"/>
      <c r="H154" s="331"/>
      <c r="I154" s="331"/>
      <c r="J154" s="331"/>
      <c r="K154" s="331"/>
      <c r="L154" s="331"/>
      <c r="M154" s="331"/>
      <c r="N154" s="331"/>
      <c r="O154" s="331"/>
      <c r="P154" s="331"/>
      <c r="Q154" s="331"/>
      <c r="R154" s="331"/>
      <c r="S154" s="331"/>
      <c r="T154" s="331"/>
      <c r="U154" s="331"/>
      <c r="V154" s="331"/>
      <c r="W154" s="331"/>
      <c r="X154" s="331"/>
      <c r="Y154" s="331"/>
      <c r="Z154" s="331"/>
      <c r="AA154" s="331"/>
      <c r="AB154" s="331"/>
      <c r="AC154" s="331"/>
      <c r="AD154" s="331"/>
      <c r="AE154" s="331"/>
      <c r="AF154" s="331"/>
      <c r="AG154" s="331"/>
      <c r="AH154" s="331"/>
      <c r="AI154" s="331"/>
      <c r="AJ154" s="331"/>
    </row>
    <row r="155" spans="1:36" x14ac:dyDescent="0.25">
      <c r="A155" s="331"/>
      <c r="B155" s="331"/>
      <c r="C155" s="331"/>
      <c r="D155" s="331"/>
      <c r="E155" s="331"/>
      <c r="F155" s="331"/>
      <c r="G155" s="331"/>
      <c r="H155" s="331"/>
      <c r="I155" s="331"/>
      <c r="J155" s="331"/>
      <c r="K155" s="331"/>
      <c r="L155" s="331"/>
      <c r="M155" s="331"/>
      <c r="N155" s="331"/>
      <c r="O155" s="331"/>
      <c r="P155" s="331"/>
      <c r="Q155" s="331"/>
      <c r="R155" s="331"/>
      <c r="S155" s="331"/>
      <c r="T155" s="331"/>
      <c r="U155" s="331"/>
      <c r="V155" s="331"/>
      <c r="W155" s="331"/>
      <c r="X155" s="331"/>
      <c r="Y155" s="331"/>
      <c r="Z155" s="331"/>
      <c r="AA155" s="331"/>
      <c r="AB155" s="331"/>
      <c r="AC155" s="331"/>
      <c r="AD155" s="331"/>
      <c r="AE155" s="331"/>
      <c r="AF155" s="331"/>
      <c r="AG155" s="331"/>
      <c r="AH155" s="331"/>
      <c r="AI155" s="331"/>
      <c r="AJ155" s="331"/>
    </row>
    <row r="156" spans="1:36" x14ac:dyDescent="0.25">
      <c r="A156" s="331"/>
      <c r="B156" s="331"/>
      <c r="C156" s="331"/>
      <c r="D156" s="331"/>
      <c r="E156" s="331"/>
      <c r="F156" s="331"/>
      <c r="G156" s="331"/>
      <c r="H156" s="331"/>
      <c r="I156" s="331"/>
      <c r="J156" s="331"/>
      <c r="K156" s="331"/>
      <c r="L156" s="331"/>
      <c r="M156" s="331"/>
      <c r="N156" s="331"/>
      <c r="O156" s="331"/>
      <c r="P156" s="331"/>
      <c r="Q156" s="331"/>
      <c r="R156" s="331"/>
      <c r="S156" s="331"/>
      <c r="T156" s="331"/>
      <c r="U156" s="331"/>
      <c r="V156" s="331"/>
      <c r="W156" s="331"/>
      <c r="X156" s="331"/>
      <c r="Y156" s="331"/>
      <c r="Z156" s="331"/>
      <c r="AA156" s="331"/>
      <c r="AB156" s="331"/>
      <c r="AC156" s="331"/>
      <c r="AD156" s="331"/>
      <c r="AE156" s="331"/>
      <c r="AF156" s="331"/>
      <c r="AG156" s="331"/>
      <c r="AH156" s="331"/>
      <c r="AI156" s="331"/>
      <c r="AJ156" s="331"/>
    </row>
    <row r="157" spans="1:36" x14ac:dyDescent="0.25">
      <c r="A157" s="331"/>
      <c r="B157" s="331"/>
      <c r="C157" s="331"/>
      <c r="D157" s="331"/>
      <c r="E157" s="331"/>
      <c r="F157" s="331"/>
      <c r="G157" s="331"/>
      <c r="H157" s="331"/>
      <c r="I157" s="331"/>
      <c r="J157" s="331"/>
      <c r="K157" s="331"/>
      <c r="L157" s="331"/>
      <c r="M157" s="331"/>
      <c r="N157" s="331"/>
      <c r="O157" s="331"/>
      <c r="P157" s="331"/>
      <c r="Q157" s="331"/>
      <c r="R157" s="331"/>
      <c r="S157" s="331"/>
      <c r="T157" s="331"/>
      <c r="U157" s="331"/>
      <c r="V157" s="331"/>
      <c r="W157" s="331"/>
      <c r="X157" s="331"/>
      <c r="Y157" s="331"/>
      <c r="Z157" s="331"/>
      <c r="AA157" s="331"/>
      <c r="AB157" s="331"/>
      <c r="AC157" s="331"/>
      <c r="AD157" s="331"/>
      <c r="AE157" s="331"/>
      <c r="AF157" s="331"/>
      <c r="AG157" s="331"/>
      <c r="AH157" s="331"/>
      <c r="AI157" s="331"/>
      <c r="AJ157" s="331"/>
    </row>
    <row r="158" spans="1:36" x14ac:dyDescent="0.25">
      <c r="A158" s="331"/>
      <c r="B158" s="331"/>
      <c r="C158" s="331"/>
      <c r="D158" s="331"/>
      <c r="E158" s="331"/>
      <c r="F158" s="331"/>
      <c r="G158" s="331"/>
      <c r="H158" s="331"/>
      <c r="I158" s="331"/>
      <c r="J158" s="331"/>
      <c r="K158" s="331"/>
      <c r="L158" s="331"/>
      <c r="M158" s="331"/>
      <c r="N158" s="331"/>
      <c r="O158" s="331"/>
      <c r="P158" s="331"/>
      <c r="Q158" s="331"/>
      <c r="R158" s="331"/>
      <c r="S158" s="331"/>
      <c r="T158" s="331"/>
      <c r="U158" s="331"/>
      <c r="V158" s="331"/>
      <c r="W158" s="331"/>
      <c r="X158" s="331"/>
      <c r="Y158" s="331"/>
      <c r="Z158" s="331"/>
      <c r="AA158" s="331"/>
      <c r="AB158" s="331"/>
      <c r="AC158" s="331"/>
      <c r="AD158" s="331"/>
      <c r="AE158" s="331"/>
      <c r="AF158" s="331"/>
      <c r="AG158" s="331"/>
      <c r="AH158" s="331"/>
      <c r="AI158" s="331"/>
      <c r="AJ158" s="331"/>
    </row>
    <row r="159" spans="1:36" x14ac:dyDescent="0.25">
      <c r="A159" s="331"/>
      <c r="B159" s="331"/>
      <c r="C159" s="331"/>
      <c r="D159" s="331"/>
      <c r="E159" s="331"/>
      <c r="F159" s="331"/>
      <c r="G159" s="331"/>
      <c r="H159" s="331"/>
      <c r="I159" s="331"/>
      <c r="J159" s="331"/>
      <c r="K159" s="331"/>
      <c r="L159" s="331"/>
      <c r="M159" s="331"/>
      <c r="N159" s="331"/>
      <c r="O159" s="331"/>
      <c r="P159" s="331"/>
      <c r="Q159" s="331"/>
      <c r="R159" s="331"/>
      <c r="S159" s="331"/>
      <c r="T159" s="331"/>
      <c r="U159" s="331"/>
      <c r="V159" s="331"/>
      <c r="W159" s="331"/>
      <c r="X159" s="331"/>
      <c r="Y159" s="331"/>
      <c r="Z159" s="331"/>
      <c r="AA159" s="331"/>
      <c r="AB159" s="331"/>
      <c r="AC159" s="331"/>
      <c r="AD159" s="331"/>
      <c r="AE159" s="331"/>
      <c r="AF159" s="331"/>
      <c r="AG159" s="331"/>
      <c r="AH159" s="331"/>
      <c r="AI159" s="331"/>
      <c r="AJ159" s="331"/>
    </row>
    <row r="160" spans="1:36" x14ac:dyDescent="0.25">
      <c r="A160" s="331"/>
      <c r="B160" s="331"/>
      <c r="C160" s="331"/>
      <c r="D160" s="331"/>
      <c r="E160" s="331"/>
      <c r="F160" s="331"/>
      <c r="G160" s="331"/>
      <c r="H160" s="331"/>
      <c r="I160" s="331"/>
      <c r="J160" s="331"/>
      <c r="K160" s="331"/>
      <c r="L160" s="331"/>
      <c r="M160" s="331"/>
      <c r="N160" s="331"/>
      <c r="O160" s="331"/>
      <c r="P160" s="331"/>
      <c r="Q160" s="331"/>
      <c r="R160" s="331"/>
      <c r="S160" s="331"/>
      <c r="T160" s="331"/>
      <c r="U160" s="331"/>
      <c r="V160" s="331"/>
      <c r="W160" s="331"/>
      <c r="X160" s="331"/>
      <c r="Y160" s="331"/>
      <c r="Z160" s="331"/>
      <c r="AA160" s="331"/>
      <c r="AB160" s="331"/>
      <c r="AC160" s="331"/>
      <c r="AD160" s="331"/>
      <c r="AE160" s="331"/>
      <c r="AF160" s="331"/>
      <c r="AG160" s="331"/>
      <c r="AH160" s="331"/>
      <c r="AI160" s="331"/>
      <c r="AJ160" s="331"/>
    </row>
    <row r="161" spans="1:36" x14ac:dyDescent="0.25">
      <c r="A161" s="331"/>
      <c r="B161" s="331"/>
      <c r="C161" s="331"/>
      <c r="D161" s="331"/>
      <c r="E161" s="331"/>
      <c r="F161" s="331"/>
      <c r="G161" s="331"/>
      <c r="H161" s="331"/>
      <c r="I161" s="331"/>
      <c r="J161" s="331"/>
      <c r="K161" s="331"/>
      <c r="L161" s="331"/>
      <c r="M161" s="331"/>
      <c r="N161" s="331"/>
      <c r="O161" s="331"/>
      <c r="P161" s="331"/>
      <c r="Q161" s="331"/>
      <c r="R161" s="331"/>
      <c r="S161" s="331"/>
      <c r="T161" s="331"/>
      <c r="U161" s="331"/>
      <c r="V161" s="331"/>
      <c r="W161" s="331"/>
      <c r="X161" s="331"/>
      <c r="Y161" s="331"/>
      <c r="Z161" s="331"/>
      <c r="AA161" s="331"/>
      <c r="AB161" s="331"/>
      <c r="AC161" s="331"/>
      <c r="AD161" s="331"/>
      <c r="AE161" s="331"/>
      <c r="AF161" s="331"/>
      <c r="AG161" s="331"/>
      <c r="AH161" s="331"/>
      <c r="AI161" s="331"/>
      <c r="AJ161" s="331"/>
    </row>
    <row r="162" spans="1:36" x14ac:dyDescent="0.25">
      <c r="A162" s="331"/>
      <c r="B162" s="331"/>
      <c r="C162" s="331"/>
      <c r="D162" s="331"/>
      <c r="E162" s="331"/>
      <c r="F162" s="331"/>
      <c r="G162" s="331"/>
      <c r="H162" s="331"/>
      <c r="I162" s="331"/>
      <c r="J162" s="331"/>
      <c r="K162" s="331"/>
      <c r="L162" s="331"/>
      <c r="M162" s="331"/>
      <c r="N162" s="331"/>
      <c r="O162" s="331"/>
      <c r="P162" s="331"/>
      <c r="Q162" s="331"/>
      <c r="R162" s="331"/>
      <c r="S162" s="331"/>
      <c r="T162" s="331"/>
      <c r="U162" s="331"/>
      <c r="V162" s="331"/>
      <c r="W162" s="331"/>
      <c r="X162" s="331"/>
      <c r="Y162" s="331"/>
      <c r="Z162" s="331"/>
      <c r="AA162" s="331"/>
      <c r="AB162" s="331"/>
      <c r="AC162" s="331"/>
      <c r="AD162" s="331"/>
      <c r="AE162" s="331"/>
      <c r="AF162" s="331"/>
      <c r="AG162" s="331"/>
      <c r="AH162" s="331"/>
      <c r="AI162" s="331"/>
      <c r="AJ162" s="331"/>
    </row>
    <row r="163" spans="1:36" x14ac:dyDescent="0.25">
      <c r="A163" s="331"/>
      <c r="B163" s="331"/>
      <c r="C163" s="331"/>
      <c r="D163" s="331"/>
      <c r="E163" s="331"/>
      <c r="F163" s="331"/>
      <c r="G163" s="331"/>
      <c r="H163" s="331"/>
      <c r="I163" s="331"/>
      <c r="J163" s="331"/>
      <c r="K163" s="331"/>
      <c r="L163" s="331"/>
      <c r="M163" s="331"/>
      <c r="N163" s="331"/>
      <c r="O163" s="331"/>
      <c r="P163" s="331"/>
      <c r="Q163" s="331"/>
      <c r="R163" s="331"/>
      <c r="S163" s="331"/>
      <c r="T163" s="331"/>
      <c r="U163" s="331"/>
      <c r="V163" s="331"/>
      <c r="W163" s="331"/>
      <c r="X163" s="331"/>
      <c r="Y163" s="331"/>
      <c r="Z163" s="331"/>
      <c r="AA163" s="331"/>
      <c r="AB163" s="331"/>
      <c r="AC163" s="331"/>
      <c r="AD163" s="331"/>
      <c r="AE163" s="331"/>
      <c r="AF163" s="331"/>
      <c r="AG163" s="331"/>
      <c r="AH163" s="331"/>
      <c r="AI163" s="331"/>
      <c r="AJ163" s="331"/>
    </row>
    <row r="164" spans="1:36" x14ac:dyDescent="0.25">
      <c r="A164" s="331"/>
      <c r="B164" s="331"/>
      <c r="C164" s="331"/>
      <c r="D164" s="331"/>
      <c r="E164" s="331"/>
      <c r="F164" s="331"/>
      <c r="G164" s="331"/>
      <c r="H164" s="331"/>
      <c r="I164" s="331"/>
      <c r="J164" s="331"/>
      <c r="K164" s="331"/>
      <c r="L164" s="331"/>
      <c r="M164" s="331"/>
      <c r="N164" s="331"/>
      <c r="O164" s="331"/>
      <c r="P164" s="331"/>
      <c r="Q164" s="331"/>
      <c r="R164" s="331"/>
      <c r="S164" s="331"/>
      <c r="T164" s="331"/>
      <c r="U164" s="331"/>
      <c r="V164" s="331"/>
      <c r="W164" s="331"/>
      <c r="X164" s="331"/>
      <c r="Y164" s="331"/>
      <c r="Z164" s="331"/>
      <c r="AA164" s="331"/>
      <c r="AB164" s="331"/>
      <c r="AC164" s="331"/>
      <c r="AD164" s="331"/>
      <c r="AE164" s="331"/>
      <c r="AF164" s="331"/>
      <c r="AG164" s="331"/>
      <c r="AH164" s="331"/>
      <c r="AI164" s="331"/>
      <c r="AJ164" s="331"/>
    </row>
    <row r="165" spans="1:36" x14ac:dyDescent="0.25">
      <c r="A165" s="331"/>
      <c r="B165" s="331"/>
      <c r="C165" s="331"/>
      <c r="D165" s="331"/>
      <c r="E165" s="331"/>
      <c r="F165" s="331"/>
      <c r="G165" s="331"/>
      <c r="H165" s="331"/>
      <c r="I165" s="331"/>
      <c r="J165" s="331"/>
      <c r="K165" s="331"/>
      <c r="L165" s="331"/>
      <c r="M165" s="331"/>
      <c r="N165" s="331"/>
      <c r="O165" s="331"/>
      <c r="P165" s="331"/>
      <c r="Q165" s="331"/>
      <c r="R165" s="331"/>
      <c r="S165" s="331"/>
      <c r="T165" s="331"/>
      <c r="U165" s="331"/>
      <c r="V165" s="331"/>
      <c r="W165" s="331"/>
      <c r="X165" s="331"/>
      <c r="Y165" s="331"/>
      <c r="Z165" s="331"/>
      <c r="AA165" s="331"/>
      <c r="AB165" s="331"/>
      <c r="AC165" s="331"/>
      <c r="AD165" s="331"/>
      <c r="AE165" s="331"/>
      <c r="AF165" s="331"/>
      <c r="AG165" s="331"/>
      <c r="AH165" s="331"/>
      <c r="AI165" s="331"/>
      <c r="AJ165" s="331"/>
    </row>
    <row r="166" spans="1:36" x14ac:dyDescent="0.25">
      <c r="A166" s="331"/>
      <c r="B166" s="331"/>
      <c r="C166" s="331"/>
      <c r="D166" s="331"/>
      <c r="E166" s="331"/>
      <c r="F166" s="331"/>
      <c r="G166" s="331"/>
      <c r="H166" s="331"/>
      <c r="I166" s="331"/>
      <c r="J166" s="331"/>
      <c r="K166" s="331"/>
      <c r="L166" s="331"/>
      <c r="M166" s="331"/>
      <c r="N166" s="331"/>
      <c r="O166" s="331"/>
      <c r="P166" s="331"/>
      <c r="Q166" s="331"/>
      <c r="R166" s="331"/>
      <c r="S166" s="331"/>
      <c r="T166" s="331"/>
      <c r="U166" s="331"/>
      <c r="V166" s="331"/>
      <c r="W166" s="331"/>
      <c r="X166" s="331"/>
      <c r="Y166" s="331"/>
      <c r="Z166" s="331"/>
      <c r="AA166" s="331"/>
      <c r="AB166" s="331"/>
      <c r="AC166" s="331"/>
      <c r="AD166" s="331"/>
      <c r="AE166" s="331"/>
      <c r="AF166" s="331"/>
      <c r="AG166" s="331"/>
      <c r="AH166" s="331"/>
      <c r="AI166" s="331"/>
      <c r="AJ166" s="331"/>
    </row>
    <row r="167" spans="1:36" x14ac:dyDescent="0.25">
      <c r="A167" s="331"/>
      <c r="B167" s="331"/>
      <c r="C167" s="331"/>
      <c r="D167" s="331"/>
      <c r="E167" s="331"/>
      <c r="F167" s="331"/>
      <c r="G167" s="331"/>
      <c r="H167" s="331"/>
      <c r="I167" s="331"/>
      <c r="J167" s="331"/>
      <c r="K167" s="331"/>
      <c r="L167" s="331"/>
      <c r="M167" s="331"/>
      <c r="N167" s="331"/>
      <c r="O167" s="331"/>
      <c r="P167" s="331"/>
      <c r="Q167" s="331"/>
      <c r="R167" s="331"/>
      <c r="S167" s="331"/>
      <c r="T167" s="331"/>
      <c r="U167" s="331"/>
      <c r="V167" s="331"/>
      <c r="W167" s="331"/>
      <c r="X167" s="331"/>
      <c r="Y167" s="331"/>
      <c r="Z167" s="331"/>
      <c r="AA167" s="331"/>
      <c r="AB167" s="331"/>
      <c r="AC167" s="331"/>
      <c r="AD167" s="331"/>
      <c r="AE167" s="331"/>
      <c r="AF167" s="331"/>
      <c r="AG167" s="331"/>
      <c r="AH167" s="331"/>
      <c r="AI167" s="331"/>
      <c r="AJ167" s="331"/>
    </row>
    <row r="168" spans="1:36" x14ac:dyDescent="0.25">
      <c r="A168" s="331"/>
      <c r="B168" s="331"/>
      <c r="C168" s="331"/>
      <c r="D168" s="331"/>
      <c r="E168" s="331"/>
      <c r="F168" s="331"/>
      <c r="G168" s="331"/>
      <c r="H168" s="331"/>
      <c r="I168" s="331"/>
      <c r="J168" s="331"/>
      <c r="K168" s="331"/>
      <c r="L168" s="331"/>
      <c r="M168" s="331"/>
      <c r="N168" s="331"/>
      <c r="O168" s="331"/>
      <c r="P168" s="331"/>
      <c r="Q168" s="331"/>
      <c r="R168" s="331"/>
      <c r="S168" s="331"/>
      <c r="T168" s="331"/>
      <c r="U168" s="331"/>
      <c r="V168" s="331"/>
      <c r="W168" s="331"/>
      <c r="X168" s="331"/>
      <c r="Y168" s="331"/>
      <c r="Z168" s="331"/>
      <c r="AA168" s="331"/>
      <c r="AB168" s="331"/>
      <c r="AC168" s="331"/>
      <c r="AD168" s="331"/>
      <c r="AE168" s="331"/>
      <c r="AF168" s="331"/>
      <c r="AG168" s="331"/>
      <c r="AH168" s="331"/>
      <c r="AI168" s="331"/>
      <c r="AJ168" s="331"/>
    </row>
    <row r="169" spans="1:36" x14ac:dyDescent="0.25">
      <c r="A169" s="331"/>
      <c r="B169" s="331"/>
      <c r="C169" s="331"/>
      <c r="D169" s="331"/>
      <c r="E169" s="331"/>
      <c r="F169" s="331"/>
      <c r="G169" s="331"/>
      <c r="H169" s="331"/>
      <c r="I169" s="331"/>
      <c r="J169" s="331"/>
      <c r="K169" s="331"/>
      <c r="L169" s="331"/>
      <c r="M169" s="331"/>
      <c r="N169" s="331"/>
      <c r="O169" s="331"/>
      <c r="P169" s="331"/>
      <c r="Q169" s="331"/>
      <c r="R169" s="331"/>
      <c r="S169" s="331"/>
      <c r="T169" s="331"/>
      <c r="U169" s="331"/>
      <c r="V169" s="331"/>
      <c r="W169" s="331"/>
      <c r="X169" s="331"/>
      <c r="Y169" s="331"/>
      <c r="Z169" s="331"/>
      <c r="AA169" s="331"/>
      <c r="AB169" s="331"/>
      <c r="AC169" s="331"/>
      <c r="AD169" s="331"/>
      <c r="AE169" s="331"/>
      <c r="AF169" s="331"/>
      <c r="AG169" s="331"/>
      <c r="AH169" s="331"/>
      <c r="AI169" s="331"/>
      <c r="AJ169" s="331"/>
    </row>
    <row r="170" spans="1:36" x14ac:dyDescent="0.25">
      <c r="A170" s="331"/>
      <c r="B170" s="331"/>
      <c r="C170" s="331"/>
      <c r="D170" s="331"/>
      <c r="E170" s="331"/>
      <c r="F170" s="331"/>
      <c r="G170" s="331"/>
      <c r="H170" s="331"/>
      <c r="I170" s="331"/>
      <c r="J170" s="331"/>
      <c r="K170" s="331"/>
      <c r="L170" s="331"/>
      <c r="M170" s="331"/>
      <c r="N170" s="331"/>
      <c r="O170" s="331"/>
      <c r="P170" s="331"/>
      <c r="Q170" s="331"/>
      <c r="R170" s="331"/>
      <c r="S170" s="331"/>
      <c r="T170" s="331"/>
      <c r="U170" s="331"/>
      <c r="V170" s="331"/>
      <c r="W170" s="331"/>
      <c r="X170" s="331"/>
      <c r="Y170" s="331"/>
      <c r="Z170" s="331"/>
      <c r="AA170" s="331"/>
      <c r="AB170" s="331"/>
      <c r="AC170" s="331"/>
      <c r="AD170" s="331"/>
      <c r="AE170" s="331"/>
      <c r="AF170" s="331"/>
      <c r="AG170" s="331"/>
      <c r="AH170" s="331"/>
      <c r="AI170" s="331"/>
      <c r="AJ170" s="331"/>
    </row>
    <row r="171" spans="1:36" x14ac:dyDescent="0.25">
      <c r="A171" s="331"/>
      <c r="B171" s="331"/>
      <c r="C171" s="331"/>
      <c r="D171" s="331"/>
      <c r="E171" s="331"/>
      <c r="F171" s="331"/>
      <c r="G171" s="331"/>
      <c r="H171" s="331"/>
      <c r="I171" s="331"/>
      <c r="J171" s="331"/>
      <c r="K171" s="331"/>
      <c r="L171" s="331"/>
      <c r="M171" s="331"/>
      <c r="N171" s="331"/>
      <c r="O171" s="331"/>
      <c r="P171" s="331"/>
      <c r="Q171" s="331"/>
      <c r="R171" s="331"/>
      <c r="S171" s="331"/>
      <c r="T171" s="331"/>
      <c r="U171" s="331"/>
      <c r="V171" s="331"/>
      <c r="W171" s="331"/>
      <c r="X171" s="331"/>
      <c r="Y171" s="331"/>
      <c r="Z171" s="331"/>
      <c r="AA171" s="331"/>
      <c r="AB171" s="331"/>
      <c r="AC171" s="331"/>
      <c r="AD171" s="331"/>
      <c r="AE171" s="331"/>
      <c r="AF171" s="331"/>
      <c r="AG171" s="331"/>
      <c r="AH171" s="331"/>
      <c r="AI171" s="331"/>
      <c r="AJ171" s="331"/>
    </row>
    <row r="172" spans="1:36" x14ac:dyDescent="0.25">
      <c r="A172" s="331"/>
      <c r="B172" s="331"/>
      <c r="C172" s="331"/>
      <c r="D172" s="331"/>
      <c r="E172" s="331"/>
      <c r="F172" s="331"/>
      <c r="G172" s="331"/>
      <c r="H172" s="331"/>
      <c r="I172" s="331"/>
      <c r="J172" s="331"/>
      <c r="K172" s="331"/>
      <c r="L172" s="331"/>
      <c r="M172" s="331"/>
      <c r="N172" s="331"/>
      <c r="O172" s="331"/>
      <c r="P172" s="331"/>
      <c r="Q172" s="331"/>
      <c r="R172" s="331"/>
      <c r="S172" s="331"/>
      <c r="T172" s="331"/>
      <c r="U172" s="331"/>
      <c r="V172" s="331"/>
      <c r="W172" s="331"/>
      <c r="X172" s="331"/>
      <c r="Y172" s="331"/>
      <c r="Z172" s="331"/>
      <c r="AA172" s="331"/>
      <c r="AB172" s="331"/>
      <c r="AC172" s="331"/>
      <c r="AD172" s="331"/>
      <c r="AE172" s="331"/>
      <c r="AF172" s="331"/>
      <c r="AG172" s="331"/>
      <c r="AH172" s="331"/>
      <c r="AI172" s="331"/>
      <c r="AJ172" s="331"/>
    </row>
    <row r="173" spans="1:36" x14ac:dyDescent="0.25">
      <c r="A173" s="544" t="s">
        <v>480</v>
      </c>
      <c r="B173" s="331"/>
      <c r="C173" s="331"/>
      <c r="D173" s="331"/>
      <c r="E173" s="331"/>
      <c r="F173" s="331"/>
      <c r="G173" s="331"/>
      <c r="H173" s="331"/>
      <c r="I173" s="331"/>
      <c r="J173" s="331"/>
      <c r="K173" s="331"/>
      <c r="L173" s="331"/>
      <c r="M173" s="331"/>
      <c r="N173" s="331"/>
      <c r="O173" s="331"/>
      <c r="P173" s="331"/>
      <c r="Q173" s="331"/>
      <c r="R173" s="331"/>
      <c r="S173" s="331"/>
      <c r="T173" s="331"/>
      <c r="U173" s="331"/>
      <c r="V173" s="331"/>
      <c r="W173" s="331"/>
      <c r="X173" s="331"/>
      <c r="Y173" s="331"/>
      <c r="Z173" s="331"/>
      <c r="AA173" s="331"/>
      <c r="AB173" s="331"/>
      <c r="AC173" s="331"/>
      <c r="AD173" s="331"/>
      <c r="AE173" s="331"/>
      <c r="AF173" s="331"/>
      <c r="AG173" s="331"/>
      <c r="AH173" s="331"/>
      <c r="AI173" s="331"/>
      <c r="AJ173" s="331"/>
    </row>
    <row r="174" spans="1:36" x14ac:dyDescent="0.25">
      <c r="A174" s="331"/>
      <c r="B174" s="331"/>
      <c r="C174" s="331"/>
      <c r="D174" s="331"/>
      <c r="E174" s="331"/>
      <c r="F174" s="331"/>
      <c r="G174" s="331"/>
      <c r="H174" s="331"/>
      <c r="I174" s="331"/>
      <c r="J174" s="331"/>
      <c r="K174" s="331"/>
      <c r="L174" s="331"/>
      <c r="M174" s="331"/>
      <c r="N174" s="331"/>
      <c r="O174" s="331"/>
      <c r="P174" s="331"/>
      <c r="Q174" s="331"/>
      <c r="R174" s="331"/>
      <c r="S174" s="331"/>
      <c r="T174" s="331"/>
      <c r="U174" s="331"/>
      <c r="V174" s="331"/>
      <c r="W174" s="331"/>
      <c r="X174" s="331"/>
      <c r="Y174" s="331"/>
      <c r="Z174" s="331"/>
      <c r="AA174" s="331"/>
      <c r="AB174" s="331"/>
      <c r="AC174" s="331"/>
      <c r="AD174" s="331"/>
      <c r="AE174" s="331"/>
      <c r="AF174" s="331"/>
      <c r="AG174" s="331"/>
      <c r="AH174" s="331"/>
      <c r="AI174" s="331"/>
      <c r="AJ174" s="331"/>
    </row>
    <row r="175" spans="1:36" x14ac:dyDescent="0.25">
      <c r="A175" s="331"/>
      <c r="B175" s="331"/>
      <c r="C175" s="331"/>
      <c r="D175" s="331"/>
      <c r="E175" s="331"/>
      <c r="F175" s="331"/>
      <c r="G175" s="331"/>
      <c r="H175" s="331"/>
      <c r="I175" s="331"/>
      <c r="J175" s="331"/>
      <c r="K175" s="331"/>
      <c r="L175" s="331"/>
      <c r="M175" s="331"/>
      <c r="N175" s="331"/>
      <c r="O175" s="331"/>
      <c r="P175" s="331"/>
      <c r="Q175" s="331"/>
      <c r="R175" s="331"/>
      <c r="S175" s="331"/>
      <c r="T175" s="331"/>
      <c r="U175" s="331"/>
      <c r="V175" s="331"/>
      <c r="W175" s="331"/>
      <c r="X175" s="331"/>
      <c r="Y175" s="331"/>
      <c r="Z175" s="331"/>
      <c r="AA175" s="331"/>
      <c r="AB175" s="331"/>
      <c r="AC175" s="331"/>
      <c r="AD175" s="331"/>
      <c r="AE175" s="331"/>
      <c r="AF175" s="331"/>
      <c r="AG175" s="331"/>
      <c r="AH175" s="331"/>
      <c r="AI175" s="331"/>
      <c r="AJ175" s="331"/>
    </row>
    <row r="176" spans="1:36" x14ac:dyDescent="0.25">
      <c r="A176" s="331"/>
      <c r="B176" s="331"/>
      <c r="C176" s="331"/>
      <c r="D176" s="331"/>
      <c r="E176" s="331"/>
      <c r="F176" s="331"/>
      <c r="G176" s="331"/>
      <c r="H176" s="331"/>
      <c r="I176" s="331"/>
      <c r="J176" s="331"/>
      <c r="K176" s="331"/>
      <c r="L176" s="331"/>
      <c r="M176" s="331"/>
      <c r="N176" s="331"/>
      <c r="O176" s="331"/>
      <c r="P176" s="331"/>
      <c r="Q176" s="331"/>
      <c r="R176" s="331"/>
      <c r="S176" s="331"/>
      <c r="T176" s="331"/>
      <c r="U176" s="331"/>
      <c r="V176" s="331"/>
      <c r="W176" s="331"/>
      <c r="X176" s="331"/>
      <c r="Y176" s="331"/>
      <c r="Z176" s="331"/>
      <c r="AA176" s="331"/>
      <c r="AB176" s="331"/>
      <c r="AC176" s="331"/>
      <c r="AD176" s="331"/>
      <c r="AE176" s="331"/>
      <c r="AF176" s="331"/>
      <c r="AG176" s="331"/>
      <c r="AH176" s="331"/>
      <c r="AI176" s="331"/>
      <c r="AJ176" s="331"/>
    </row>
    <row r="177" spans="1:36" x14ac:dyDescent="0.25">
      <c r="A177" s="331"/>
      <c r="B177" s="331"/>
      <c r="C177" s="331"/>
      <c r="D177" s="331"/>
      <c r="E177" s="331"/>
      <c r="F177" s="331"/>
      <c r="G177" s="331"/>
      <c r="H177" s="331"/>
      <c r="I177" s="331"/>
      <c r="J177" s="331"/>
      <c r="K177" s="331"/>
      <c r="L177" s="331"/>
      <c r="M177" s="331"/>
      <c r="N177" s="331"/>
      <c r="O177" s="331"/>
      <c r="P177" s="331"/>
      <c r="Q177" s="331"/>
      <c r="R177" s="331"/>
      <c r="S177" s="331"/>
      <c r="T177" s="331"/>
      <c r="U177" s="331"/>
      <c r="V177" s="331"/>
      <c r="W177" s="331"/>
      <c r="X177" s="331"/>
      <c r="Y177" s="331"/>
      <c r="Z177" s="331"/>
      <c r="AA177" s="331"/>
      <c r="AB177" s="331"/>
      <c r="AC177" s="331"/>
      <c r="AD177" s="331"/>
      <c r="AE177" s="331"/>
      <c r="AF177" s="331"/>
      <c r="AG177" s="331"/>
      <c r="AH177" s="331"/>
      <c r="AI177" s="331"/>
      <c r="AJ177" s="331"/>
    </row>
    <row r="178" spans="1:36" x14ac:dyDescent="0.25">
      <c r="A178" s="331"/>
      <c r="B178" s="331"/>
      <c r="C178" s="331"/>
      <c r="D178" s="331"/>
      <c r="E178" s="331"/>
      <c r="F178" s="331"/>
      <c r="G178" s="331"/>
      <c r="H178" s="331"/>
      <c r="I178" s="331"/>
      <c r="J178" s="331"/>
      <c r="K178" s="331"/>
      <c r="L178" s="331"/>
      <c r="M178" s="331"/>
      <c r="N178" s="331"/>
      <c r="O178" s="331"/>
      <c r="P178" s="331"/>
      <c r="Q178" s="331"/>
      <c r="R178" s="331"/>
      <c r="S178" s="331"/>
      <c r="T178" s="331"/>
      <c r="U178" s="331"/>
      <c r="V178" s="331"/>
      <c r="W178" s="331"/>
      <c r="X178" s="331"/>
      <c r="Y178" s="331"/>
      <c r="Z178" s="331"/>
      <c r="AA178" s="331"/>
      <c r="AB178" s="331"/>
      <c r="AC178" s="331"/>
      <c r="AD178" s="331"/>
      <c r="AE178" s="331"/>
      <c r="AF178" s="331"/>
      <c r="AG178" s="331"/>
      <c r="AH178" s="331"/>
      <c r="AI178" s="331"/>
      <c r="AJ178" s="331"/>
    </row>
    <row r="179" spans="1:36" x14ac:dyDescent="0.25">
      <c r="A179" s="331"/>
      <c r="B179" s="331"/>
      <c r="C179" s="331"/>
      <c r="D179" s="331"/>
      <c r="E179" s="331"/>
      <c r="F179" s="331"/>
      <c r="G179" s="331"/>
      <c r="H179" s="331"/>
      <c r="I179" s="331"/>
      <c r="J179" s="331"/>
      <c r="K179" s="331"/>
      <c r="L179" s="331"/>
      <c r="M179" s="331"/>
      <c r="N179" s="331"/>
      <c r="O179" s="331"/>
      <c r="P179" s="331"/>
      <c r="Q179" s="331"/>
      <c r="R179" s="331"/>
      <c r="S179" s="331"/>
      <c r="T179" s="331"/>
      <c r="U179" s="331"/>
      <c r="V179" s="331"/>
      <c r="W179" s="331"/>
      <c r="X179" s="331"/>
      <c r="Y179" s="331"/>
      <c r="Z179" s="331"/>
      <c r="AA179" s="331"/>
      <c r="AB179" s="331"/>
      <c r="AC179" s="331"/>
      <c r="AD179" s="331"/>
      <c r="AE179" s="331"/>
      <c r="AF179" s="331"/>
      <c r="AG179" s="331"/>
      <c r="AH179" s="331"/>
      <c r="AI179" s="331"/>
      <c r="AJ179" s="331"/>
    </row>
    <row r="180" spans="1:36" x14ac:dyDescent="0.25">
      <c r="A180" s="331"/>
      <c r="B180" s="331"/>
      <c r="C180" s="331"/>
      <c r="D180" s="331"/>
      <c r="E180" s="331"/>
      <c r="F180" s="331"/>
      <c r="G180" s="331"/>
      <c r="H180" s="331"/>
      <c r="I180" s="331"/>
      <c r="J180" s="331"/>
      <c r="K180" s="331"/>
      <c r="L180" s="331"/>
      <c r="M180" s="331"/>
      <c r="N180" s="331"/>
      <c r="O180" s="331"/>
      <c r="P180" s="331"/>
      <c r="Q180" s="331"/>
      <c r="R180" s="331"/>
      <c r="S180" s="331"/>
      <c r="T180" s="331"/>
      <c r="U180" s="331"/>
      <c r="V180" s="331"/>
      <c r="W180" s="331"/>
      <c r="X180" s="331"/>
      <c r="Y180" s="331"/>
      <c r="Z180" s="331"/>
      <c r="AA180" s="331"/>
      <c r="AB180" s="331"/>
      <c r="AC180" s="331"/>
      <c r="AD180" s="331"/>
      <c r="AE180" s="331"/>
      <c r="AF180" s="331"/>
      <c r="AG180" s="331"/>
      <c r="AH180" s="331"/>
      <c r="AI180" s="331"/>
      <c r="AJ180" s="331"/>
    </row>
    <row r="181" spans="1:36" x14ac:dyDescent="0.25">
      <c r="A181" s="331"/>
      <c r="B181" s="331"/>
      <c r="C181" s="331"/>
      <c r="D181" s="331"/>
      <c r="E181" s="331"/>
      <c r="F181" s="331"/>
      <c r="G181" s="331"/>
      <c r="H181" s="331"/>
      <c r="I181" s="331"/>
      <c r="J181" s="331"/>
      <c r="K181" s="331"/>
      <c r="L181" s="331"/>
      <c r="M181" s="331"/>
      <c r="N181" s="331"/>
      <c r="O181" s="331"/>
      <c r="P181" s="331"/>
      <c r="Q181" s="331"/>
      <c r="R181" s="331"/>
      <c r="S181" s="331"/>
      <c r="T181" s="331"/>
      <c r="U181" s="331"/>
      <c r="V181" s="331"/>
      <c r="W181" s="331"/>
      <c r="X181" s="331"/>
      <c r="Y181" s="331"/>
      <c r="Z181" s="331"/>
      <c r="AA181" s="331"/>
      <c r="AB181" s="331"/>
      <c r="AC181" s="331"/>
      <c r="AD181" s="331"/>
      <c r="AE181" s="331"/>
      <c r="AF181" s="331"/>
      <c r="AG181" s="331"/>
      <c r="AH181" s="331"/>
      <c r="AI181" s="331"/>
      <c r="AJ181" s="331"/>
    </row>
    <row r="182" spans="1:36" x14ac:dyDescent="0.25">
      <c r="A182" s="331"/>
      <c r="B182" s="331"/>
      <c r="C182" s="331"/>
      <c r="D182" s="331"/>
      <c r="E182" s="331"/>
      <c r="F182" s="331"/>
      <c r="G182" s="331"/>
      <c r="H182" s="331"/>
      <c r="I182" s="331"/>
      <c r="J182" s="331"/>
      <c r="K182" s="331"/>
      <c r="L182" s="331"/>
      <c r="M182" s="331"/>
      <c r="N182" s="331"/>
      <c r="O182" s="331"/>
      <c r="P182" s="331"/>
      <c r="Q182" s="331"/>
      <c r="R182" s="331"/>
      <c r="S182" s="331"/>
      <c r="T182" s="331"/>
      <c r="U182" s="331"/>
      <c r="V182" s="331"/>
      <c r="W182" s="331"/>
      <c r="X182" s="331"/>
      <c r="Y182" s="331"/>
      <c r="Z182" s="331"/>
      <c r="AA182" s="331"/>
      <c r="AB182" s="331"/>
      <c r="AC182" s="331"/>
      <c r="AD182" s="331"/>
      <c r="AE182" s="331"/>
      <c r="AF182" s="331"/>
      <c r="AG182" s="331"/>
      <c r="AH182" s="331"/>
      <c r="AI182" s="331"/>
      <c r="AJ182" s="331"/>
    </row>
    <row r="183" spans="1:36" x14ac:dyDescent="0.25">
      <c r="A183" s="331"/>
      <c r="B183" s="331"/>
      <c r="C183" s="331"/>
      <c r="D183" s="331"/>
      <c r="E183" s="331"/>
      <c r="F183" s="331"/>
      <c r="G183" s="331"/>
      <c r="H183" s="331"/>
      <c r="I183" s="331"/>
      <c r="J183" s="331"/>
      <c r="K183" s="331"/>
      <c r="L183" s="331"/>
      <c r="M183" s="331"/>
      <c r="N183" s="331"/>
      <c r="O183" s="331"/>
      <c r="P183" s="331"/>
      <c r="Q183" s="331"/>
      <c r="R183" s="331"/>
      <c r="S183" s="331"/>
      <c r="T183" s="331"/>
      <c r="U183" s="331"/>
      <c r="V183" s="331"/>
      <c r="W183" s="331"/>
      <c r="X183" s="331"/>
      <c r="Y183" s="331"/>
      <c r="Z183" s="331"/>
      <c r="AA183" s="331"/>
      <c r="AB183" s="331"/>
      <c r="AC183" s="331"/>
      <c r="AD183" s="331"/>
      <c r="AE183" s="331"/>
      <c r="AF183" s="331"/>
      <c r="AG183" s="331"/>
      <c r="AH183" s="331"/>
      <c r="AI183" s="331"/>
      <c r="AJ183" s="331"/>
    </row>
    <row r="184" spans="1:36" x14ac:dyDescent="0.25">
      <c r="A184" s="331"/>
      <c r="B184" s="331"/>
      <c r="C184" s="331"/>
      <c r="D184" s="331"/>
      <c r="E184" s="331"/>
      <c r="F184" s="331"/>
      <c r="G184" s="331"/>
      <c r="H184" s="331"/>
      <c r="I184" s="331"/>
      <c r="J184" s="331"/>
      <c r="K184" s="331"/>
      <c r="L184" s="331"/>
      <c r="M184" s="331"/>
      <c r="N184" s="331"/>
      <c r="O184" s="331"/>
      <c r="P184" s="331"/>
      <c r="Q184" s="331"/>
      <c r="R184" s="331"/>
      <c r="S184" s="331"/>
      <c r="T184" s="331"/>
      <c r="U184" s="331"/>
      <c r="V184" s="331"/>
      <c r="W184" s="331"/>
      <c r="X184" s="331"/>
      <c r="Y184" s="331"/>
      <c r="Z184" s="331"/>
      <c r="AA184" s="331"/>
      <c r="AB184" s="331"/>
      <c r="AC184" s="331"/>
      <c r="AD184" s="331"/>
      <c r="AE184" s="331"/>
      <c r="AF184" s="331"/>
      <c r="AG184" s="331"/>
      <c r="AH184" s="331"/>
      <c r="AI184" s="331"/>
      <c r="AJ184" s="331"/>
    </row>
    <row r="185" spans="1:36" x14ac:dyDescent="0.25">
      <c r="A185" s="331"/>
      <c r="B185" s="331"/>
      <c r="C185" s="331"/>
      <c r="D185" s="331"/>
      <c r="E185" s="331"/>
      <c r="F185" s="331"/>
      <c r="G185" s="331"/>
      <c r="H185" s="331"/>
      <c r="I185" s="331"/>
      <c r="J185" s="331"/>
      <c r="K185" s="331"/>
      <c r="L185" s="331"/>
      <c r="M185" s="331"/>
      <c r="N185" s="331"/>
      <c r="O185" s="331"/>
      <c r="P185" s="331"/>
      <c r="Q185" s="331"/>
      <c r="R185" s="331"/>
      <c r="S185" s="331"/>
      <c r="T185" s="331"/>
      <c r="U185" s="331"/>
      <c r="V185" s="331"/>
      <c r="W185" s="331"/>
      <c r="X185" s="331"/>
      <c r="Y185" s="331"/>
      <c r="Z185" s="331"/>
      <c r="AA185" s="331"/>
      <c r="AB185" s="331"/>
      <c r="AC185" s="331"/>
      <c r="AD185" s="331"/>
      <c r="AE185" s="331"/>
      <c r="AF185" s="331"/>
      <c r="AG185" s="331"/>
      <c r="AH185" s="331"/>
      <c r="AI185" s="331"/>
      <c r="AJ185" s="331"/>
    </row>
    <row r="186" spans="1:36" x14ac:dyDescent="0.25">
      <c r="A186" s="331"/>
      <c r="B186" s="331"/>
      <c r="C186" s="331"/>
      <c r="D186" s="331"/>
      <c r="E186" s="331"/>
      <c r="F186" s="331"/>
      <c r="G186" s="331"/>
      <c r="H186" s="331"/>
      <c r="I186" s="331"/>
      <c r="J186" s="331"/>
      <c r="K186" s="331"/>
      <c r="L186" s="331"/>
      <c r="M186" s="331"/>
      <c r="N186" s="331"/>
      <c r="O186" s="331"/>
      <c r="P186" s="331"/>
      <c r="Q186" s="331"/>
      <c r="R186" s="331"/>
      <c r="S186" s="331"/>
      <c r="T186" s="331"/>
      <c r="U186" s="331"/>
      <c r="V186" s="331"/>
      <c r="W186" s="331"/>
      <c r="X186" s="331"/>
      <c r="Y186" s="331"/>
      <c r="Z186" s="331"/>
      <c r="AA186" s="331"/>
      <c r="AB186" s="331"/>
      <c r="AC186" s="331"/>
      <c r="AD186" s="331"/>
      <c r="AE186" s="331"/>
      <c r="AF186" s="331"/>
      <c r="AG186" s="331"/>
      <c r="AH186" s="331"/>
      <c r="AI186" s="331"/>
      <c r="AJ186" s="331"/>
    </row>
    <row r="187" spans="1:36" x14ac:dyDescent="0.25">
      <c r="A187" s="331"/>
      <c r="B187" s="331"/>
      <c r="C187" s="331"/>
      <c r="D187" s="331"/>
      <c r="E187" s="331"/>
      <c r="F187" s="331"/>
      <c r="G187" s="331"/>
      <c r="H187" s="331"/>
      <c r="I187" s="331"/>
      <c r="J187" s="331"/>
      <c r="K187" s="331"/>
      <c r="L187" s="331"/>
      <c r="M187" s="331"/>
      <c r="N187" s="331"/>
      <c r="O187" s="331"/>
      <c r="P187" s="331"/>
      <c r="Q187" s="331"/>
      <c r="R187" s="331"/>
      <c r="S187" s="331"/>
      <c r="T187" s="331"/>
      <c r="U187" s="331"/>
      <c r="V187" s="331"/>
      <c r="W187" s="331"/>
      <c r="X187" s="331"/>
      <c r="Y187" s="331"/>
      <c r="Z187" s="331"/>
      <c r="AA187" s="331"/>
      <c r="AB187" s="331"/>
      <c r="AC187" s="331"/>
      <c r="AD187" s="331"/>
      <c r="AE187" s="331"/>
      <c r="AF187" s="331"/>
      <c r="AG187" s="331"/>
      <c r="AH187" s="331"/>
      <c r="AI187" s="331"/>
      <c r="AJ187" s="331"/>
    </row>
    <row r="188" spans="1:36" x14ac:dyDescent="0.25">
      <c r="A188" s="331"/>
      <c r="B188" s="331"/>
      <c r="C188" s="331"/>
      <c r="D188" s="331"/>
      <c r="E188" s="331"/>
      <c r="F188" s="331"/>
      <c r="G188" s="331"/>
      <c r="H188" s="331"/>
      <c r="I188" s="331"/>
      <c r="J188" s="331"/>
      <c r="K188" s="331"/>
      <c r="L188" s="331"/>
      <c r="M188" s="331"/>
      <c r="N188" s="331"/>
      <c r="O188" s="331"/>
      <c r="P188" s="331"/>
      <c r="Q188" s="331"/>
      <c r="R188" s="331"/>
      <c r="S188" s="331"/>
      <c r="T188" s="331"/>
      <c r="U188" s="331"/>
      <c r="V188" s="331"/>
      <c r="W188" s="331"/>
      <c r="X188" s="331"/>
      <c r="Y188" s="331"/>
      <c r="Z188" s="331"/>
      <c r="AA188" s="331"/>
      <c r="AB188" s="331"/>
      <c r="AC188" s="331"/>
      <c r="AD188" s="331"/>
      <c r="AE188" s="331"/>
      <c r="AF188" s="331"/>
      <c r="AG188" s="331"/>
      <c r="AH188" s="331"/>
      <c r="AI188" s="331"/>
      <c r="AJ188" s="331"/>
    </row>
    <row r="189" spans="1:36" x14ac:dyDescent="0.25">
      <c r="A189" s="331"/>
      <c r="B189" s="331"/>
      <c r="C189" s="331"/>
      <c r="D189" s="331"/>
      <c r="E189" s="331"/>
      <c r="F189" s="331"/>
      <c r="G189" s="331"/>
      <c r="H189" s="331"/>
      <c r="I189" s="331"/>
      <c r="J189" s="331"/>
      <c r="K189" s="331"/>
      <c r="L189" s="331"/>
      <c r="M189" s="331"/>
      <c r="N189" s="331"/>
      <c r="O189" s="331"/>
      <c r="P189" s="331"/>
      <c r="Q189" s="331"/>
      <c r="R189" s="331"/>
      <c r="S189" s="331"/>
      <c r="T189" s="331"/>
      <c r="U189" s="331"/>
      <c r="V189" s="331"/>
      <c r="W189" s="331"/>
      <c r="X189" s="331"/>
      <c r="Y189" s="331"/>
      <c r="Z189" s="331"/>
      <c r="AA189" s="331"/>
      <c r="AB189" s="331"/>
      <c r="AC189" s="331"/>
      <c r="AD189" s="331"/>
      <c r="AE189" s="331"/>
      <c r="AF189" s="331"/>
      <c r="AG189" s="331"/>
      <c r="AH189" s="331"/>
      <c r="AI189" s="331"/>
      <c r="AJ189" s="331"/>
    </row>
    <row r="190" spans="1:36" x14ac:dyDescent="0.25">
      <c r="A190" s="331"/>
      <c r="B190" s="331"/>
      <c r="C190" s="331"/>
      <c r="D190" s="331"/>
      <c r="E190" s="331"/>
      <c r="F190" s="331"/>
      <c r="G190" s="331"/>
      <c r="H190" s="331"/>
      <c r="I190" s="331"/>
      <c r="J190" s="331"/>
      <c r="K190" s="331"/>
      <c r="L190" s="331"/>
      <c r="M190" s="331"/>
      <c r="N190" s="331"/>
      <c r="O190" s="331"/>
      <c r="P190" s="331"/>
      <c r="Q190" s="331"/>
      <c r="R190" s="331"/>
      <c r="S190" s="331"/>
      <c r="T190" s="331"/>
      <c r="U190" s="331"/>
      <c r="V190" s="331"/>
      <c r="W190" s="331"/>
      <c r="X190" s="331"/>
      <c r="Y190" s="331"/>
      <c r="Z190" s="331"/>
      <c r="AA190" s="331"/>
      <c r="AB190" s="331"/>
      <c r="AC190" s="331"/>
      <c r="AD190" s="331"/>
      <c r="AE190" s="331"/>
      <c r="AF190" s="331"/>
      <c r="AG190" s="331"/>
      <c r="AH190" s="331"/>
      <c r="AI190" s="331"/>
      <c r="AJ190" s="331"/>
    </row>
    <row r="191" spans="1:36" x14ac:dyDescent="0.25">
      <c r="A191" s="331"/>
      <c r="B191" s="331"/>
      <c r="C191" s="331"/>
      <c r="D191" s="331"/>
      <c r="E191" s="331"/>
      <c r="F191" s="331"/>
      <c r="G191" s="331"/>
      <c r="H191" s="331"/>
      <c r="I191" s="331"/>
      <c r="J191" s="331"/>
      <c r="K191" s="331"/>
      <c r="L191" s="331"/>
      <c r="M191" s="331"/>
      <c r="N191" s="331"/>
      <c r="O191" s="331"/>
      <c r="P191" s="331"/>
      <c r="Q191" s="331"/>
      <c r="R191" s="331"/>
      <c r="S191" s="331"/>
      <c r="T191" s="331"/>
      <c r="U191" s="331"/>
      <c r="V191" s="331"/>
      <c r="W191" s="331"/>
      <c r="X191" s="331"/>
      <c r="Y191" s="331"/>
      <c r="Z191" s="331"/>
      <c r="AA191" s="331"/>
      <c r="AB191" s="331"/>
      <c r="AC191" s="331"/>
      <c r="AD191" s="331"/>
      <c r="AE191" s="331"/>
      <c r="AF191" s="331"/>
      <c r="AG191" s="331"/>
      <c r="AH191" s="331"/>
      <c r="AI191" s="331"/>
      <c r="AJ191" s="331"/>
    </row>
    <row r="192" spans="1:36" x14ac:dyDescent="0.25">
      <c r="A192" s="331"/>
      <c r="B192" s="331"/>
      <c r="C192" s="331"/>
      <c r="D192" s="331"/>
      <c r="E192" s="331"/>
      <c r="F192" s="331"/>
      <c r="G192" s="331"/>
      <c r="H192" s="331"/>
      <c r="I192" s="331"/>
      <c r="J192" s="331"/>
      <c r="K192" s="331"/>
      <c r="L192" s="331"/>
      <c r="M192" s="331"/>
      <c r="N192" s="331"/>
      <c r="O192" s="331"/>
      <c r="P192" s="331"/>
      <c r="Q192" s="331"/>
      <c r="R192" s="331"/>
      <c r="S192" s="331"/>
      <c r="T192" s="331"/>
      <c r="U192" s="331"/>
      <c r="V192" s="331"/>
      <c r="W192" s="331"/>
      <c r="X192" s="331"/>
      <c r="Y192" s="331"/>
      <c r="Z192" s="331"/>
      <c r="AA192" s="331"/>
      <c r="AB192" s="331"/>
      <c r="AC192" s="331"/>
      <c r="AD192" s="331"/>
      <c r="AE192" s="331"/>
      <c r="AF192" s="331"/>
      <c r="AG192" s="331"/>
      <c r="AH192" s="331"/>
      <c r="AI192" s="331"/>
      <c r="AJ192" s="331"/>
    </row>
    <row r="193" spans="1:36" x14ac:dyDescent="0.25">
      <c r="A193" s="331"/>
      <c r="B193" s="331"/>
      <c r="C193" s="331"/>
      <c r="D193" s="331"/>
      <c r="E193" s="331"/>
      <c r="F193" s="331"/>
      <c r="G193" s="331"/>
      <c r="H193" s="331"/>
      <c r="I193" s="331"/>
      <c r="J193" s="331"/>
      <c r="K193" s="331"/>
      <c r="L193" s="331"/>
      <c r="M193" s="331"/>
      <c r="N193" s="331"/>
      <c r="O193" s="331"/>
      <c r="P193" s="331"/>
      <c r="Q193" s="331"/>
      <c r="R193" s="331"/>
      <c r="S193" s="331"/>
      <c r="T193" s="331"/>
      <c r="U193" s="331"/>
      <c r="V193" s="331"/>
      <c r="W193" s="331"/>
      <c r="X193" s="331"/>
      <c r="Y193" s="331"/>
      <c r="Z193" s="331"/>
      <c r="AA193" s="331"/>
      <c r="AB193" s="331"/>
      <c r="AC193" s="331"/>
      <c r="AD193" s="331"/>
      <c r="AE193" s="331"/>
      <c r="AF193" s="331"/>
      <c r="AG193" s="331"/>
      <c r="AH193" s="331"/>
      <c r="AI193" s="331"/>
      <c r="AJ193" s="331"/>
    </row>
    <row r="194" spans="1:36" x14ac:dyDescent="0.25">
      <c r="A194" s="331"/>
      <c r="B194" s="331"/>
      <c r="C194" s="331"/>
      <c r="D194" s="331"/>
      <c r="E194" s="331"/>
      <c r="F194" s="331"/>
      <c r="G194" s="331"/>
      <c r="H194" s="331"/>
      <c r="I194" s="331"/>
      <c r="J194" s="331"/>
      <c r="K194" s="331"/>
      <c r="L194" s="331"/>
      <c r="M194" s="331"/>
      <c r="N194" s="331"/>
      <c r="O194" s="331"/>
      <c r="P194" s="331"/>
      <c r="Q194" s="331"/>
      <c r="R194" s="331"/>
      <c r="S194" s="331"/>
      <c r="T194" s="331"/>
      <c r="U194" s="331"/>
      <c r="V194" s="331"/>
      <c r="W194" s="331"/>
      <c r="X194" s="331"/>
      <c r="Y194" s="331"/>
      <c r="Z194" s="331"/>
      <c r="AA194" s="331"/>
      <c r="AB194" s="331"/>
      <c r="AC194" s="331"/>
      <c r="AD194" s="331"/>
      <c r="AE194" s="331"/>
      <c r="AF194" s="331"/>
      <c r="AG194" s="331"/>
      <c r="AH194" s="331"/>
      <c r="AI194" s="331"/>
      <c r="AJ194" s="331"/>
    </row>
    <row r="195" spans="1:36" x14ac:dyDescent="0.25">
      <c r="A195" s="331"/>
      <c r="B195" s="331"/>
      <c r="C195" s="331"/>
      <c r="D195" s="331"/>
      <c r="E195" s="331"/>
      <c r="F195" s="331"/>
      <c r="G195" s="331"/>
      <c r="H195" s="331"/>
      <c r="I195" s="331"/>
      <c r="J195" s="331"/>
      <c r="K195" s="331"/>
      <c r="L195" s="331"/>
      <c r="M195" s="331"/>
      <c r="N195" s="331"/>
      <c r="O195" s="331"/>
      <c r="P195" s="331"/>
      <c r="Q195" s="331"/>
      <c r="R195" s="331"/>
      <c r="S195" s="331"/>
      <c r="T195" s="331"/>
      <c r="U195" s="331"/>
      <c r="V195" s="331"/>
      <c r="W195" s="331"/>
      <c r="X195" s="331"/>
      <c r="Y195" s="331"/>
      <c r="Z195" s="331"/>
      <c r="AA195" s="331"/>
      <c r="AB195" s="331"/>
      <c r="AC195" s="331"/>
      <c r="AD195" s="331"/>
      <c r="AE195" s="331"/>
      <c r="AF195" s="331"/>
      <c r="AG195" s="331"/>
      <c r="AH195" s="331"/>
      <c r="AI195" s="331"/>
      <c r="AJ195" s="331"/>
    </row>
    <row r="196" spans="1:36" x14ac:dyDescent="0.25">
      <c r="A196" s="331"/>
      <c r="B196" s="331"/>
      <c r="C196" s="331"/>
      <c r="D196" s="331"/>
      <c r="E196" s="331"/>
      <c r="F196" s="331"/>
      <c r="G196" s="331"/>
      <c r="H196" s="331"/>
      <c r="I196" s="331"/>
      <c r="J196" s="331"/>
      <c r="K196" s="331"/>
      <c r="L196" s="331"/>
      <c r="M196" s="331"/>
      <c r="N196" s="331"/>
      <c r="O196" s="331"/>
      <c r="P196" s="331"/>
      <c r="Q196" s="331"/>
      <c r="R196" s="331"/>
      <c r="S196" s="331"/>
      <c r="T196" s="331"/>
      <c r="U196" s="331"/>
      <c r="V196" s="331"/>
      <c r="W196" s="331"/>
      <c r="X196" s="331"/>
      <c r="Y196" s="331"/>
      <c r="Z196" s="331"/>
      <c r="AA196" s="331"/>
      <c r="AB196" s="331"/>
      <c r="AC196" s="331"/>
      <c r="AD196" s="331"/>
      <c r="AE196" s="331"/>
      <c r="AF196" s="331"/>
      <c r="AG196" s="331"/>
      <c r="AH196" s="331"/>
      <c r="AI196" s="331"/>
      <c r="AJ196" s="331"/>
    </row>
    <row r="197" spans="1:36" x14ac:dyDescent="0.25">
      <c r="A197" s="331"/>
      <c r="B197" s="331"/>
      <c r="C197" s="331"/>
      <c r="D197" s="331"/>
      <c r="E197" s="331"/>
      <c r="F197" s="331"/>
      <c r="G197" s="331"/>
      <c r="H197" s="331"/>
      <c r="I197" s="331"/>
      <c r="J197" s="331"/>
      <c r="K197" s="331"/>
      <c r="L197" s="331"/>
      <c r="M197" s="331"/>
      <c r="N197" s="331"/>
      <c r="O197" s="331"/>
      <c r="P197" s="331"/>
      <c r="Q197" s="331"/>
      <c r="R197" s="331"/>
      <c r="S197" s="331"/>
      <c r="T197" s="331"/>
      <c r="U197" s="331"/>
      <c r="V197" s="331"/>
      <c r="W197" s="331"/>
      <c r="X197" s="331"/>
      <c r="Y197" s="331"/>
      <c r="Z197" s="331"/>
      <c r="AA197" s="331"/>
      <c r="AB197" s="331"/>
      <c r="AC197" s="331"/>
      <c r="AD197" s="331"/>
      <c r="AE197" s="331"/>
      <c r="AF197" s="331"/>
      <c r="AG197" s="331"/>
      <c r="AH197" s="331"/>
      <c r="AI197" s="331"/>
      <c r="AJ197" s="331"/>
    </row>
    <row r="198" spans="1:36" x14ac:dyDescent="0.25">
      <c r="A198" s="331"/>
      <c r="B198" s="331"/>
      <c r="C198" s="331"/>
      <c r="D198" s="331"/>
      <c r="E198" s="331"/>
      <c r="F198" s="331"/>
      <c r="G198" s="331"/>
      <c r="H198" s="331"/>
      <c r="I198" s="331"/>
      <c r="J198" s="331"/>
      <c r="K198" s="331"/>
      <c r="L198" s="331"/>
      <c r="M198" s="331"/>
      <c r="N198" s="331"/>
      <c r="O198" s="331"/>
      <c r="P198" s="331"/>
      <c r="Q198" s="331"/>
      <c r="R198" s="331"/>
      <c r="S198" s="331"/>
      <c r="T198" s="331"/>
      <c r="U198" s="331"/>
      <c r="V198" s="331"/>
      <c r="W198" s="331"/>
      <c r="X198" s="331"/>
      <c r="Y198" s="331"/>
      <c r="Z198" s="331"/>
      <c r="AA198" s="331"/>
      <c r="AB198" s="331"/>
      <c r="AC198" s="331"/>
      <c r="AD198" s="331"/>
      <c r="AE198" s="331"/>
      <c r="AF198" s="331"/>
      <c r="AG198" s="331"/>
      <c r="AH198" s="331"/>
      <c r="AI198" s="331"/>
      <c r="AJ198" s="331"/>
    </row>
    <row r="199" spans="1:36" x14ac:dyDescent="0.25">
      <c r="A199" s="544" t="s">
        <v>481</v>
      </c>
      <c r="B199" s="331"/>
      <c r="C199" s="331"/>
      <c r="D199" s="331"/>
      <c r="E199" s="331"/>
      <c r="F199" s="331"/>
      <c r="G199" s="331"/>
      <c r="H199" s="331"/>
      <c r="I199" s="331"/>
      <c r="J199" s="331"/>
      <c r="K199" s="331"/>
      <c r="L199" s="331"/>
      <c r="M199" s="331"/>
      <c r="N199" s="331"/>
      <c r="O199" s="331"/>
      <c r="P199" s="331"/>
      <c r="Q199" s="331"/>
      <c r="R199" s="331"/>
      <c r="S199" s="331"/>
      <c r="T199" s="331"/>
      <c r="U199" s="331"/>
      <c r="V199" s="331"/>
      <c r="W199" s="331"/>
      <c r="X199" s="331"/>
      <c r="Y199" s="331"/>
      <c r="Z199" s="331"/>
      <c r="AA199" s="331"/>
      <c r="AB199" s="331"/>
      <c r="AC199" s="331"/>
      <c r="AD199" s="331"/>
      <c r="AE199" s="331"/>
      <c r="AF199" s="331"/>
      <c r="AG199" s="331"/>
      <c r="AH199" s="331"/>
      <c r="AI199" s="331"/>
      <c r="AJ199" s="331"/>
    </row>
    <row r="200" spans="1:36" x14ac:dyDescent="0.25">
      <c r="A200" s="331"/>
      <c r="B200" s="331"/>
      <c r="C200" s="331"/>
      <c r="D200" s="331"/>
      <c r="E200" s="331"/>
      <c r="F200" s="331"/>
      <c r="G200" s="331"/>
      <c r="H200" s="331"/>
      <c r="I200" s="331"/>
      <c r="J200" s="331"/>
      <c r="K200" s="331"/>
      <c r="L200" s="331"/>
      <c r="M200" s="331"/>
      <c r="N200" s="331"/>
      <c r="O200" s="331"/>
      <c r="P200" s="331"/>
      <c r="Q200" s="331"/>
      <c r="R200" s="331"/>
      <c r="S200" s="331"/>
      <c r="T200" s="331"/>
      <c r="U200" s="331"/>
      <c r="V200" s="331"/>
      <c r="W200" s="331"/>
      <c r="X200" s="331"/>
      <c r="Y200" s="331"/>
      <c r="Z200" s="331"/>
      <c r="AA200" s="331"/>
      <c r="AB200" s="331"/>
      <c r="AC200" s="331"/>
      <c r="AD200" s="331"/>
      <c r="AE200" s="331"/>
      <c r="AF200" s="331"/>
      <c r="AG200" s="331"/>
      <c r="AH200" s="331"/>
      <c r="AI200" s="331"/>
      <c r="AJ200" s="331"/>
    </row>
    <row r="201" spans="1:36" x14ac:dyDescent="0.25">
      <c r="A201" s="331"/>
      <c r="B201" s="331"/>
      <c r="C201" s="331"/>
      <c r="D201" s="331"/>
      <c r="E201" s="331"/>
      <c r="F201" s="331"/>
      <c r="G201" s="331"/>
      <c r="H201" s="331"/>
      <c r="I201" s="331"/>
      <c r="J201" s="331"/>
      <c r="K201" s="331"/>
      <c r="L201" s="331"/>
      <c r="M201" s="331"/>
      <c r="N201" s="331"/>
      <c r="O201" s="331"/>
      <c r="P201" s="331"/>
      <c r="Q201" s="331"/>
      <c r="R201" s="331"/>
      <c r="S201" s="331"/>
      <c r="T201" s="331"/>
      <c r="U201" s="331"/>
      <c r="V201" s="331"/>
      <c r="W201" s="331"/>
      <c r="X201" s="331"/>
      <c r="Y201" s="331"/>
      <c r="Z201" s="331"/>
      <c r="AA201" s="331"/>
      <c r="AB201" s="331"/>
      <c r="AC201" s="331"/>
      <c r="AD201" s="331"/>
      <c r="AE201" s="331"/>
      <c r="AF201" s="331"/>
      <c r="AG201" s="331"/>
      <c r="AH201" s="331"/>
      <c r="AI201" s="331"/>
      <c r="AJ201" s="331"/>
    </row>
    <row r="202" spans="1:36" x14ac:dyDescent="0.25">
      <c r="A202" s="331"/>
      <c r="B202" s="331"/>
      <c r="C202" s="331"/>
      <c r="D202" s="331"/>
      <c r="E202" s="331"/>
      <c r="F202" s="331"/>
      <c r="G202" s="331"/>
      <c r="H202" s="331"/>
      <c r="I202" s="331"/>
      <c r="J202" s="331"/>
      <c r="K202" s="331"/>
      <c r="L202" s="331"/>
      <c r="M202" s="331"/>
      <c r="N202" s="331"/>
      <c r="O202" s="331"/>
      <c r="P202" s="331"/>
      <c r="Q202" s="331"/>
      <c r="R202" s="331"/>
      <c r="S202" s="331"/>
      <c r="T202" s="331"/>
      <c r="U202" s="331"/>
      <c r="V202" s="331"/>
      <c r="W202" s="331"/>
      <c r="X202" s="331"/>
      <c r="Y202" s="331"/>
      <c r="Z202" s="331"/>
      <c r="AA202" s="331"/>
      <c r="AB202" s="331"/>
      <c r="AC202" s="331"/>
      <c r="AD202" s="331"/>
      <c r="AE202" s="331"/>
      <c r="AF202" s="331"/>
      <c r="AG202" s="331"/>
      <c r="AH202" s="331"/>
      <c r="AI202" s="331"/>
      <c r="AJ202" s="331"/>
    </row>
    <row r="203" spans="1:36" x14ac:dyDescent="0.25">
      <c r="A203" s="331"/>
      <c r="B203" s="331"/>
      <c r="C203" s="331"/>
      <c r="D203" s="331"/>
      <c r="E203" s="331"/>
      <c r="F203" s="331"/>
      <c r="G203" s="331"/>
      <c r="H203" s="331"/>
      <c r="I203" s="331"/>
      <c r="J203" s="331"/>
      <c r="K203" s="331"/>
      <c r="L203" s="331"/>
      <c r="M203" s="331"/>
      <c r="N203" s="331"/>
      <c r="O203" s="331"/>
      <c r="P203" s="331"/>
      <c r="Q203" s="331"/>
      <c r="R203" s="331"/>
      <c r="S203" s="331"/>
      <c r="T203" s="331"/>
      <c r="U203" s="331"/>
      <c r="V203" s="331"/>
      <c r="W203" s="331"/>
      <c r="X203" s="331"/>
      <c r="Y203" s="331"/>
      <c r="Z203" s="331"/>
      <c r="AA203" s="331"/>
      <c r="AB203" s="331"/>
      <c r="AC203" s="331"/>
      <c r="AD203" s="331"/>
      <c r="AE203" s="331"/>
      <c r="AF203" s="331"/>
      <c r="AG203" s="331"/>
      <c r="AH203" s="331"/>
      <c r="AI203" s="331"/>
      <c r="AJ203" s="331"/>
    </row>
    <row r="204" spans="1:36" x14ac:dyDescent="0.25">
      <c r="A204" s="331"/>
      <c r="B204" s="331"/>
      <c r="C204" s="331"/>
      <c r="D204" s="331"/>
      <c r="E204" s="331"/>
      <c r="F204" s="331"/>
      <c r="G204" s="331"/>
      <c r="H204" s="331"/>
      <c r="I204" s="331"/>
      <c r="J204" s="331"/>
      <c r="K204" s="331"/>
      <c r="L204" s="331"/>
      <c r="M204" s="331"/>
      <c r="N204" s="331"/>
      <c r="O204" s="331"/>
      <c r="P204" s="331"/>
      <c r="Q204" s="331"/>
      <c r="R204" s="331"/>
      <c r="S204" s="331"/>
      <c r="T204" s="331"/>
      <c r="U204" s="331"/>
      <c r="V204" s="331"/>
      <c r="W204" s="331"/>
      <c r="X204" s="331"/>
      <c r="Y204" s="331"/>
      <c r="Z204" s="331"/>
      <c r="AA204" s="331"/>
      <c r="AB204" s="331"/>
      <c r="AC204" s="331"/>
      <c r="AD204" s="331"/>
      <c r="AE204" s="331"/>
      <c r="AF204" s="331"/>
      <c r="AG204" s="331"/>
      <c r="AH204" s="331"/>
      <c r="AI204" s="331"/>
      <c r="AJ204" s="331"/>
    </row>
    <row r="205" spans="1:36" x14ac:dyDescent="0.25">
      <c r="A205" s="331"/>
      <c r="B205" s="331"/>
      <c r="C205" s="331"/>
      <c r="D205" s="331"/>
      <c r="E205" s="331"/>
      <c r="F205" s="331"/>
      <c r="G205" s="331"/>
      <c r="H205" s="331"/>
      <c r="I205" s="331"/>
      <c r="J205" s="331"/>
      <c r="K205" s="331"/>
      <c r="L205" s="331"/>
      <c r="M205" s="331"/>
      <c r="N205" s="331"/>
      <c r="O205" s="331"/>
      <c r="P205" s="331"/>
      <c r="Q205" s="331"/>
      <c r="R205" s="331"/>
      <c r="S205" s="331"/>
      <c r="T205" s="331"/>
      <c r="U205" s="331"/>
      <c r="V205" s="331"/>
      <c r="W205" s="331"/>
      <c r="X205" s="331"/>
      <c r="Y205" s="331"/>
      <c r="Z205" s="331"/>
      <c r="AA205" s="331"/>
      <c r="AB205" s="331"/>
      <c r="AC205" s="331"/>
      <c r="AD205" s="331"/>
      <c r="AE205" s="331"/>
      <c r="AF205" s="331"/>
      <c r="AG205" s="331"/>
      <c r="AH205" s="331"/>
      <c r="AI205" s="331"/>
      <c r="AJ205" s="331"/>
    </row>
    <row r="206" spans="1:36" x14ac:dyDescent="0.25">
      <c r="A206" s="331"/>
      <c r="B206" s="331"/>
      <c r="C206" s="331"/>
      <c r="D206" s="331"/>
      <c r="E206" s="331"/>
      <c r="F206" s="331"/>
      <c r="G206" s="331"/>
      <c r="H206" s="331"/>
      <c r="I206" s="331"/>
      <c r="J206" s="331"/>
      <c r="K206" s="331"/>
      <c r="L206" s="331"/>
      <c r="M206" s="331"/>
      <c r="N206" s="331"/>
      <c r="O206" s="331"/>
      <c r="P206" s="331"/>
      <c r="Q206" s="331"/>
      <c r="R206" s="331"/>
      <c r="S206" s="331"/>
      <c r="T206" s="331"/>
      <c r="U206" s="331"/>
      <c r="V206" s="331"/>
      <c r="W206" s="331"/>
      <c r="X206" s="331"/>
      <c r="Y206" s="331"/>
      <c r="Z206" s="331"/>
      <c r="AA206" s="331"/>
      <c r="AB206" s="331"/>
      <c r="AC206" s="331"/>
      <c r="AD206" s="331"/>
      <c r="AE206" s="331"/>
      <c r="AF206" s="331"/>
      <c r="AG206" s="331"/>
      <c r="AH206" s="331"/>
      <c r="AI206" s="331"/>
      <c r="AJ206" s="331"/>
    </row>
    <row r="207" spans="1:36" x14ac:dyDescent="0.25">
      <c r="A207" s="331"/>
      <c r="B207" s="331"/>
      <c r="C207" s="331"/>
      <c r="D207" s="331"/>
      <c r="E207" s="331"/>
      <c r="F207" s="331"/>
      <c r="G207" s="331"/>
      <c r="H207" s="331"/>
      <c r="I207" s="331"/>
      <c r="J207" s="331"/>
      <c r="K207" s="331"/>
      <c r="L207" s="331"/>
      <c r="M207" s="331"/>
      <c r="N207" s="331"/>
      <c r="O207" s="331"/>
      <c r="P207" s="331"/>
      <c r="Q207" s="331"/>
      <c r="R207" s="331"/>
      <c r="S207" s="331"/>
      <c r="T207" s="331"/>
      <c r="U207" s="331"/>
      <c r="V207" s="331"/>
      <c r="W207" s="331"/>
      <c r="X207" s="331"/>
      <c r="Y207" s="331"/>
      <c r="Z207" s="331"/>
      <c r="AA207" s="331"/>
      <c r="AB207" s="331"/>
      <c r="AC207" s="331"/>
      <c r="AD207" s="331"/>
      <c r="AE207" s="331"/>
      <c r="AF207" s="331"/>
      <c r="AG207" s="331"/>
      <c r="AH207" s="331"/>
      <c r="AI207" s="331"/>
      <c r="AJ207" s="331"/>
    </row>
    <row r="208" spans="1:36" x14ac:dyDescent="0.25">
      <c r="A208" s="331"/>
      <c r="B208" s="331"/>
      <c r="C208" s="331"/>
      <c r="D208" s="331"/>
      <c r="E208" s="331"/>
      <c r="F208" s="331"/>
      <c r="G208" s="331"/>
      <c r="H208" s="331"/>
      <c r="I208" s="331"/>
      <c r="J208" s="331"/>
      <c r="K208" s="331"/>
      <c r="L208" s="331"/>
      <c r="M208" s="331"/>
      <c r="N208" s="331"/>
      <c r="O208" s="331"/>
      <c r="P208" s="331"/>
      <c r="Q208" s="331"/>
      <c r="R208" s="331"/>
      <c r="S208" s="331"/>
      <c r="T208" s="331"/>
      <c r="U208" s="331"/>
      <c r="V208" s="331"/>
      <c r="W208" s="331"/>
      <c r="X208" s="331"/>
      <c r="Y208" s="331"/>
      <c r="Z208" s="331"/>
      <c r="AA208" s="331"/>
      <c r="AB208" s="331"/>
      <c r="AC208" s="331"/>
      <c r="AD208" s="331"/>
      <c r="AE208" s="331"/>
      <c r="AF208" s="331"/>
      <c r="AG208" s="331"/>
      <c r="AH208" s="331"/>
      <c r="AI208" s="331"/>
      <c r="AJ208" s="331"/>
    </row>
    <row r="209" spans="1:36" x14ac:dyDescent="0.25">
      <c r="A209" s="331"/>
      <c r="B209" s="331"/>
      <c r="C209" s="331"/>
      <c r="D209" s="331"/>
      <c r="E209" s="331"/>
      <c r="F209" s="331"/>
      <c r="G209" s="331"/>
      <c r="H209" s="331"/>
      <c r="I209" s="331"/>
      <c r="J209" s="331"/>
      <c r="K209" s="331"/>
      <c r="L209" s="331"/>
      <c r="M209" s="331"/>
      <c r="N209" s="331"/>
      <c r="O209" s="331"/>
      <c r="P209" s="331"/>
      <c r="Q209" s="331"/>
      <c r="R209" s="331"/>
      <c r="S209" s="331"/>
      <c r="T209" s="331"/>
      <c r="U209" s="331"/>
      <c r="V209" s="331"/>
      <c r="W209" s="331"/>
      <c r="X209" s="331"/>
      <c r="Y209" s="331"/>
      <c r="Z209" s="331"/>
      <c r="AA209" s="331"/>
      <c r="AB209" s="331"/>
      <c r="AC209" s="331"/>
      <c r="AD209" s="331"/>
      <c r="AE209" s="331"/>
      <c r="AF209" s="331"/>
      <c r="AG209" s="331"/>
      <c r="AH209" s="331"/>
      <c r="AI209" s="331"/>
      <c r="AJ209" s="331"/>
    </row>
    <row r="210" spans="1:36" x14ac:dyDescent="0.25">
      <c r="A210" s="331"/>
      <c r="B210" s="331"/>
      <c r="C210" s="331"/>
      <c r="D210" s="331"/>
      <c r="E210" s="331"/>
      <c r="F210" s="331"/>
      <c r="G210" s="331"/>
      <c r="H210" s="331"/>
      <c r="I210" s="331"/>
      <c r="J210" s="331"/>
      <c r="K210" s="331"/>
      <c r="L210" s="331"/>
      <c r="M210" s="331"/>
      <c r="N210" s="331"/>
      <c r="O210" s="331"/>
      <c r="P210" s="331"/>
      <c r="Q210" s="331"/>
      <c r="R210" s="331"/>
      <c r="S210" s="331"/>
      <c r="T210" s="331"/>
      <c r="U210" s="331"/>
      <c r="V210" s="331"/>
      <c r="W210" s="331"/>
      <c r="X210" s="331"/>
      <c r="Y210" s="331"/>
      <c r="Z210" s="331"/>
      <c r="AA210" s="331"/>
      <c r="AB210" s="331"/>
      <c r="AC210" s="331"/>
      <c r="AD210" s="331"/>
      <c r="AE210" s="331"/>
      <c r="AF210" s="331"/>
      <c r="AG210" s="331"/>
      <c r="AH210" s="331"/>
      <c r="AI210" s="331"/>
      <c r="AJ210" s="331"/>
    </row>
    <row r="211" spans="1:36" x14ac:dyDescent="0.25">
      <c r="A211" s="331"/>
      <c r="B211" s="331"/>
      <c r="C211" s="331"/>
      <c r="D211" s="331"/>
      <c r="E211" s="331"/>
      <c r="F211" s="331"/>
      <c r="G211" s="331"/>
      <c r="H211" s="331"/>
      <c r="I211" s="331"/>
      <c r="J211" s="331"/>
      <c r="K211" s="331"/>
      <c r="L211" s="331"/>
      <c r="M211" s="331"/>
      <c r="N211" s="331"/>
      <c r="O211" s="331"/>
      <c r="P211" s="331"/>
      <c r="Q211" s="331"/>
      <c r="R211" s="331"/>
      <c r="S211" s="331"/>
      <c r="T211" s="331"/>
      <c r="U211" s="331"/>
      <c r="V211" s="331"/>
      <c r="W211" s="331"/>
      <c r="X211" s="331"/>
      <c r="Y211" s="331"/>
      <c r="Z211" s="331"/>
      <c r="AA211" s="331"/>
      <c r="AB211" s="331"/>
      <c r="AC211" s="331"/>
      <c r="AD211" s="331"/>
      <c r="AE211" s="331"/>
      <c r="AF211" s="331"/>
      <c r="AG211" s="331"/>
      <c r="AH211" s="331"/>
      <c r="AI211" s="331"/>
      <c r="AJ211" s="331"/>
    </row>
    <row r="212" spans="1:36" x14ac:dyDescent="0.25">
      <c r="A212" s="331"/>
      <c r="B212" s="331"/>
      <c r="C212" s="331"/>
      <c r="D212" s="331"/>
      <c r="E212" s="331"/>
      <c r="F212" s="331"/>
      <c r="G212" s="331"/>
      <c r="H212" s="331"/>
      <c r="I212" s="331"/>
      <c r="J212" s="331"/>
      <c r="K212" s="331"/>
      <c r="L212" s="331"/>
      <c r="M212" s="331"/>
      <c r="N212" s="331"/>
      <c r="O212" s="331"/>
      <c r="P212" s="331"/>
      <c r="Q212" s="331"/>
      <c r="R212" s="331"/>
      <c r="S212" s="331"/>
      <c r="T212" s="331"/>
      <c r="U212" s="331"/>
      <c r="V212" s="331"/>
      <c r="W212" s="331"/>
      <c r="X212" s="331"/>
      <c r="Y212" s="331"/>
      <c r="Z212" s="331"/>
      <c r="AA212" s="331"/>
      <c r="AB212" s="331"/>
      <c r="AC212" s="331"/>
      <c r="AD212" s="331"/>
      <c r="AE212" s="331"/>
      <c r="AF212" s="331"/>
      <c r="AG212" s="331"/>
      <c r="AH212" s="331"/>
      <c r="AI212" s="331"/>
      <c r="AJ212" s="331"/>
    </row>
    <row r="213" spans="1:36" x14ac:dyDescent="0.25">
      <c r="A213" s="331"/>
      <c r="B213" s="331"/>
      <c r="C213" s="331"/>
      <c r="D213" s="331"/>
      <c r="E213" s="331"/>
      <c r="F213" s="331"/>
      <c r="G213" s="331"/>
      <c r="H213" s="331"/>
      <c r="I213" s="331"/>
      <c r="J213" s="331"/>
      <c r="K213" s="331"/>
      <c r="L213" s="331"/>
      <c r="M213" s="331"/>
      <c r="N213" s="331"/>
      <c r="O213" s="331"/>
      <c r="P213" s="331"/>
      <c r="Q213" s="331"/>
      <c r="R213" s="331"/>
      <c r="S213" s="331"/>
      <c r="T213" s="331"/>
      <c r="U213" s="331"/>
      <c r="V213" s="331"/>
      <c r="W213" s="331"/>
      <c r="X213" s="331"/>
      <c r="Y213" s="331"/>
      <c r="Z213" s="331"/>
      <c r="AA213" s="331"/>
      <c r="AB213" s="331"/>
      <c r="AC213" s="331"/>
      <c r="AD213" s="331"/>
      <c r="AE213" s="331"/>
      <c r="AF213" s="331"/>
      <c r="AG213" s="331"/>
      <c r="AH213" s="331"/>
      <c r="AI213" s="331"/>
      <c r="AJ213" s="331"/>
    </row>
    <row r="214" spans="1:36" x14ac:dyDescent="0.25">
      <c r="A214" s="331"/>
      <c r="B214" s="331"/>
      <c r="C214" s="331"/>
      <c r="D214" s="331"/>
      <c r="E214" s="331"/>
      <c r="F214" s="331"/>
      <c r="G214" s="331"/>
      <c r="H214" s="331"/>
      <c r="I214" s="331"/>
      <c r="J214" s="331"/>
      <c r="K214" s="331"/>
      <c r="L214" s="331"/>
      <c r="M214" s="331"/>
      <c r="N214" s="331"/>
      <c r="O214" s="331"/>
      <c r="P214" s="331"/>
      <c r="Q214" s="331"/>
      <c r="R214" s="331"/>
      <c r="S214" s="331"/>
      <c r="T214" s="331"/>
      <c r="U214" s="331"/>
      <c r="V214" s="331"/>
      <c r="W214" s="331"/>
      <c r="X214" s="331"/>
      <c r="Y214" s="331"/>
      <c r="Z214" s="331"/>
      <c r="AA214" s="331"/>
      <c r="AB214" s="331"/>
      <c r="AC214" s="331"/>
      <c r="AD214" s="331"/>
      <c r="AE214" s="331"/>
      <c r="AF214" s="331"/>
      <c r="AG214" s="331"/>
      <c r="AH214" s="331"/>
      <c r="AI214" s="331"/>
      <c r="AJ214" s="331"/>
    </row>
    <row r="215" spans="1:36" x14ac:dyDescent="0.25">
      <c r="A215" s="331"/>
      <c r="B215" s="331"/>
      <c r="C215" s="331"/>
      <c r="D215" s="331"/>
      <c r="E215" s="331"/>
      <c r="F215" s="331"/>
      <c r="G215" s="331"/>
      <c r="H215" s="331"/>
      <c r="I215" s="331"/>
      <c r="J215" s="331"/>
      <c r="K215" s="331"/>
      <c r="L215" s="331"/>
      <c r="M215" s="331"/>
      <c r="N215" s="331"/>
      <c r="O215" s="331"/>
      <c r="P215" s="331"/>
      <c r="Q215" s="331"/>
      <c r="R215" s="331"/>
      <c r="S215" s="331"/>
      <c r="T215" s="331"/>
      <c r="U215" s="331"/>
      <c r="V215" s="331"/>
      <c r="W215" s="331"/>
      <c r="X215" s="331"/>
      <c r="Y215" s="331"/>
      <c r="Z215" s="331"/>
      <c r="AA215" s="331"/>
      <c r="AB215" s="331"/>
      <c r="AC215" s="331"/>
      <c r="AD215" s="331"/>
      <c r="AE215" s="331"/>
      <c r="AF215" s="331"/>
      <c r="AG215" s="331"/>
      <c r="AH215" s="331"/>
      <c r="AI215" s="331"/>
      <c r="AJ215" s="331"/>
    </row>
    <row r="216" spans="1:36" x14ac:dyDescent="0.25">
      <c r="A216" s="331"/>
      <c r="B216" s="331"/>
      <c r="C216" s="331"/>
      <c r="D216" s="331"/>
      <c r="E216" s="331"/>
      <c r="F216" s="331"/>
      <c r="G216" s="331"/>
      <c r="H216" s="331"/>
      <c r="I216" s="331"/>
      <c r="J216" s="331"/>
      <c r="K216" s="331"/>
      <c r="L216" s="331"/>
      <c r="M216" s="331"/>
      <c r="N216" s="331"/>
      <c r="O216" s="331"/>
      <c r="P216" s="331"/>
      <c r="Q216" s="331"/>
      <c r="R216" s="331"/>
      <c r="S216" s="331"/>
      <c r="T216" s="331"/>
      <c r="U216" s="331"/>
      <c r="V216" s="331"/>
      <c r="W216" s="331"/>
      <c r="X216" s="331"/>
      <c r="Y216" s="331"/>
      <c r="Z216" s="331"/>
      <c r="AA216" s="331"/>
      <c r="AB216" s="331"/>
      <c r="AC216" s="331"/>
      <c r="AD216" s="331"/>
      <c r="AE216" s="331"/>
      <c r="AF216" s="331"/>
      <c r="AG216" s="331"/>
      <c r="AH216" s="331"/>
      <c r="AI216" s="331"/>
      <c r="AJ216" s="331"/>
    </row>
    <row r="217" spans="1:36" x14ac:dyDescent="0.25">
      <c r="A217" s="331"/>
      <c r="B217" s="331"/>
      <c r="C217" s="331"/>
      <c r="D217" s="331"/>
      <c r="E217" s="331"/>
      <c r="F217" s="331"/>
      <c r="G217" s="331"/>
      <c r="H217" s="331"/>
      <c r="I217" s="331"/>
      <c r="J217" s="331"/>
      <c r="K217" s="331"/>
      <c r="L217" s="331"/>
      <c r="M217" s="331"/>
      <c r="N217" s="331"/>
      <c r="O217" s="331"/>
      <c r="P217" s="331"/>
      <c r="Q217" s="331"/>
      <c r="R217" s="331"/>
      <c r="S217" s="331"/>
      <c r="T217" s="331"/>
      <c r="U217" s="331"/>
      <c r="V217" s="331"/>
      <c r="W217" s="331"/>
      <c r="X217" s="331"/>
      <c r="Y217" s="331"/>
      <c r="Z217" s="331"/>
      <c r="AA217" s="331"/>
      <c r="AB217" s="331"/>
      <c r="AC217" s="331"/>
      <c r="AD217" s="331"/>
      <c r="AE217" s="331"/>
      <c r="AF217" s="331"/>
      <c r="AG217" s="331"/>
      <c r="AH217" s="331"/>
      <c r="AI217" s="331"/>
      <c r="AJ217" s="331"/>
    </row>
    <row r="218" spans="1:36" x14ac:dyDescent="0.25">
      <c r="A218" s="331"/>
      <c r="B218" s="331"/>
      <c r="C218" s="331"/>
      <c r="D218" s="331"/>
      <c r="E218" s="331"/>
      <c r="F218" s="331"/>
      <c r="G218" s="331"/>
      <c r="H218" s="331"/>
      <c r="I218" s="331"/>
      <c r="J218" s="331"/>
      <c r="K218" s="331"/>
      <c r="L218" s="331"/>
      <c r="M218" s="331"/>
      <c r="N218" s="331"/>
      <c r="O218" s="331"/>
      <c r="P218" s="331"/>
      <c r="Q218" s="331"/>
      <c r="R218" s="331"/>
      <c r="S218" s="331"/>
      <c r="T218" s="331"/>
      <c r="U218" s="331"/>
      <c r="V218" s="331"/>
      <c r="W218" s="331"/>
      <c r="X218" s="331"/>
      <c r="Y218" s="331"/>
      <c r="Z218" s="331"/>
      <c r="AA218" s="331"/>
      <c r="AB218" s="331"/>
      <c r="AC218" s="331"/>
      <c r="AD218" s="331"/>
      <c r="AE218" s="331"/>
      <c r="AF218" s="331"/>
      <c r="AG218" s="331"/>
      <c r="AH218" s="331"/>
      <c r="AI218" s="331"/>
      <c r="AJ218" s="331"/>
    </row>
    <row r="219" spans="1:36" x14ac:dyDescent="0.25">
      <c r="A219" s="331"/>
      <c r="B219" s="331"/>
      <c r="C219" s="331"/>
      <c r="D219" s="331"/>
      <c r="E219" s="331"/>
      <c r="F219" s="331"/>
      <c r="G219" s="331"/>
      <c r="H219" s="331"/>
      <c r="I219" s="331"/>
      <c r="J219" s="331"/>
      <c r="K219" s="331"/>
      <c r="L219" s="331"/>
      <c r="M219" s="331"/>
      <c r="N219" s="331"/>
      <c r="O219" s="331"/>
      <c r="P219" s="331"/>
      <c r="Q219" s="331"/>
      <c r="R219" s="331"/>
      <c r="S219" s="331"/>
      <c r="T219" s="331"/>
      <c r="U219" s="331"/>
      <c r="V219" s="331"/>
      <c r="W219" s="331"/>
      <c r="X219" s="331"/>
      <c r="Y219" s="331"/>
      <c r="Z219" s="331"/>
      <c r="AA219" s="331"/>
      <c r="AB219" s="331"/>
      <c r="AC219" s="331"/>
      <c r="AD219" s="331"/>
      <c r="AE219" s="331"/>
      <c r="AF219" s="331"/>
      <c r="AG219" s="331"/>
      <c r="AH219" s="331"/>
      <c r="AI219" s="331"/>
      <c r="AJ219" s="331"/>
    </row>
    <row r="220" spans="1:36" x14ac:dyDescent="0.25">
      <c r="A220" s="331"/>
      <c r="B220" s="331"/>
      <c r="C220" s="331"/>
      <c r="D220" s="331"/>
      <c r="E220" s="331"/>
      <c r="F220" s="331"/>
      <c r="G220" s="331"/>
      <c r="H220" s="331"/>
      <c r="I220" s="331"/>
      <c r="J220" s="331"/>
      <c r="K220" s="331"/>
      <c r="L220" s="331"/>
      <c r="M220" s="331"/>
      <c r="N220" s="331"/>
      <c r="O220" s="331"/>
      <c r="P220" s="331"/>
      <c r="Q220" s="331"/>
      <c r="R220" s="331"/>
      <c r="S220" s="331"/>
      <c r="T220" s="331"/>
      <c r="U220" s="331"/>
      <c r="V220" s="331"/>
      <c r="W220" s="331"/>
      <c r="X220" s="331"/>
      <c r="Y220" s="331"/>
      <c r="Z220" s="331"/>
      <c r="AA220" s="331"/>
      <c r="AB220" s="331"/>
      <c r="AC220" s="331"/>
      <c r="AD220" s="331"/>
      <c r="AE220" s="331"/>
      <c r="AF220" s="331"/>
      <c r="AG220" s="331"/>
      <c r="AH220" s="331"/>
      <c r="AI220" s="331"/>
      <c r="AJ220" s="331"/>
    </row>
    <row r="221" spans="1:36" x14ac:dyDescent="0.25">
      <c r="A221" s="331"/>
      <c r="B221" s="331"/>
      <c r="C221" s="331"/>
      <c r="D221" s="331"/>
      <c r="E221" s="331"/>
      <c r="F221" s="331"/>
      <c r="G221" s="331"/>
      <c r="H221" s="331"/>
      <c r="I221" s="331"/>
      <c r="J221" s="331"/>
      <c r="K221" s="331"/>
      <c r="L221" s="331"/>
      <c r="M221" s="331"/>
      <c r="N221" s="331"/>
      <c r="O221" s="331"/>
      <c r="P221" s="331"/>
      <c r="Q221" s="331"/>
      <c r="R221" s="331"/>
      <c r="S221" s="331"/>
      <c r="T221" s="331"/>
      <c r="U221" s="331"/>
      <c r="V221" s="331"/>
      <c r="W221" s="331"/>
      <c r="X221" s="331"/>
      <c r="Y221" s="331"/>
      <c r="Z221" s="331"/>
      <c r="AA221" s="331"/>
      <c r="AB221" s="331"/>
      <c r="AC221" s="331"/>
      <c r="AD221" s="331"/>
      <c r="AE221" s="331"/>
      <c r="AF221" s="331"/>
      <c r="AG221" s="331"/>
      <c r="AH221" s="331"/>
      <c r="AI221" s="331"/>
      <c r="AJ221" s="331"/>
    </row>
    <row r="222" spans="1:36" x14ac:dyDescent="0.25">
      <c r="A222" s="331"/>
      <c r="B222" s="331"/>
      <c r="C222" s="331"/>
      <c r="D222" s="331"/>
      <c r="E222" s="331"/>
      <c r="F222" s="331"/>
      <c r="G222" s="331"/>
      <c r="H222" s="331"/>
      <c r="I222" s="331"/>
      <c r="J222" s="331"/>
      <c r="K222" s="331"/>
      <c r="L222" s="331"/>
      <c r="M222" s="331"/>
      <c r="N222" s="331"/>
      <c r="O222" s="331"/>
      <c r="P222" s="331"/>
      <c r="Q222" s="331"/>
      <c r="R222" s="331"/>
      <c r="S222" s="331"/>
      <c r="T222" s="331"/>
      <c r="U222" s="331"/>
      <c r="V222" s="331"/>
      <c r="W222" s="331"/>
      <c r="X222" s="331"/>
      <c r="Y222" s="331"/>
      <c r="Z222" s="331"/>
      <c r="AA222" s="331"/>
      <c r="AB222" s="331"/>
      <c r="AC222" s="331"/>
      <c r="AD222" s="331"/>
      <c r="AE222" s="331"/>
      <c r="AF222" s="331"/>
      <c r="AG222" s="331"/>
      <c r="AH222" s="331"/>
      <c r="AI222" s="331"/>
      <c r="AJ222" s="331"/>
    </row>
    <row r="223" spans="1:36" x14ac:dyDescent="0.25">
      <c r="A223" s="331"/>
      <c r="B223" s="331"/>
      <c r="C223" s="331"/>
      <c r="D223" s="331"/>
      <c r="E223" s="331"/>
      <c r="F223" s="331"/>
      <c r="G223" s="331"/>
      <c r="H223" s="331"/>
      <c r="I223" s="331"/>
      <c r="J223" s="331"/>
      <c r="K223" s="331"/>
      <c r="L223" s="331"/>
      <c r="M223" s="331"/>
      <c r="N223" s="331"/>
      <c r="O223" s="331"/>
      <c r="P223" s="331"/>
      <c r="Q223" s="331"/>
      <c r="R223" s="331"/>
      <c r="S223" s="331"/>
      <c r="T223" s="331"/>
      <c r="U223" s="331"/>
      <c r="V223" s="331"/>
      <c r="W223" s="331"/>
      <c r="X223" s="331"/>
      <c r="Y223" s="331"/>
      <c r="Z223" s="331"/>
      <c r="AA223" s="331"/>
      <c r="AB223" s="331"/>
      <c r="AC223" s="331"/>
      <c r="AD223" s="331"/>
      <c r="AE223" s="331"/>
      <c r="AF223" s="331"/>
      <c r="AG223" s="331"/>
      <c r="AH223" s="331"/>
      <c r="AI223" s="331"/>
      <c r="AJ223" s="331"/>
    </row>
    <row r="224" spans="1:36" x14ac:dyDescent="0.25">
      <c r="A224" s="331"/>
      <c r="B224" s="331"/>
      <c r="C224" s="331"/>
      <c r="D224" s="331"/>
      <c r="E224" s="331"/>
      <c r="F224" s="331"/>
      <c r="G224" s="331"/>
      <c r="H224" s="331"/>
      <c r="I224" s="331"/>
      <c r="J224" s="331"/>
      <c r="K224" s="331"/>
      <c r="L224" s="331"/>
      <c r="M224" s="331"/>
      <c r="N224" s="331"/>
      <c r="O224" s="331"/>
      <c r="P224" s="331"/>
      <c r="Q224" s="331"/>
      <c r="R224" s="331"/>
      <c r="S224" s="331"/>
      <c r="T224" s="331"/>
      <c r="U224" s="331"/>
      <c r="V224" s="331"/>
      <c r="W224" s="331"/>
      <c r="X224" s="331"/>
      <c r="Y224" s="331"/>
      <c r="Z224" s="331"/>
      <c r="AA224" s="331"/>
      <c r="AB224" s="331"/>
      <c r="AC224" s="331"/>
      <c r="AD224" s="331"/>
      <c r="AE224" s="331"/>
      <c r="AF224" s="331"/>
      <c r="AG224" s="331"/>
      <c r="AH224" s="331"/>
      <c r="AI224" s="331"/>
      <c r="AJ224" s="331"/>
    </row>
    <row r="225" spans="1:36" x14ac:dyDescent="0.25">
      <c r="A225" s="331"/>
      <c r="B225" s="331"/>
      <c r="C225" s="331"/>
      <c r="D225" s="331"/>
      <c r="E225" s="331"/>
      <c r="F225" s="331"/>
      <c r="G225" s="331"/>
      <c r="H225" s="331"/>
      <c r="I225" s="331"/>
      <c r="J225" s="331"/>
      <c r="K225" s="331"/>
      <c r="L225" s="331"/>
      <c r="M225" s="331"/>
      <c r="N225" s="331"/>
      <c r="O225" s="331"/>
      <c r="P225" s="331"/>
      <c r="Q225" s="331"/>
      <c r="R225" s="331"/>
      <c r="S225" s="331"/>
      <c r="T225" s="331"/>
      <c r="U225" s="331"/>
      <c r="V225" s="331"/>
      <c r="W225" s="331"/>
      <c r="X225" s="331"/>
      <c r="Y225" s="331"/>
      <c r="Z225" s="331"/>
      <c r="AA225" s="331"/>
      <c r="AB225" s="331"/>
      <c r="AC225" s="331"/>
      <c r="AD225" s="331"/>
      <c r="AE225" s="331"/>
      <c r="AF225" s="331"/>
      <c r="AG225" s="331"/>
      <c r="AH225" s="331"/>
      <c r="AI225" s="331"/>
      <c r="AJ225" s="331"/>
    </row>
    <row r="226" spans="1:36" x14ac:dyDescent="0.25">
      <c r="A226" s="331"/>
      <c r="B226" s="331"/>
      <c r="C226" s="331"/>
      <c r="D226" s="331"/>
      <c r="E226" s="331"/>
      <c r="F226" s="331"/>
      <c r="G226" s="331"/>
      <c r="H226" s="331"/>
      <c r="I226" s="331"/>
      <c r="J226" s="331"/>
      <c r="K226" s="331"/>
      <c r="L226" s="331"/>
      <c r="M226" s="331"/>
      <c r="N226" s="331"/>
      <c r="O226" s="331"/>
      <c r="P226" s="331"/>
      <c r="Q226" s="331"/>
      <c r="R226" s="331"/>
      <c r="S226" s="331"/>
      <c r="T226" s="331"/>
      <c r="U226" s="331"/>
      <c r="V226" s="331"/>
      <c r="W226" s="331"/>
      <c r="X226" s="331"/>
      <c r="Y226" s="331"/>
      <c r="Z226" s="331"/>
      <c r="AA226" s="331"/>
      <c r="AB226" s="331"/>
      <c r="AC226" s="331"/>
      <c r="AD226" s="331"/>
      <c r="AE226" s="331"/>
      <c r="AF226" s="331"/>
      <c r="AG226" s="331"/>
      <c r="AH226" s="331"/>
      <c r="AI226" s="331"/>
      <c r="AJ226" s="331"/>
    </row>
  </sheetData>
  <dataValidations count="1">
    <dataValidation type="list" allowBlank="1" showInputMessage="1" showErrorMessage="1" sqref="B5:B9">
      <formula1>RAG</formula1>
    </dataValidation>
  </dataValidations>
  <hyperlinks>
    <hyperlink ref="A6" location="WRMP_core_workshop_results" display="WRMP workshops"/>
    <hyperlink ref="A9" location="WTP_core_Maxdiff" display="WTP core_MaxDiff"/>
    <hyperlink ref="A5" location="'WRMP online'!A1" display="WRMP online"/>
    <hyperlink ref="A7" location="'Customer priorities'!A1" display="Customer priorities"/>
    <hyperlink ref="A8" location="'WTP core_DCE'!A1" display="WTP core_DC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FC3831"/>
  <sheetViews>
    <sheetView zoomScale="70" zoomScaleNormal="70" workbookViewId="0">
      <pane xSplit="3" ySplit="2" topLeftCell="D12" activePane="bottomRight" state="frozen"/>
      <selection pane="topRight" activeCell="D1" sqref="D1"/>
      <selection pane="bottomLeft" activeCell="A3" sqref="A3"/>
      <selection pane="bottomRight" activeCell="G29" sqref="G29"/>
    </sheetView>
  </sheetViews>
  <sheetFormatPr defaultColWidth="0" defaultRowHeight="15" zeroHeight="1" x14ac:dyDescent="0.25"/>
  <cols>
    <col min="1" max="1" width="50.85546875" style="9" customWidth="1"/>
    <col min="2" max="2" width="16.140625" style="9" customWidth="1"/>
    <col min="3" max="3" width="19.140625" style="9" customWidth="1"/>
    <col min="4" max="8" width="13.42578125" style="9" customWidth="1"/>
    <col min="9" max="9" width="18" style="9" customWidth="1"/>
    <col min="10" max="11" width="14.140625" style="9" customWidth="1"/>
    <col min="12" max="12" width="16.5703125" style="9" customWidth="1"/>
    <col min="13" max="15" width="12" style="9" customWidth="1"/>
    <col min="16" max="16" width="12.7109375" style="9" customWidth="1"/>
    <col min="17" max="17" width="12" style="9" customWidth="1"/>
    <col min="18" max="20" width="11.5703125" style="9" customWidth="1"/>
    <col min="21" max="21" width="11" style="64" customWidth="1"/>
    <col min="22" max="50" width="11.5703125" style="9" customWidth="1"/>
    <col min="51" max="51" width="15.5703125" style="9" customWidth="1"/>
    <col min="52" max="52" width="11.85546875" style="9" customWidth="1"/>
    <col min="53" max="54" width="14.140625" style="9" customWidth="1"/>
    <col min="55" max="55" width="16.140625" style="9" customWidth="1"/>
    <col min="56" max="56" width="12.85546875" style="9" customWidth="1"/>
    <col min="57" max="66" width="13.7109375" style="64" customWidth="1"/>
    <col min="67" max="67" width="13.7109375" style="949" customWidth="1"/>
    <col min="68" max="68" width="13" style="64" customWidth="1"/>
    <col min="69" max="69" width="13.42578125" style="64" customWidth="1"/>
    <col min="70" max="71" width="13.7109375" style="64" customWidth="1"/>
    <col min="72" max="73" width="11.42578125" style="64" customWidth="1"/>
    <col min="74" max="74" width="15.7109375" style="64" customWidth="1"/>
    <col min="75" max="76" width="13.85546875" style="64" customWidth="1"/>
    <col min="77" max="77" width="11.85546875" style="64" customWidth="1"/>
    <col min="78" max="78" width="11" style="64" customWidth="1"/>
    <col min="79" max="79" width="12.42578125" style="64" customWidth="1"/>
    <col min="80" max="80" width="11.85546875" style="64" customWidth="1"/>
    <col min="81" max="81" width="11" style="64" customWidth="1"/>
    <col min="82" max="82" width="12" style="64" customWidth="1"/>
    <col min="83" max="93" width="11" style="64" customWidth="1"/>
    <col min="94" max="94" width="12.42578125" style="64" customWidth="1"/>
    <col min="95" max="95" width="13.42578125" style="64" customWidth="1"/>
    <col min="96" max="99" width="11" style="64" customWidth="1"/>
    <col min="100" max="100" width="13.42578125" style="64" customWidth="1"/>
    <col min="101" max="101" width="13.85546875" style="64" customWidth="1"/>
    <col min="102" max="102" width="11" style="64" customWidth="1"/>
    <col min="103" max="103" width="14.140625" style="64" customWidth="1"/>
    <col min="104" max="104" width="11" style="64" customWidth="1"/>
    <col min="105" max="105" width="13.140625" style="64" customWidth="1"/>
    <col min="106" max="106" width="14.28515625" style="64" customWidth="1"/>
    <col min="107" max="113" width="11" style="64" customWidth="1"/>
    <col min="114" max="132" width="13.7109375" style="64" customWidth="1"/>
    <col min="133" max="133" width="15.85546875" style="64" customWidth="1"/>
    <col min="134" max="134" width="11" style="64" customWidth="1"/>
    <col min="135" max="135" width="13.85546875" style="64" customWidth="1"/>
    <col min="136" max="136" width="13.42578125" style="64" customWidth="1"/>
    <col min="137" max="137" width="14.5703125" style="64" customWidth="1"/>
    <col min="138" max="138" width="14.140625" style="64" customWidth="1"/>
    <col min="139" max="139" width="13.5703125" style="64" customWidth="1"/>
    <col min="140" max="140" width="12.140625" style="949" customWidth="1"/>
    <col min="141" max="141" width="12.140625" style="64" customWidth="1"/>
    <col min="142" max="142" width="16.140625" style="64" customWidth="1"/>
    <col min="143" max="144" width="16.7109375" style="64" customWidth="1"/>
    <col min="145" max="145" width="16.42578125" style="64" customWidth="1"/>
    <col min="146" max="147" width="15.7109375" style="64" customWidth="1"/>
    <col min="148" max="152" width="16.42578125" style="64" customWidth="1"/>
    <col min="153" max="159" width="9.140625" style="64" customWidth="1"/>
    <col min="160" max="16384" width="9.140625" style="64" hidden="1"/>
  </cols>
  <sheetData>
    <row r="1" spans="1:152" s="175" customFormat="1" ht="28.5" x14ac:dyDescent="0.45">
      <c r="A1" s="102" t="s">
        <v>482</v>
      </c>
      <c r="B1" s="103"/>
      <c r="C1" s="103"/>
      <c r="D1" s="103"/>
      <c r="E1" s="103"/>
      <c r="F1" s="103"/>
      <c r="G1" s="103"/>
      <c r="H1" s="103"/>
      <c r="I1" s="103"/>
      <c r="J1" s="103"/>
      <c r="K1" s="103"/>
      <c r="L1" s="103"/>
      <c r="M1" s="103"/>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964"/>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971"/>
      <c r="EK1" s="295"/>
      <c r="EL1" s="102"/>
      <c r="EM1" s="102"/>
      <c r="EN1" s="102"/>
      <c r="EO1" s="102"/>
      <c r="EP1" s="102"/>
      <c r="EQ1" s="102"/>
      <c r="ER1" s="102"/>
      <c r="ES1" s="102"/>
      <c r="ET1" s="102"/>
      <c r="EU1" s="102"/>
      <c r="EV1" s="102"/>
    </row>
    <row r="2" spans="1:152" s="10" customFormat="1" ht="23.25" x14ac:dyDescent="0.35">
      <c r="A2" s="112"/>
      <c r="B2" s="112"/>
      <c r="C2" s="112"/>
      <c r="D2" s="955" t="s">
        <v>234</v>
      </c>
      <c r="E2" s="166"/>
      <c r="F2" s="166"/>
      <c r="G2" s="166"/>
      <c r="H2" s="166"/>
      <c r="I2" s="166"/>
      <c r="J2" s="166"/>
      <c r="K2" s="166"/>
      <c r="L2" s="166"/>
      <c r="M2" s="166"/>
      <c r="N2" s="166"/>
      <c r="O2" s="166"/>
      <c r="P2" s="166"/>
      <c r="Q2" s="166"/>
      <c r="R2" s="166"/>
      <c r="S2" s="166"/>
      <c r="T2" s="166"/>
      <c r="U2" s="943"/>
      <c r="V2" s="166"/>
      <c r="W2" s="166"/>
      <c r="X2" s="166"/>
      <c r="Y2" s="166"/>
      <c r="Z2" s="166"/>
      <c r="AA2" s="166"/>
      <c r="AB2" s="166"/>
      <c r="AC2" s="166"/>
      <c r="AD2" s="955"/>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c r="BE2" s="166"/>
      <c r="BF2" s="166"/>
      <c r="BG2" s="166"/>
      <c r="BH2" s="166"/>
      <c r="BI2" s="166"/>
      <c r="BJ2" s="166"/>
      <c r="BK2" s="166"/>
      <c r="BL2" s="166"/>
      <c r="BM2" s="166"/>
      <c r="BN2" s="166"/>
      <c r="BO2" s="948"/>
      <c r="BP2" s="956" t="s">
        <v>253</v>
      </c>
      <c r="BQ2" s="164"/>
      <c r="BR2" s="164"/>
      <c r="BS2" s="164"/>
      <c r="BT2" s="164"/>
      <c r="BU2" s="164"/>
      <c r="BV2" s="164"/>
      <c r="BW2" s="164"/>
      <c r="BX2" s="164"/>
      <c r="BY2" s="164"/>
      <c r="BZ2" s="164"/>
      <c r="CA2" s="164"/>
      <c r="CB2" s="164"/>
      <c r="CC2" s="164"/>
      <c r="CD2" s="164"/>
      <c r="CE2" s="164"/>
      <c r="CF2" s="164"/>
      <c r="CG2" s="164"/>
      <c r="CH2" s="164"/>
      <c r="CI2" s="164"/>
      <c r="CJ2" s="164"/>
      <c r="CK2" s="164"/>
      <c r="CL2" s="164"/>
      <c r="CM2" s="164"/>
      <c r="CN2" s="164"/>
      <c r="CO2" s="164"/>
      <c r="CP2" s="164"/>
      <c r="CQ2" s="164"/>
      <c r="CR2" s="164"/>
      <c r="CS2" s="164"/>
      <c r="CT2" s="164"/>
      <c r="CU2" s="164"/>
      <c r="CV2" s="164"/>
      <c r="CW2" s="164"/>
      <c r="CX2" s="164"/>
      <c r="CY2" s="164"/>
      <c r="CZ2" s="164"/>
      <c r="DA2" s="164"/>
      <c r="DB2" s="164"/>
      <c r="DC2" s="164"/>
      <c r="DD2" s="164"/>
      <c r="DE2" s="164"/>
      <c r="DF2" s="164"/>
      <c r="DG2" s="164"/>
      <c r="DH2" s="164"/>
      <c r="DI2" s="164"/>
      <c r="DJ2" s="164"/>
      <c r="DK2" s="164"/>
      <c r="DL2" s="164"/>
      <c r="DM2" s="164"/>
      <c r="DN2" s="164"/>
      <c r="DO2" s="164"/>
      <c r="DP2" s="164"/>
      <c r="DQ2" s="164"/>
      <c r="DR2" s="164"/>
      <c r="DS2" s="164"/>
      <c r="DT2" s="164"/>
      <c r="DU2" s="164"/>
      <c r="DV2" s="164"/>
      <c r="DW2" s="164"/>
      <c r="DX2" s="164"/>
      <c r="DY2" s="164"/>
      <c r="DZ2" s="164"/>
      <c r="EA2" s="164"/>
      <c r="EB2" s="164"/>
      <c r="EC2" s="164"/>
      <c r="ED2" s="164"/>
      <c r="EE2" s="164"/>
      <c r="EF2" s="164"/>
      <c r="EG2" s="164"/>
      <c r="EH2" s="164"/>
      <c r="EI2" s="164"/>
      <c r="EJ2" s="957"/>
      <c r="EK2" s="988"/>
      <c r="EL2" s="777" t="s">
        <v>973</v>
      </c>
      <c r="EM2" s="776"/>
      <c r="EN2" s="776"/>
      <c r="EO2" s="776"/>
      <c r="EP2" s="776"/>
      <c r="EQ2" s="776"/>
      <c r="ER2" s="776"/>
      <c r="ES2" s="776"/>
      <c r="ET2" s="776"/>
      <c r="EU2" s="776"/>
      <c r="EV2" s="776"/>
    </row>
    <row r="3" spans="1:152" s="10" customFormat="1" ht="20.25" thickBot="1" x14ac:dyDescent="0.35">
      <c r="A3" s="112" t="s">
        <v>242</v>
      </c>
      <c r="B3" s="112"/>
      <c r="C3" s="112"/>
      <c r="D3" s="789" t="s">
        <v>980</v>
      </c>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c r="BE3" s="112"/>
      <c r="BF3" s="112"/>
      <c r="BG3" s="112"/>
      <c r="BH3" s="112"/>
      <c r="BI3" s="112"/>
      <c r="BJ3" s="112"/>
      <c r="BK3" s="112"/>
      <c r="BL3" s="112"/>
      <c r="BM3" s="112"/>
      <c r="BN3" s="112"/>
      <c r="BO3" s="965"/>
      <c r="BP3" s="112"/>
      <c r="BQ3" s="112"/>
      <c r="BR3" s="112"/>
      <c r="BS3" s="112"/>
      <c r="BT3" s="112"/>
      <c r="BU3" s="112"/>
      <c r="BV3" s="112"/>
      <c r="BW3" s="112"/>
      <c r="BX3" s="112"/>
      <c r="BY3" s="112"/>
      <c r="BZ3" s="112"/>
      <c r="CA3" s="112"/>
      <c r="CB3" s="112"/>
      <c r="CC3" s="112"/>
      <c r="CD3" s="112"/>
      <c r="CE3" s="112"/>
      <c r="CF3" s="112"/>
      <c r="CG3" s="112"/>
      <c r="CH3" s="112"/>
      <c r="CI3" s="112"/>
      <c r="CJ3" s="112"/>
      <c r="CK3" s="112"/>
      <c r="CL3" s="112"/>
      <c r="CM3" s="112"/>
      <c r="CN3" s="112"/>
      <c r="CO3" s="112"/>
      <c r="CP3" s="112"/>
      <c r="CQ3" s="112"/>
      <c r="CR3" s="112"/>
      <c r="CS3" s="112"/>
      <c r="CT3" s="112"/>
      <c r="CU3" s="112"/>
      <c r="CV3" s="112"/>
      <c r="CW3" s="112"/>
      <c r="CX3" s="112"/>
      <c r="CY3" s="112"/>
      <c r="CZ3" s="112"/>
      <c r="DA3" s="112"/>
      <c r="DB3" s="112"/>
      <c r="DC3" s="112"/>
      <c r="DD3" s="112"/>
      <c r="DE3" s="112"/>
      <c r="DF3" s="112"/>
      <c r="DG3" s="112"/>
      <c r="DH3" s="112"/>
      <c r="DI3" s="112"/>
      <c r="DJ3" s="112"/>
      <c r="DK3" s="112"/>
      <c r="DL3" s="112"/>
      <c r="DM3" s="112"/>
      <c r="DN3" s="112"/>
      <c r="DO3" s="112"/>
      <c r="DP3" s="112"/>
      <c r="DQ3" s="112"/>
      <c r="DR3" s="112"/>
      <c r="DS3" s="112"/>
      <c r="DT3" s="112"/>
      <c r="DU3" s="112"/>
      <c r="DV3" s="112"/>
      <c r="DW3" s="112"/>
      <c r="DX3" s="112"/>
      <c r="DY3" s="112"/>
      <c r="DZ3" s="112"/>
      <c r="EA3" s="112"/>
      <c r="EB3" s="112"/>
      <c r="EC3" s="112"/>
      <c r="ED3" s="112"/>
      <c r="EE3" s="112"/>
      <c r="EF3" s="112"/>
      <c r="EG3" s="112"/>
      <c r="EH3" s="112"/>
      <c r="EI3" s="112"/>
      <c r="EJ3" s="965"/>
      <c r="EK3" s="545"/>
      <c r="EL3" s="112"/>
      <c r="EM3" s="112"/>
      <c r="EN3" s="112"/>
      <c r="EO3" s="112"/>
      <c r="EP3" s="112"/>
      <c r="EQ3" s="112"/>
      <c r="ER3" s="112"/>
      <c r="ES3" s="112"/>
      <c r="ET3" s="112"/>
      <c r="EU3" s="112"/>
      <c r="EV3" s="112"/>
    </row>
    <row r="4" spans="1:152" x14ac:dyDescent="0.25">
      <c r="A4" s="908" t="s">
        <v>307</v>
      </c>
      <c r="B4" s="335" t="s">
        <v>237</v>
      </c>
      <c r="C4" s="354">
        <f t="shared" ref="C4:C15" si="0">VLOOKUP(B4,RAGWeights,2,0)</f>
        <v>1</v>
      </c>
      <c r="D4" s="310"/>
      <c r="E4" s="310"/>
      <c r="F4" s="310"/>
      <c r="G4" s="310"/>
      <c r="H4" s="310"/>
      <c r="M4" s="310"/>
      <c r="AY4" s="64"/>
      <c r="AZ4" s="64"/>
      <c r="BA4" s="64"/>
      <c r="BB4" s="64"/>
      <c r="BC4" s="64"/>
      <c r="BD4" s="64"/>
      <c r="BE4" s="9"/>
      <c r="BF4" s="9"/>
      <c r="BG4" s="9"/>
      <c r="BH4" s="9"/>
      <c r="BI4" s="9"/>
      <c r="BJ4" s="9"/>
      <c r="BK4" s="9"/>
      <c r="BL4" s="9"/>
      <c r="BM4" s="9"/>
      <c r="BN4" s="9"/>
      <c r="BP4" s="9"/>
      <c r="BQ4" s="9"/>
      <c r="BR4" s="9"/>
      <c r="BS4" s="9"/>
      <c r="BT4" s="9"/>
      <c r="BU4" s="9"/>
      <c r="BV4" s="9"/>
      <c r="BW4" s="9"/>
      <c r="BX4" s="9"/>
      <c r="BY4" s="9"/>
      <c r="CC4" s="9"/>
    </row>
    <row r="5" spans="1:152" x14ac:dyDescent="0.25">
      <c r="A5" s="909" t="s">
        <v>1044</v>
      </c>
      <c r="B5" s="336" t="s">
        <v>327</v>
      </c>
      <c r="C5" s="355">
        <f t="shared" si="0"/>
        <v>0.5</v>
      </c>
      <c r="D5" s="310"/>
      <c r="E5" s="310"/>
      <c r="F5" s="310"/>
      <c r="G5" s="310"/>
      <c r="H5" s="310"/>
      <c r="M5" s="310"/>
      <c r="AY5" s="64"/>
      <c r="AZ5" s="64"/>
      <c r="BA5" s="64"/>
      <c r="BB5" s="64"/>
      <c r="BC5" s="64"/>
      <c r="BD5" s="64"/>
      <c r="BE5" s="9"/>
      <c r="BF5" s="9"/>
      <c r="BG5" s="9"/>
      <c r="BH5" s="9"/>
      <c r="BI5" s="9"/>
      <c r="BJ5" s="9"/>
      <c r="BK5" s="9"/>
      <c r="BL5" s="9"/>
      <c r="BM5" s="9"/>
      <c r="BN5" s="9"/>
      <c r="BP5" s="9"/>
      <c r="BQ5" s="9"/>
      <c r="BR5" s="9"/>
      <c r="BS5" s="9"/>
      <c r="BT5" s="9"/>
      <c r="BU5" s="9"/>
      <c r="BV5" s="9"/>
      <c r="BW5" s="9"/>
      <c r="BX5" s="9"/>
      <c r="BY5" s="9"/>
      <c r="CC5" s="9"/>
    </row>
    <row r="6" spans="1:152" x14ac:dyDescent="0.25">
      <c r="A6" s="909" t="s">
        <v>972</v>
      </c>
      <c r="B6" s="336" t="s">
        <v>237</v>
      </c>
      <c r="C6" s="355">
        <f>VLOOKUP(B6,RAGWeights,2,0)</f>
        <v>1</v>
      </c>
      <c r="D6" s="782" t="s">
        <v>974</v>
      </c>
      <c r="E6" s="782"/>
      <c r="F6" s="782"/>
      <c r="G6" s="782"/>
      <c r="H6" s="782"/>
      <c r="I6" s="782"/>
      <c r="J6" s="782"/>
      <c r="K6" s="782"/>
      <c r="L6" s="782"/>
      <c r="M6" s="782"/>
      <c r="N6" s="651"/>
      <c r="O6" s="651"/>
      <c r="AY6" s="64"/>
      <c r="AZ6" s="64"/>
      <c r="BA6" s="64"/>
      <c r="BB6" s="64"/>
      <c r="BC6" s="64"/>
      <c r="BD6" s="64"/>
      <c r="BE6" s="9"/>
      <c r="BF6" s="9"/>
      <c r="BG6" s="9"/>
      <c r="BH6" s="9"/>
      <c r="BI6" s="9"/>
      <c r="BJ6" s="9"/>
      <c r="BK6" s="9"/>
      <c r="BL6" s="9"/>
      <c r="BM6" s="9"/>
      <c r="BN6" s="9"/>
      <c r="BP6" s="9"/>
      <c r="BQ6" s="9"/>
      <c r="BR6" s="9"/>
      <c r="BS6" s="9"/>
      <c r="BT6" s="9"/>
      <c r="BU6" s="9"/>
      <c r="BV6" s="9"/>
      <c r="BW6" s="9"/>
      <c r="BX6" s="9"/>
      <c r="BY6" s="9"/>
      <c r="CC6" s="9"/>
    </row>
    <row r="7" spans="1:152" x14ac:dyDescent="0.25">
      <c r="A7" s="909" t="s">
        <v>975</v>
      </c>
      <c r="B7" s="336" t="s">
        <v>239</v>
      </c>
      <c r="C7" s="355">
        <f>VLOOKUP(B7,RAGWeights,2,0)</f>
        <v>0</v>
      </c>
      <c r="D7" s="783" t="s">
        <v>1058</v>
      </c>
      <c r="E7" s="783"/>
      <c r="F7" s="783"/>
      <c r="G7" s="783"/>
      <c r="H7" s="782"/>
      <c r="I7" s="782"/>
      <c r="J7" s="782"/>
      <c r="K7" s="782"/>
      <c r="L7" s="782"/>
      <c r="M7" s="782"/>
      <c r="N7" s="651"/>
      <c r="O7" s="651"/>
      <c r="AY7" s="64"/>
      <c r="AZ7" s="64"/>
      <c r="BA7" s="64"/>
      <c r="BB7" s="64"/>
      <c r="BC7" s="64"/>
      <c r="BD7" s="64"/>
      <c r="BE7" s="9"/>
      <c r="BF7" s="9"/>
      <c r="BG7" s="9"/>
      <c r="BH7" s="9"/>
      <c r="BI7" s="9"/>
      <c r="BJ7" s="9"/>
      <c r="BK7" s="9"/>
      <c r="BL7" s="9"/>
      <c r="BM7" s="9"/>
      <c r="BN7" s="9"/>
      <c r="BP7" s="9"/>
      <c r="BQ7" s="9"/>
      <c r="BR7" s="9"/>
      <c r="BS7" s="9"/>
      <c r="BT7" s="9"/>
      <c r="BU7" s="9"/>
      <c r="BV7" s="9"/>
      <c r="BW7" s="9"/>
      <c r="BX7" s="9"/>
      <c r="BY7" s="9"/>
      <c r="CC7" s="9"/>
    </row>
    <row r="8" spans="1:152" x14ac:dyDescent="0.25">
      <c r="A8" s="909" t="s">
        <v>984</v>
      </c>
      <c r="B8" s="336" t="s">
        <v>239</v>
      </c>
      <c r="C8" s="355">
        <f>VLOOKUP(B8,RAGWeights,2,0)</f>
        <v>0</v>
      </c>
      <c r="D8" s="783" t="s">
        <v>1015</v>
      </c>
      <c r="E8" s="783"/>
      <c r="F8" s="783"/>
      <c r="G8" s="783"/>
      <c r="H8" s="782"/>
      <c r="I8" s="782"/>
      <c r="J8" s="782"/>
      <c r="K8" s="782"/>
      <c r="L8" s="782"/>
      <c r="M8" s="782"/>
      <c r="N8" s="651"/>
      <c r="O8" s="651"/>
      <c r="AY8" s="64"/>
      <c r="AZ8" s="64"/>
      <c r="BA8" s="64"/>
      <c r="BB8" s="64"/>
      <c r="BC8" s="64"/>
      <c r="BD8" s="64"/>
      <c r="BE8" s="9"/>
      <c r="BF8" s="9"/>
      <c r="BG8" s="9"/>
      <c r="BH8" s="9"/>
      <c r="BI8" s="9"/>
      <c r="BJ8" s="9"/>
      <c r="BK8" s="9"/>
      <c r="BL8" s="9"/>
      <c r="BM8" s="9"/>
      <c r="BN8" s="9"/>
      <c r="BP8" s="9"/>
      <c r="BQ8" s="9"/>
      <c r="BR8" s="9"/>
      <c r="BS8" s="9"/>
      <c r="BT8" s="9"/>
      <c r="BU8" s="9"/>
      <c r="BV8" s="9"/>
      <c r="BW8" s="9"/>
      <c r="BX8" s="9"/>
      <c r="BY8" s="9"/>
      <c r="CC8" s="9"/>
    </row>
    <row r="9" spans="1:152" x14ac:dyDescent="0.25">
      <c r="A9" s="989" t="s">
        <v>1047</v>
      </c>
      <c r="B9" s="336" t="s">
        <v>239</v>
      </c>
      <c r="C9" s="355">
        <f>VLOOKUP(B9,RAGWeights,2,0)</f>
        <v>0</v>
      </c>
      <c r="D9" s="783" t="s">
        <v>1015</v>
      </c>
      <c r="E9" s="783"/>
      <c r="F9" s="783"/>
      <c r="G9" s="783"/>
      <c r="H9" s="782"/>
      <c r="I9" s="782"/>
      <c r="J9" s="782"/>
      <c r="K9" s="782"/>
      <c r="L9" s="782"/>
      <c r="M9" s="782"/>
      <c r="N9" s="651"/>
      <c r="O9" s="651"/>
      <c r="AY9" s="64"/>
      <c r="AZ9" s="64"/>
      <c r="BA9" s="64"/>
      <c r="BB9" s="64"/>
      <c r="BC9" s="64"/>
      <c r="BD9" s="64"/>
      <c r="BE9" s="9"/>
      <c r="BF9" s="9"/>
      <c r="BG9" s="9"/>
      <c r="BH9" s="9"/>
      <c r="BI9" s="9"/>
      <c r="BJ9" s="9"/>
      <c r="BK9" s="9"/>
      <c r="BL9" s="9"/>
      <c r="BM9" s="9"/>
      <c r="BN9" s="9"/>
      <c r="BP9" s="9"/>
      <c r="BQ9" s="9"/>
      <c r="BR9" s="9"/>
      <c r="BS9" s="9"/>
      <c r="BT9" s="9"/>
      <c r="BU9" s="9"/>
      <c r="BV9" s="9"/>
      <c r="BW9" s="9"/>
      <c r="BX9" s="9"/>
      <c r="BY9" s="9"/>
      <c r="CC9" s="9"/>
    </row>
    <row r="10" spans="1:152" x14ac:dyDescent="0.25">
      <c r="A10" s="308" t="s">
        <v>446</v>
      </c>
      <c r="B10" s="336" t="s">
        <v>238</v>
      </c>
      <c r="C10" s="355">
        <f>VLOOKUP(B10,RAGWeights,2,0)</f>
        <v>0.25</v>
      </c>
      <c r="D10" s="310"/>
      <c r="E10" s="310"/>
      <c r="F10" s="310"/>
      <c r="G10" s="310"/>
      <c r="H10" s="310"/>
      <c r="M10" s="310"/>
      <c r="AY10" s="64"/>
      <c r="AZ10" s="64"/>
      <c r="BA10" s="64"/>
      <c r="BB10" s="64"/>
      <c r="BC10" s="64"/>
      <c r="BD10" s="64"/>
      <c r="BE10" s="9"/>
      <c r="BF10" s="9"/>
      <c r="BG10" s="9"/>
      <c r="BH10" s="9"/>
      <c r="BI10" s="9"/>
      <c r="BJ10" s="9"/>
      <c r="BK10" s="9"/>
      <c r="BL10" s="9"/>
      <c r="BM10" s="9"/>
      <c r="BN10" s="9"/>
      <c r="BP10" s="9"/>
      <c r="BQ10" s="9"/>
      <c r="BR10" s="9"/>
      <c r="BS10" s="9"/>
      <c r="BT10" s="9"/>
      <c r="BU10" s="9"/>
      <c r="BV10" s="9"/>
      <c r="BW10" s="9"/>
      <c r="BX10" s="9"/>
      <c r="BY10" s="9"/>
      <c r="CC10" s="9"/>
    </row>
    <row r="11" spans="1:152" x14ac:dyDescent="0.25">
      <c r="A11" s="308" t="s">
        <v>445</v>
      </c>
      <c r="B11" s="336" t="s">
        <v>238</v>
      </c>
      <c r="C11" s="355">
        <f t="shared" si="0"/>
        <v>0.25</v>
      </c>
      <c r="D11" s="310"/>
      <c r="E11" s="310"/>
      <c r="F11" s="310"/>
      <c r="G11" s="310"/>
      <c r="H11" s="310"/>
      <c r="M11" s="310"/>
      <c r="AY11" s="64"/>
      <c r="AZ11" s="64"/>
      <c r="BA11" s="64"/>
      <c r="BB11" s="64"/>
      <c r="BC11" s="64"/>
      <c r="BD11" s="64"/>
      <c r="BE11" s="9"/>
      <c r="BF11" s="9"/>
      <c r="BG11" s="9"/>
      <c r="BH11" s="9"/>
      <c r="BI11" s="9"/>
      <c r="BJ11" s="9"/>
      <c r="BK11" s="9"/>
      <c r="BL11" s="9"/>
      <c r="BM11" s="9"/>
      <c r="BN11" s="9"/>
      <c r="BP11" s="9"/>
      <c r="BQ11" s="9"/>
      <c r="BR11" s="9"/>
      <c r="BS11" s="9"/>
      <c r="BT11" s="9"/>
      <c r="BU11" s="9"/>
      <c r="BV11" s="9"/>
      <c r="BW11" s="9"/>
      <c r="BX11" s="9"/>
      <c r="BY11" s="9"/>
      <c r="CC11" s="9"/>
    </row>
    <row r="12" spans="1:152" x14ac:dyDescent="0.25">
      <c r="A12" s="308" t="s">
        <v>447</v>
      </c>
      <c r="B12" s="336" t="s">
        <v>238</v>
      </c>
      <c r="C12" s="355">
        <f t="shared" si="0"/>
        <v>0.25</v>
      </c>
      <c r="D12" s="310"/>
      <c r="E12" s="310"/>
      <c r="F12" s="310"/>
      <c r="G12" s="310"/>
      <c r="H12" s="310"/>
      <c r="M12" s="310"/>
      <c r="AY12" s="64"/>
      <c r="AZ12" s="64"/>
      <c r="BA12" s="64"/>
      <c r="BB12" s="64"/>
      <c r="BC12" s="64"/>
      <c r="BD12" s="64"/>
      <c r="BE12" s="9"/>
      <c r="BF12" s="9"/>
      <c r="BG12" s="9"/>
      <c r="BH12" s="9"/>
      <c r="BI12" s="9"/>
      <c r="BJ12" s="9"/>
      <c r="BK12" s="9"/>
      <c r="BL12" s="9"/>
      <c r="BM12" s="9"/>
      <c r="BN12" s="9"/>
      <c r="BP12" s="9"/>
      <c r="BQ12" s="9"/>
      <c r="BR12" s="9"/>
      <c r="BS12" s="9"/>
      <c r="BT12" s="9"/>
      <c r="BU12" s="9"/>
      <c r="BV12" s="9"/>
      <c r="BW12" s="9"/>
      <c r="BX12" s="9"/>
      <c r="BY12" s="9"/>
      <c r="CC12" s="9"/>
    </row>
    <row r="13" spans="1:152" x14ac:dyDescent="0.25">
      <c r="A13" s="308" t="s">
        <v>448</v>
      </c>
      <c r="B13" s="336" t="s">
        <v>238</v>
      </c>
      <c r="C13" s="355">
        <f t="shared" si="0"/>
        <v>0.25</v>
      </c>
      <c r="D13" s="310"/>
      <c r="E13" s="310"/>
      <c r="F13" s="310"/>
      <c r="G13" s="310"/>
      <c r="H13" s="310"/>
      <c r="M13" s="310"/>
      <c r="AY13" s="64"/>
      <c r="AZ13" s="64"/>
      <c r="BA13" s="64"/>
      <c r="BB13" s="64"/>
      <c r="BC13" s="64"/>
      <c r="BD13" s="64"/>
      <c r="BE13" s="9"/>
      <c r="BF13" s="9"/>
      <c r="BG13" s="9"/>
      <c r="BH13" s="9"/>
      <c r="BI13" s="9"/>
      <c r="BJ13" s="9"/>
      <c r="BK13" s="9"/>
      <c r="BL13" s="9"/>
      <c r="BM13" s="9"/>
      <c r="BN13" s="9"/>
      <c r="BP13" s="9"/>
      <c r="BQ13" s="9"/>
      <c r="BR13" s="9"/>
      <c r="BS13" s="9"/>
      <c r="BT13" s="9"/>
      <c r="BU13" s="9"/>
      <c r="BV13" s="9"/>
      <c r="BW13" s="9"/>
      <c r="BX13" s="9"/>
      <c r="BY13" s="9"/>
      <c r="CC13" s="9"/>
    </row>
    <row r="14" spans="1:152" x14ac:dyDescent="0.25">
      <c r="A14" s="308" t="s">
        <v>243</v>
      </c>
      <c r="B14" s="336" t="s">
        <v>238</v>
      </c>
      <c r="C14" s="355">
        <f t="shared" si="0"/>
        <v>0.25</v>
      </c>
      <c r="D14" s="310"/>
      <c r="E14" s="310"/>
      <c r="F14" s="310"/>
      <c r="G14" s="310"/>
      <c r="H14" s="310"/>
      <c r="M14" s="310"/>
      <c r="AY14" s="64"/>
      <c r="AZ14" s="64"/>
      <c r="BA14" s="64"/>
      <c r="BB14" s="64"/>
      <c r="BC14" s="64"/>
      <c r="BD14" s="64"/>
      <c r="BE14" s="9"/>
      <c r="BF14" s="9"/>
      <c r="BG14" s="9"/>
      <c r="BH14" s="9"/>
      <c r="BI14" s="9"/>
      <c r="BJ14" s="9"/>
      <c r="BK14" s="9"/>
      <c r="BL14" s="9"/>
      <c r="BM14" s="9"/>
      <c r="BN14" s="9"/>
      <c r="BP14" s="9"/>
      <c r="BQ14" s="9"/>
      <c r="BR14" s="9"/>
      <c r="BS14" s="9"/>
      <c r="BT14" s="9"/>
      <c r="BU14" s="9"/>
      <c r="BV14" s="9"/>
      <c r="BW14" s="9"/>
      <c r="BX14" s="9"/>
      <c r="BY14" s="9"/>
      <c r="CC14" s="9"/>
    </row>
    <row r="15" spans="1:152" x14ac:dyDescent="0.25">
      <c r="A15" s="308" t="s">
        <v>244</v>
      </c>
      <c r="B15" s="336" t="s">
        <v>238</v>
      </c>
      <c r="C15" s="355">
        <f t="shared" si="0"/>
        <v>0.25</v>
      </c>
      <c r="D15" s="310"/>
      <c r="E15" s="310"/>
      <c r="F15" s="310"/>
      <c r="G15" s="310"/>
      <c r="H15" s="310"/>
      <c r="M15" s="310"/>
      <c r="AY15" s="64"/>
      <c r="AZ15" s="64"/>
      <c r="BA15" s="64"/>
      <c r="BB15" s="64"/>
      <c r="BC15" s="64"/>
      <c r="BD15" s="64"/>
      <c r="BE15" s="9"/>
      <c r="BF15" s="9"/>
      <c r="BG15" s="9"/>
      <c r="BH15" s="9"/>
      <c r="BI15" s="9"/>
      <c r="BJ15" s="9"/>
      <c r="BK15" s="9"/>
      <c r="BL15" s="9"/>
      <c r="BM15" s="9"/>
      <c r="BN15" s="9"/>
      <c r="BP15" s="9"/>
      <c r="BQ15" s="9"/>
      <c r="BR15" s="9"/>
      <c r="BS15" s="9"/>
      <c r="BT15" s="9"/>
      <c r="BU15" s="9"/>
      <c r="BV15" s="9"/>
      <c r="BW15" s="9"/>
      <c r="BX15" s="9"/>
      <c r="BY15" s="9"/>
      <c r="CC15" s="9"/>
    </row>
    <row r="16" spans="1:152" x14ac:dyDescent="0.25">
      <c r="A16" s="910" t="s">
        <v>877</v>
      </c>
      <c r="B16" s="336" t="s">
        <v>451</v>
      </c>
      <c r="C16" s="355">
        <f>VLOOKUP(B16,RAGWeights,2,0)</f>
        <v>0.1</v>
      </c>
      <c r="D16" s="310"/>
      <c r="E16" s="310"/>
      <c r="F16" s="310"/>
      <c r="G16" s="310"/>
      <c r="H16" s="310"/>
      <c r="M16" s="310"/>
      <c r="AY16" s="64"/>
      <c r="AZ16" s="64"/>
      <c r="BA16" s="64"/>
      <c r="BB16" s="64"/>
      <c r="BC16" s="64"/>
      <c r="BD16" s="64"/>
      <c r="BE16" s="9"/>
      <c r="BF16" s="9"/>
      <c r="BG16" s="9"/>
      <c r="BH16" s="9"/>
      <c r="BI16" s="9"/>
      <c r="BJ16" s="9"/>
      <c r="BK16" s="9"/>
      <c r="BL16" s="9"/>
      <c r="BM16" s="9"/>
      <c r="BN16" s="9"/>
      <c r="BP16" s="9"/>
      <c r="BQ16" s="9"/>
      <c r="BR16" s="9"/>
      <c r="BS16" s="9"/>
      <c r="BT16" s="9"/>
      <c r="BU16" s="9"/>
      <c r="BV16" s="9"/>
      <c r="BW16" s="9"/>
      <c r="BX16" s="9"/>
      <c r="BY16" s="9"/>
      <c r="CC16" s="9"/>
    </row>
    <row r="17" spans="1:152" x14ac:dyDescent="0.25">
      <c r="A17" s="308" t="s">
        <v>876</v>
      </c>
      <c r="B17" s="336" t="s">
        <v>238</v>
      </c>
      <c r="C17" s="355">
        <f>VLOOKUP(B17,RAGWeights,2,0)</f>
        <v>0.25</v>
      </c>
      <c r="D17" s="310"/>
      <c r="E17" s="310"/>
      <c r="F17" s="310"/>
      <c r="G17" s="310"/>
      <c r="H17" s="310"/>
      <c r="M17" s="310"/>
      <c r="AY17" s="64"/>
      <c r="AZ17" s="64"/>
      <c r="BA17" s="64"/>
      <c r="BB17" s="64"/>
      <c r="BC17" s="64"/>
      <c r="BD17" s="64"/>
      <c r="BE17" s="9"/>
      <c r="BF17" s="9"/>
      <c r="BG17" s="9"/>
      <c r="BH17" s="9"/>
      <c r="BI17" s="9"/>
      <c r="BJ17" s="9"/>
      <c r="BK17" s="9"/>
      <c r="BL17" s="9"/>
      <c r="BM17" s="9"/>
      <c r="BN17" s="9"/>
      <c r="BP17" s="9"/>
      <c r="BQ17" s="9"/>
      <c r="BR17" s="9"/>
      <c r="BS17" s="9"/>
      <c r="BT17" s="9"/>
      <c r="BU17" s="9"/>
      <c r="BV17" s="9"/>
      <c r="BW17" s="9"/>
      <c r="BX17" s="9"/>
      <c r="BY17" s="9"/>
      <c r="CC17" s="9"/>
    </row>
    <row r="18" spans="1:152" ht="15.75" thickBot="1" x14ac:dyDescent="0.3">
      <c r="A18" s="311" t="s">
        <v>964</v>
      </c>
      <c r="B18" s="337" t="s">
        <v>327</v>
      </c>
      <c r="C18" s="356">
        <f>VLOOKUP(B18,RAGWeights,2,0)</f>
        <v>0.5</v>
      </c>
      <c r="D18" s="310"/>
      <c r="E18" s="310"/>
      <c r="F18" s="310"/>
      <c r="G18" s="310"/>
      <c r="H18" s="310"/>
      <c r="M18" s="310"/>
      <c r="AY18" s="64"/>
      <c r="AZ18" s="64"/>
      <c r="BA18" s="64"/>
      <c r="BB18" s="64"/>
      <c r="BC18" s="64"/>
      <c r="BD18" s="64"/>
      <c r="BE18" s="9"/>
      <c r="BF18" s="9"/>
      <c r="BG18" s="9"/>
      <c r="BH18" s="9"/>
      <c r="BI18" s="9"/>
      <c r="BJ18" s="9"/>
      <c r="BK18" s="9"/>
      <c r="BL18" s="9"/>
      <c r="BM18" s="9"/>
      <c r="BN18" s="9"/>
      <c r="BP18" s="9"/>
      <c r="BQ18" s="9"/>
      <c r="BR18" s="9"/>
      <c r="BS18" s="9"/>
      <c r="BT18" s="9"/>
      <c r="BU18" s="9"/>
      <c r="BV18" s="9"/>
      <c r="BW18" s="9"/>
      <c r="BX18" s="9"/>
      <c r="BY18" s="9"/>
      <c r="CC18" s="9"/>
    </row>
    <row r="19" spans="1:152" x14ac:dyDescent="0.25">
      <c r="A19" s="64"/>
      <c r="B19" s="64"/>
      <c r="C19" s="64"/>
      <c r="D19" s="310"/>
      <c r="E19" s="310"/>
      <c r="F19" s="310"/>
      <c r="G19" s="310"/>
      <c r="H19" s="310"/>
      <c r="I19" s="310"/>
      <c r="J19" s="310"/>
      <c r="K19" s="310"/>
      <c r="L19" s="310"/>
      <c r="N19" s="310"/>
      <c r="AZ19" s="64"/>
      <c r="BA19" s="64"/>
      <c r="BB19" s="64"/>
      <c r="BC19" s="64"/>
      <c r="BD19" s="64"/>
      <c r="BP19" s="9"/>
      <c r="BQ19" s="9"/>
      <c r="BR19" s="9"/>
      <c r="BS19" s="9"/>
      <c r="BT19" s="9"/>
      <c r="BU19" s="9"/>
      <c r="BV19" s="9"/>
      <c r="BW19" s="9"/>
      <c r="BX19" s="9"/>
      <c r="BY19" s="9"/>
      <c r="BZ19" s="9"/>
      <c r="CA19" s="9"/>
      <c r="CH19" s="9"/>
    </row>
    <row r="20" spans="1:152" x14ac:dyDescent="0.25">
      <c r="A20" s="64"/>
      <c r="B20" s="64"/>
      <c r="C20" s="64"/>
      <c r="D20" s="310"/>
      <c r="E20" s="310"/>
      <c r="F20" s="310"/>
      <c r="G20" s="310"/>
      <c r="H20" s="310"/>
      <c r="I20" s="310"/>
      <c r="J20" s="310"/>
      <c r="K20" s="310"/>
      <c r="L20" s="310"/>
      <c r="N20" s="310"/>
      <c r="AZ20" s="64"/>
      <c r="BA20" s="64"/>
      <c r="BB20" s="64"/>
      <c r="BC20" s="64"/>
      <c r="BD20" s="64"/>
      <c r="BP20" s="9"/>
      <c r="BQ20" s="9"/>
      <c r="BR20" s="9"/>
      <c r="BS20" s="9"/>
      <c r="BT20" s="9"/>
      <c r="BU20" s="9"/>
      <c r="BV20" s="9"/>
      <c r="BW20" s="9"/>
      <c r="BX20" s="9"/>
      <c r="BY20" s="9"/>
      <c r="BZ20" s="9"/>
      <c r="CA20" s="9"/>
      <c r="CH20" s="9"/>
    </row>
    <row r="21" spans="1:152" ht="19.5" x14ac:dyDescent="0.3">
      <c r="A21" s="112" t="s">
        <v>507</v>
      </c>
      <c r="B21" s="180"/>
      <c r="C21" s="129"/>
      <c r="D21" s="129"/>
      <c r="E21" s="129"/>
      <c r="F21" s="129"/>
      <c r="G21" s="129"/>
      <c r="H21" s="129"/>
      <c r="I21" s="129"/>
      <c r="J21" s="129"/>
      <c r="K21" s="129"/>
      <c r="L21" s="129"/>
      <c r="M21" s="129"/>
      <c r="N21" s="129"/>
      <c r="O21" s="129"/>
      <c r="P21" s="129"/>
      <c r="Q21" s="129"/>
      <c r="R21" s="129"/>
      <c r="S21" s="129"/>
      <c r="T21" s="129"/>
      <c r="U21" s="129"/>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253"/>
      <c r="AZ21" s="253"/>
      <c r="BA21" s="253"/>
      <c r="BB21" s="253"/>
      <c r="BC21" s="253"/>
      <c r="BD21" s="253"/>
      <c r="BE21" s="253"/>
      <c r="BF21" s="253"/>
      <c r="BG21" s="253"/>
      <c r="BH21" s="253"/>
      <c r="BI21" s="253"/>
      <c r="BJ21" s="253"/>
      <c r="BK21" s="253"/>
      <c r="BL21" s="253"/>
      <c r="BM21" s="253"/>
      <c r="BN21" s="253"/>
      <c r="BO21" s="950"/>
      <c r="BP21" s="129"/>
      <c r="BQ21" s="129"/>
      <c r="BR21" s="129"/>
      <c r="BS21" s="129"/>
      <c r="BT21" s="129"/>
      <c r="BU21" s="129"/>
      <c r="BV21" s="129"/>
      <c r="BW21" s="129"/>
      <c r="BX21" s="129"/>
      <c r="BY21" s="129"/>
      <c r="BZ21" s="129"/>
      <c r="CA21" s="129"/>
      <c r="CB21" s="129"/>
      <c r="CC21" s="129"/>
      <c r="CD21" s="273"/>
      <c r="CE21" s="273"/>
      <c r="CF21" s="273"/>
      <c r="CG21" s="273"/>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29"/>
      <c r="DP21" s="129"/>
      <c r="DQ21" s="129"/>
      <c r="DR21" s="129"/>
      <c r="DS21" s="129"/>
      <c r="DT21" s="129"/>
      <c r="DU21" s="129"/>
      <c r="DV21" s="129"/>
      <c r="DW21" s="129"/>
      <c r="DX21" s="129"/>
      <c r="DY21" s="129"/>
      <c r="DZ21" s="129"/>
      <c r="EA21" s="129"/>
      <c r="EB21" s="129"/>
      <c r="EC21" s="60"/>
      <c r="ED21" s="253"/>
      <c r="EE21" s="253"/>
      <c r="EF21" s="253"/>
      <c r="EG21" s="253"/>
      <c r="EH21" s="253"/>
      <c r="EI21" s="253"/>
      <c r="EL21" s="253"/>
      <c r="EM21" s="60"/>
      <c r="EN21" s="60"/>
      <c r="EO21" s="60"/>
      <c r="EP21" s="60"/>
      <c r="EQ21" s="60"/>
      <c r="ER21" s="60"/>
      <c r="ES21" s="60"/>
      <c r="ET21" s="60"/>
      <c r="EU21" s="60"/>
      <c r="EV21" s="60"/>
    </row>
    <row r="22" spans="1:152" ht="20.25" thickBot="1" x14ac:dyDescent="0.35">
      <c r="A22" s="112"/>
      <c r="B22" s="180"/>
      <c r="C22" s="180"/>
      <c r="D22" s="180"/>
      <c r="E22" s="180"/>
      <c r="F22" s="180"/>
      <c r="G22" s="180"/>
      <c r="H22" s="180"/>
      <c r="I22" s="180"/>
      <c r="J22" s="180"/>
      <c r="K22" s="180"/>
      <c r="L22" s="180"/>
      <c r="M22" s="180"/>
      <c r="N22" s="180"/>
      <c r="O22" s="180"/>
      <c r="P22" s="338"/>
      <c r="Q22" s="180"/>
      <c r="R22" s="180"/>
      <c r="S22" s="180"/>
      <c r="T22" s="180"/>
      <c r="U22" s="129"/>
      <c r="V22" s="945" t="s">
        <v>1049</v>
      </c>
      <c r="W22" s="945"/>
      <c r="X22" s="945"/>
      <c r="Y22" s="945"/>
      <c r="Z22" s="945"/>
      <c r="AA22" s="945"/>
      <c r="AB22" s="945"/>
      <c r="AC22" s="945"/>
      <c r="AD22" s="945"/>
      <c r="AE22" s="945"/>
      <c r="AF22" s="945"/>
      <c r="AG22" s="945"/>
      <c r="AH22" s="945"/>
      <c r="AI22" s="945"/>
      <c r="AJ22" s="946"/>
      <c r="AK22" s="947" t="s">
        <v>1048</v>
      </c>
      <c r="AL22" s="947"/>
      <c r="AM22" s="947"/>
      <c r="AN22" s="947"/>
      <c r="AO22" s="947"/>
      <c r="AP22" s="947"/>
      <c r="AQ22" s="947"/>
      <c r="AR22" s="947"/>
      <c r="AS22" s="947"/>
      <c r="AT22" s="947"/>
      <c r="AU22" s="947"/>
      <c r="AV22" s="947"/>
      <c r="AW22" s="947"/>
      <c r="AX22" s="947"/>
      <c r="AY22" s="180"/>
      <c r="AZ22" s="180"/>
      <c r="BA22" s="180"/>
      <c r="BB22" s="180"/>
      <c r="BC22" s="180"/>
      <c r="BD22" s="180"/>
      <c r="BE22" s="180"/>
      <c r="BF22" s="180"/>
      <c r="BG22" s="180"/>
      <c r="BH22" s="180"/>
      <c r="BI22" s="180"/>
      <c r="BJ22" s="180"/>
      <c r="BK22" s="180"/>
      <c r="BL22" s="180"/>
      <c r="BM22" s="180"/>
      <c r="BN22" s="180"/>
      <c r="BO22" s="951"/>
      <c r="BP22" s="180"/>
      <c r="BQ22" s="180"/>
      <c r="BR22" s="180"/>
      <c r="BS22" s="180"/>
      <c r="BT22" s="180"/>
      <c r="BU22" s="180"/>
      <c r="BV22" s="180"/>
      <c r="BW22" s="180"/>
      <c r="BX22" s="180"/>
      <c r="BY22" s="180"/>
      <c r="BZ22" s="180"/>
      <c r="CA22" s="180"/>
      <c r="CB22" s="180"/>
      <c r="CC22" s="180"/>
      <c r="CD22" s="180"/>
      <c r="CE22" s="180"/>
      <c r="CF22" s="180"/>
      <c r="CG22" s="180"/>
      <c r="CH22" s="944" t="s">
        <v>1050</v>
      </c>
      <c r="CI22" s="944"/>
      <c r="CJ22" s="944"/>
      <c r="CK22" s="944"/>
      <c r="CL22" s="944"/>
      <c r="CM22" s="944"/>
      <c r="CN22" s="944"/>
      <c r="CO22" s="944"/>
      <c r="CP22" s="944"/>
      <c r="CQ22" s="944"/>
      <c r="CR22" s="944"/>
      <c r="CS22" s="944"/>
      <c r="CT22" s="944"/>
      <c r="CU22" s="944"/>
      <c r="CV22" s="944"/>
      <c r="CW22" s="944" t="s">
        <v>1048</v>
      </c>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60"/>
      <c r="ED22" s="180"/>
      <c r="EE22" s="180"/>
      <c r="EF22" s="180"/>
      <c r="EG22" s="180"/>
      <c r="EH22" s="180"/>
      <c r="EI22" s="180"/>
      <c r="EL22" s="180"/>
      <c r="EM22" s="60"/>
      <c r="EN22" s="60"/>
      <c r="EO22" s="60"/>
      <c r="EP22" s="60"/>
      <c r="EQ22" s="60"/>
      <c r="ER22" s="60"/>
      <c r="ES22" s="60"/>
      <c r="ET22" s="60"/>
      <c r="EU22" s="60"/>
      <c r="EV22" s="60"/>
    </row>
    <row r="23" spans="1:152" s="349" customFormat="1" ht="42.75" customHeight="1" x14ac:dyDescent="0.25">
      <c r="A23" s="66"/>
      <c r="B23" s="66"/>
      <c r="C23" s="347"/>
      <c r="D23" s="347" t="s">
        <v>307</v>
      </c>
      <c r="E23" s="788" t="s">
        <v>976</v>
      </c>
      <c r="F23" s="788" t="s">
        <v>977</v>
      </c>
      <c r="G23" s="788" t="s">
        <v>1047</v>
      </c>
      <c r="H23" s="347" t="s">
        <v>1044</v>
      </c>
      <c r="I23" s="347" t="s">
        <v>972</v>
      </c>
      <c r="J23" s="788" t="s">
        <v>978</v>
      </c>
      <c r="K23" s="788" t="s">
        <v>979</v>
      </c>
      <c r="L23" s="784" t="s">
        <v>984</v>
      </c>
      <c r="M23" s="347" t="s">
        <v>446</v>
      </c>
      <c r="N23" s="347" t="s">
        <v>445</v>
      </c>
      <c r="O23" s="347" t="s">
        <v>447</v>
      </c>
      <c r="P23" s="347" t="s">
        <v>448</v>
      </c>
      <c r="Q23" s="348" t="s">
        <v>243</v>
      </c>
      <c r="R23" s="348" t="s">
        <v>244</v>
      </c>
      <c r="S23" s="348" t="s">
        <v>877</v>
      </c>
      <c r="T23" s="348" t="s">
        <v>876</v>
      </c>
      <c r="U23" s="347" t="s">
        <v>964</v>
      </c>
      <c r="V23" s="941" t="s">
        <v>172</v>
      </c>
      <c r="W23" s="941" t="s">
        <v>178</v>
      </c>
      <c r="X23" s="941" t="s">
        <v>173</v>
      </c>
      <c r="Y23" s="941" t="s">
        <v>175</v>
      </c>
      <c r="Z23" s="941" t="s">
        <v>164</v>
      </c>
      <c r="AA23" s="942" t="s">
        <v>166</v>
      </c>
      <c r="AB23" s="941" t="s">
        <v>167</v>
      </c>
      <c r="AC23" s="941" t="s">
        <v>170</v>
      </c>
      <c r="AD23" s="941" t="s">
        <v>179</v>
      </c>
      <c r="AE23" s="941" t="s">
        <v>174</v>
      </c>
      <c r="AF23" s="941" t="s">
        <v>171</v>
      </c>
      <c r="AG23" s="941" t="s">
        <v>168</v>
      </c>
      <c r="AH23" s="941" t="s">
        <v>165</v>
      </c>
      <c r="AI23" s="941" t="s">
        <v>40</v>
      </c>
      <c r="AJ23" s="941" t="s">
        <v>169</v>
      </c>
      <c r="AK23" s="941" t="s">
        <v>172</v>
      </c>
      <c r="AL23" s="941" t="s">
        <v>178</v>
      </c>
      <c r="AM23" s="941" t="s">
        <v>173</v>
      </c>
      <c r="AN23" s="941" t="s">
        <v>175</v>
      </c>
      <c r="AO23" s="941" t="s">
        <v>164</v>
      </c>
      <c r="AP23" s="941" t="s">
        <v>166</v>
      </c>
      <c r="AQ23" s="941" t="s">
        <v>167</v>
      </c>
      <c r="AR23" s="941" t="s">
        <v>179</v>
      </c>
      <c r="AS23" s="941" t="s">
        <v>174</v>
      </c>
      <c r="AT23" s="941" t="s">
        <v>168</v>
      </c>
      <c r="AU23" s="941" t="s">
        <v>165</v>
      </c>
      <c r="AV23" s="941" t="s">
        <v>602</v>
      </c>
      <c r="AW23" s="941" t="s">
        <v>556</v>
      </c>
      <c r="AX23" s="941" t="s">
        <v>516</v>
      </c>
      <c r="AY23" s="785" t="s">
        <v>334</v>
      </c>
      <c r="AZ23" s="316" t="s">
        <v>436</v>
      </c>
      <c r="BA23" s="316" t="s">
        <v>437</v>
      </c>
      <c r="BB23" s="316" t="s">
        <v>981</v>
      </c>
      <c r="BC23" s="316" t="s">
        <v>982</v>
      </c>
      <c r="BD23" s="316" t="s">
        <v>438</v>
      </c>
      <c r="BE23" s="316" t="s">
        <v>439</v>
      </c>
      <c r="BF23" s="316"/>
      <c r="BG23" s="316"/>
      <c r="BH23" s="316"/>
      <c r="BI23" s="316"/>
      <c r="BJ23" s="316"/>
      <c r="BK23" s="316"/>
      <c r="BL23" s="316"/>
      <c r="BM23" s="316"/>
      <c r="BN23" s="316"/>
      <c r="BO23" s="952"/>
      <c r="BP23" s="347" t="s">
        <v>307</v>
      </c>
      <c r="BQ23" s="784" t="s">
        <v>976</v>
      </c>
      <c r="BR23" s="788" t="s">
        <v>977</v>
      </c>
      <c r="BS23" s="788" t="s">
        <v>1047</v>
      </c>
      <c r="BT23" s="784" t="s">
        <v>1044</v>
      </c>
      <c r="BU23" s="347" t="s">
        <v>972</v>
      </c>
      <c r="BV23" s="784" t="s">
        <v>978</v>
      </c>
      <c r="BW23" s="784" t="s">
        <v>979</v>
      </c>
      <c r="BX23" s="784" t="s">
        <v>984</v>
      </c>
      <c r="BY23" s="347" t="s">
        <v>446</v>
      </c>
      <c r="BZ23" s="347" t="s">
        <v>445</v>
      </c>
      <c r="CA23" s="347" t="s">
        <v>447</v>
      </c>
      <c r="CB23" s="539" t="s">
        <v>448</v>
      </c>
      <c r="CC23" s="348" t="s">
        <v>243</v>
      </c>
      <c r="CD23" s="787" t="s">
        <v>244</v>
      </c>
      <c r="CE23" s="348" t="s">
        <v>877</v>
      </c>
      <c r="CF23" s="348" t="s">
        <v>876</v>
      </c>
      <c r="CG23" s="347" t="s">
        <v>964</v>
      </c>
      <c r="CH23" s="941" t="s">
        <v>172</v>
      </c>
      <c r="CI23" s="941" t="s">
        <v>178</v>
      </c>
      <c r="CJ23" s="941" t="s">
        <v>173</v>
      </c>
      <c r="CK23" s="941" t="s">
        <v>175</v>
      </c>
      <c r="CL23" s="941" t="s">
        <v>164</v>
      </c>
      <c r="CM23" s="942" t="s">
        <v>166</v>
      </c>
      <c r="CN23" s="941" t="s">
        <v>167</v>
      </c>
      <c r="CO23" s="941" t="s">
        <v>170</v>
      </c>
      <c r="CP23" s="941" t="s">
        <v>179</v>
      </c>
      <c r="CQ23" s="941" t="s">
        <v>174</v>
      </c>
      <c r="CR23" s="941" t="s">
        <v>171</v>
      </c>
      <c r="CS23" s="941" t="s">
        <v>168</v>
      </c>
      <c r="CT23" s="941" t="s">
        <v>165</v>
      </c>
      <c r="CU23" s="941" t="s">
        <v>40</v>
      </c>
      <c r="CV23" s="941" t="s">
        <v>169</v>
      </c>
      <c r="CW23" s="941" t="s">
        <v>172</v>
      </c>
      <c r="CX23" s="941" t="s">
        <v>178</v>
      </c>
      <c r="CY23" s="941" t="s">
        <v>173</v>
      </c>
      <c r="CZ23" s="941" t="s">
        <v>175</v>
      </c>
      <c r="DA23" s="941" t="s">
        <v>164</v>
      </c>
      <c r="DB23" s="941" t="s">
        <v>166</v>
      </c>
      <c r="DC23" s="941" t="s">
        <v>167</v>
      </c>
      <c r="DD23" s="941" t="s">
        <v>179</v>
      </c>
      <c r="DE23" s="941" t="s">
        <v>174</v>
      </c>
      <c r="DF23" s="941" t="s">
        <v>168</v>
      </c>
      <c r="DG23" s="941" t="s">
        <v>165</v>
      </c>
      <c r="DH23" s="941" t="s">
        <v>602</v>
      </c>
      <c r="DI23" s="941" t="s">
        <v>556</v>
      </c>
      <c r="DJ23" s="941" t="s">
        <v>516</v>
      </c>
      <c r="DK23" s="941"/>
      <c r="DL23" s="941"/>
      <c r="DM23" s="941"/>
      <c r="DN23" s="941"/>
      <c r="DO23" s="941"/>
      <c r="DP23" s="941"/>
      <c r="DQ23" s="941"/>
      <c r="DR23" s="941"/>
      <c r="DS23" s="941"/>
      <c r="DT23" s="941"/>
      <c r="DU23" s="941"/>
      <c r="DV23" s="941"/>
      <c r="DW23" s="941"/>
      <c r="DX23" s="941"/>
      <c r="DY23" s="941"/>
      <c r="DZ23" s="941"/>
      <c r="EA23" s="941"/>
      <c r="EB23" s="941"/>
      <c r="EC23" s="786" t="s">
        <v>334</v>
      </c>
      <c r="ED23" s="316" t="s">
        <v>436</v>
      </c>
      <c r="EE23" s="316" t="s">
        <v>437</v>
      </c>
      <c r="EF23" s="316" t="s">
        <v>981</v>
      </c>
      <c r="EG23" s="316" t="s">
        <v>982</v>
      </c>
      <c r="EH23" s="316" t="s">
        <v>438</v>
      </c>
      <c r="EI23" s="316" t="s">
        <v>439</v>
      </c>
      <c r="EJ23" s="958"/>
      <c r="EL23" s="786" t="s">
        <v>1054</v>
      </c>
      <c r="EM23" s="797" t="s">
        <v>1016</v>
      </c>
      <c r="EN23" s="889" t="s">
        <v>1017</v>
      </c>
      <c r="EO23" s="889" t="s">
        <v>1018</v>
      </c>
      <c r="EP23" s="889" t="s">
        <v>1019</v>
      </c>
      <c r="EQ23" s="890" t="s">
        <v>1009</v>
      </c>
      <c r="ER23" s="800" t="s">
        <v>1010</v>
      </c>
      <c r="ES23" s="388"/>
      <c r="ET23" s="388"/>
      <c r="EU23" s="388"/>
      <c r="EV23" s="388"/>
    </row>
    <row r="24" spans="1:152" x14ac:dyDescent="0.25">
      <c r="A24" s="66"/>
      <c r="B24" s="66"/>
      <c r="C24" s="263" t="s">
        <v>247</v>
      </c>
      <c r="D24" s="345">
        <f>VLOOKUP(D$23,$A$4:$C$18,3,0)</f>
        <v>1</v>
      </c>
      <c r="E24" s="345">
        <v>0</v>
      </c>
      <c r="F24" s="345">
        <v>0</v>
      </c>
      <c r="G24" s="345">
        <f>0</f>
        <v>0</v>
      </c>
      <c r="H24" s="345">
        <f>VLOOKUP(H$23,$A$4:$C$18,3,0)</f>
        <v>0.5</v>
      </c>
      <c r="I24" s="345">
        <f>VLOOKUP(I$23,$A$4:$C$18,3,0)</f>
        <v>1</v>
      </c>
      <c r="J24" s="345">
        <v>0</v>
      </c>
      <c r="K24" s="345">
        <v>0</v>
      </c>
      <c r="L24" s="345">
        <f t="shared" ref="L24:R24" si="1">VLOOKUP(L$23,$A$4:$C$18,3,0)</f>
        <v>0</v>
      </c>
      <c r="M24" s="345">
        <f t="shared" si="1"/>
        <v>0.25</v>
      </c>
      <c r="N24" s="345">
        <f t="shared" si="1"/>
        <v>0.25</v>
      </c>
      <c r="O24" s="345">
        <f t="shared" si="1"/>
        <v>0.25</v>
      </c>
      <c r="P24" s="345">
        <f t="shared" si="1"/>
        <v>0.25</v>
      </c>
      <c r="Q24" s="345">
        <f t="shared" si="1"/>
        <v>0.25</v>
      </c>
      <c r="R24" s="345">
        <f t="shared" si="1"/>
        <v>0.25</v>
      </c>
      <c r="S24" s="345">
        <f>VLOOKUP($S$23,$A$4:$C$18,3,0)</f>
        <v>0.1</v>
      </c>
      <c r="T24" s="345">
        <f>VLOOKUP($T$23,$A$4:$C$18,3,0)</f>
        <v>0.25</v>
      </c>
      <c r="U24" s="345">
        <f>VLOOKUP($U$23,$A$4:$C$18,3,0)</f>
        <v>0.5</v>
      </c>
      <c r="V24" s="346">
        <v>0</v>
      </c>
      <c r="W24" s="346">
        <v>0</v>
      </c>
      <c r="X24" s="346">
        <v>0</v>
      </c>
      <c r="Y24" s="346">
        <v>0</v>
      </c>
      <c r="Z24" s="346">
        <v>0</v>
      </c>
      <c r="AA24" s="346">
        <v>0</v>
      </c>
      <c r="AB24" s="346">
        <v>0</v>
      </c>
      <c r="AC24" s="346">
        <v>0</v>
      </c>
      <c r="AD24" s="346">
        <v>0</v>
      </c>
      <c r="AE24" s="346">
        <v>0</v>
      </c>
      <c r="AF24" s="346">
        <v>0</v>
      </c>
      <c r="AG24" s="346">
        <v>0</v>
      </c>
      <c r="AH24" s="346">
        <v>0</v>
      </c>
      <c r="AI24" s="346">
        <v>0</v>
      </c>
      <c r="AJ24" s="346">
        <v>0</v>
      </c>
      <c r="AK24" s="346">
        <v>0</v>
      </c>
      <c r="AL24" s="346">
        <v>0</v>
      </c>
      <c r="AM24" s="346">
        <v>0</v>
      </c>
      <c r="AN24" s="346">
        <v>0</v>
      </c>
      <c r="AO24" s="346">
        <v>0</v>
      </c>
      <c r="AP24" s="346">
        <v>0</v>
      </c>
      <c r="AQ24" s="346">
        <v>0</v>
      </c>
      <c r="AR24" s="346">
        <v>0</v>
      </c>
      <c r="AS24" s="346">
        <v>0</v>
      </c>
      <c r="AT24" s="346">
        <v>0</v>
      </c>
      <c r="AU24" s="346">
        <v>0</v>
      </c>
      <c r="AV24" s="346">
        <v>0</v>
      </c>
      <c r="AW24" s="346">
        <v>0</v>
      </c>
      <c r="AX24" s="346">
        <v>0</v>
      </c>
      <c r="AY24" s="572"/>
      <c r="AZ24" s="64"/>
      <c r="BA24" s="64"/>
      <c r="BB24" s="64"/>
      <c r="BC24" s="64"/>
      <c r="BD24" s="64"/>
      <c r="BP24" s="345">
        <f>VLOOKUP(BP$23,$A$4:$C$18,3,0)</f>
        <v>1</v>
      </c>
      <c r="BQ24" s="345">
        <v>0</v>
      </c>
      <c r="BR24" s="345">
        <v>0</v>
      </c>
      <c r="BS24" s="345">
        <v>0</v>
      </c>
      <c r="BT24" s="345">
        <f>VLOOKUP(BT$23,$A$4:$C$18,3,0)</f>
        <v>0.5</v>
      </c>
      <c r="BU24" s="345">
        <f>VLOOKUP(BU$23,$A$4:$C$18,3,0)</f>
        <v>1</v>
      </c>
      <c r="BV24" s="345">
        <v>0</v>
      </c>
      <c r="BW24" s="345">
        <v>0</v>
      </c>
      <c r="BX24" s="345">
        <f>VLOOKUP(BX$23,$A$4:$C$18,3,0)</f>
        <v>0</v>
      </c>
      <c r="BY24" s="345">
        <f>VLOOKUP(BY$23,$A$4:$C$18,3,0)</f>
        <v>0.25</v>
      </c>
      <c r="BZ24" s="345">
        <f>VLOOKUP(BZ$23,$A$4:$C$18,3,0)</f>
        <v>0.25</v>
      </c>
      <c r="CA24" s="345">
        <f>VLOOKUP(CA$23,$A$4:$C$18,3,0)</f>
        <v>0.25</v>
      </c>
      <c r="CB24" s="345"/>
      <c r="CC24" s="345">
        <f>VLOOKUP(CC23,$A$4:$C$18,3,0)</f>
        <v>0.25</v>
      </c>
      <c r="CD24" s="345">
        <f>VLOOKUP(CD23,$A$4:$C$18,3,0)</f>
        <v>0.25</v>
      </c>
      <c r="CE24" s="345">
        <f>VLOOKUP($S$23,$A$4:$C$18,3,0)</f>
        <v>0.1</v>
      </c>
      <c r="CF24" s="345">
        <f>VLOOKUP($T$23,$A$4:$C$18,3,0)</f>
        <v>0.25</v>
      </c>
      <c r="CG24" s="345">
        <f>VLOOKUP($U$23,$A$4:$C$18,3,0)</f>
        <v>0.5</v>
      </c>
      <c r="CH24" s="345">
        <v>0</v>
      </c>
      <c r="CI24" s="345">
        <v>0</v>
      </c>
      <c r="CJ24" s="345">
        <v>0</v>
      </c>
      <c r="CK24" s="345">
        <v>0</v>
      </c>
      <c r="CL24" s="345">
        <v>0</v>
      </c>
      <c r="CM24" s="345">
        <v>0</v>
      </c>
      <c r="CN24" s="345">
        <v>0</v>
      </c>
      <c r="CO24" s="345">
        <v>0</v>
      </c>
      <c r="CP24" s="345">
        <v>0</v>
      </c>
      <c r="CQ24" s="345">
        <v>0</v>
      </c>
      <c r="CR24" s="345">
        <v>0</v>
      </c>
      <c r="CS24" s="345">
        <v>0</v>
      </c>
      <c r="CT24" s="345">
        <v>0</v>
      </c>
      <c r="CU24" s="345">
        <v>0</v>
      </c>
      <c r="CV24" s="345">
        <v>0</v>
      </c>
      <c r="CW24" s="345">
        <v>0</v>
      </c>
      <c r="CX24" s="345">
        <v>0</v>
      </c>
      <c r="CY24" s="345">
        <v>0</v>
      </c>
      <c r="CZ24" s="345">
        <v>0</v>
      </c>
      <c r="DA24" s="345">
        <v>0</v>
      </c>
      <c r="DB24" s="345">
        <v>0</v>
      </c>
      <c r="DC24" s="345">
        <v>0</v>
      </c>
      <c r="DD24" s="345">
        <v>0</v>
      </c>
      <c r="DE24" s="345">
        <v>0</v>
      </c>
      <c r="DF24" s="345">
        <v>0</v>
      </c>
      <c r="DG24" s="345">
        <v>0</v>
      </c>
      <c r="DH24" s="345">
        <v>0</v>
      </c>
      <c r="DI24" s="345">
        <v>0</v>
      </c>
      <c r="DJ24" s="345">
        <v>0</v>
      </c>
      <c r="DK24" s="345"/>
      <c r="DL24" s="345"/>
      <c r="DM24" s="345"/>
      <c r="DN24" s="345"/>
      <c r="DO24" s="345"/>
      <c r="DP24" s="345"/>
      <c r="DQ24" s="345"/>
      <c r="DR24" s="345"/>
      <c r="DS24" s="345"/>
      <c r="DT24" s="345"/>
      <c r="DU24" s="345"/>
      <c r="DV24" s="345"/>
      <c r="DW24" s="345"/>
      <c r="DX24" s="345"/>
      <c r="DY24" s="345"/>
      <c r="DZ24" s="345"/>
      <c r="EA24" s="345"/>
      <c r="EB24" s="345"/>
      <c r="EC24" s="541"/>
      <c r="EL24" s="541"/>
      <c r="EM24" s="793"/>
      <c r="EN24" s="128"/>
      <c r="EO24" s="128"/>
      <c r="EP24" s="128"/>
      <c r="EQ24" s="128"/>
      <c r="ER24" s="794"/>
      <c r="ES24" s="128"/>
      <c r="ET24" s="128"/>
      <c r="EU24" s="128"/>
      <c r="EV24" s="128"/>
    </row>
    <row r="25" spans="1:152" x14ac:dyDescent="0.25">
      <c r="A25" s="66" t="s">
        <v>317</v>
      </c>
      <c r="B25" s="66" t="s">
        <v>450</v>
      </c>
      <c r="C25" s="66" t="s">
        <v>368</v>
      </c>
      <c r="D25" s="64"/>
      <c r="E25" s="64"/>
      <c r="F25" s="64"/>
      <c r="G25" s="64"/>
      <c r="H25" s="64"/>
      <c r="I25" s="64"/>
      <c r="J25" s="64"/>
      <c r="K25" s="64"/>
      <c r="L25" s="64"/>
      <c r="M25" s="64"/>
      <c r="N25" s="64"/>
      <c r="O25" s="64"/>
      <c r="P25" s="64"/>
      <c r="Q25" s="64"/>
      <c r="R25" s="64"/>
      <c r="S25" s="64"/>
      <c r="T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542"/>
      <c r="AZ25" s="64"/>
      <c r="BA25" s="64"/>
      <c r="BB25" s="64"/>
      <c r="BC25" s="64"/>
      <c r="BD25" s="64"/>
      <c r="EC25" s="542"/>
      <c r="EL25" s="542"/>
      <c r="EM25" s="793"/>
      <c r="EN25" s="128"/>
      <c r="EO25" s="128"/>
      <c r="EP25" s="128"/>
      <c r="EQ25" s="128"/>
      <c r="ER25" s="794"/>
      <c r="ES25" s="128"/>
      <c r="ET25" s="128"/>
      <c r="EU25" s="128"/>
      <c r="EV25" s="128"/>
    </row>
    <row r="26" spans="1:152" x14ac:dyDescent="0.25">
      <c r="A26" s="258" t="s">
        <v>370</v>
      </c>
      <c r="B26" s="9" t="s">
        <v>399</v>
      </c>
      <c r="C26" s="236" t="s">
        <v>369</v>
      </c>
      <c r="D26" s="342">
        <f ca="1">INDEX(INDIRECT("SSW_WTPCore_DCE_"&amp;$B26&amp;"_UnitValues"),MATCH("COMBINED-HH",WTPCore_Group,0),MATCH("MEAN",LMH,0))</f>
        <v>751.24482173174863</v>
      </c>
      <c r="E26" s="342">
        <f t="shared" ref="E26:E41" ca="1" si="2">INDEX(INDIRECT("SSW_WTPCore_DCE_"&amp;$B26&amp;"_UnitValues"),MATCH("COMBINED-HH",WTPCore_Group,0),MATCH("LOW",LMH,0))</f>
        <v>656.77691001697781</v>
      </c>
      <c r="F26" s="342">
        <f t="shared" ref="F26:F41" ca="1" si="3">INDEX(INDIRECT("SSW_WTPCore_DCE_"&amp;$B26&amp;"_UnitValues"),MATCH("COMBINED-HH",WTPCore_Group,0),MATCH("HIGH",LMH,0))</f>
        <v>845.71273344651934</v>
      </c>
      <c r="G26" s="342">
        <f t="shared" ref="G26:G40" ca="1" si="4">INDEX(INDIRECT("SSW_WTPCore_DCE_"&amp;$B26&amp;"_UnitValues"),1,MATCH("MEAN",LMH,0))</f>
        <v>1956.8353140916806</v>
      </c>
      <c r="H26" s="343">
        <f ca="1">INDEX(SSW_WTPMaxdiff_WTP_Unitvalues,MATCH($B26,WTPMaxdiff_WTP_options,0))</f>
        <v>3387.376353304137</v>
      </c>
      <c r="I26" s="342">
        <f ca="1">INDEX(INDIRECT("SSW_WTPCore2_"&amp;$B26&amp;"_UnitValues"),1,MATCH("MEAN",LMH,0))</f>
        <v>250.4921474232392</v>
      </c>
      <c r="J26" s="342">
        <f t="shared" ref="J26:J34" ca="1" si="5">INDEX(INDIRECT("SSW_WTPCore2_"&amp;$B26&amp;"_UnitValues"),1,MATCH("LOW",LMH,0))</f>
        <v>224.60372460665025</v>
      </c>
      <c r="K26" s="342">
        <f t="shared" ref="K26:K34" ca="1" si="6">INDEX(INDIRECT("SSW_WTPCore2_"&amp;$B26&amp;"_UnitValues"),1,MATCH("HIGH",LMH,0))</f>
        <v>276.38057023982822</v>
      </c>
      <c r="L26" s="342">
        <f ca="1">INDEX(INDIRECT("SSW_WTPCore2_LowBill_"&amp;$B26&amp;"_UnitValues"),1,MATCH("MEAN",LMH,0))</f>
        <v>242.94617733728819</v>
      </c>
      <c r="M26" s="342">
        <f t="shared" ref="M26:M41" ca="1" si="7">IFERROR(INDEX(SSW_Priorities_output_WTP,MATCH($A26,Priorities_WTP_options,0)),"")</f>
        <v>1775.9679939155951</v>
      </c>
      <c r="N26" s="342">
        <f t="shared" ref="N26:N41" ca="1" si="8">IFERROR(INDEX(SSW_Contacts_output_WTP,MATCH($A26,Contacts_WTP_options,0)),"")</f>
        <v>22.162488257641915</v>
      </c>
      <c r="O26" s="342" t="str">
        <f t="shared" ref="O26:O41" si="9">IFERROR(INDEX(SSW_Satisfaction_output_WTP,MATCH($A26,Satisfaction_WTP_options,0)),"")</f>
        <v/>
      </c>
      <c r="P26" s="342" t="str">
        <f t="shared" ref="P26:P41" si="10">IFERROR(INDEX(SSW_PR14_WTPCore_UnitValues,MATCH($B26,SSW_PR14_WTPCore_Options,0)),"")</f>
        <v/>
      </c>
      <c r="Q26" s="342"/>
      <c r="R26" s="342"/>
      <c r="S26" s="342"/>
      <c r="T26" s="342">
        <f ca="1">AVERAGE($AK26:$AX26)</f>
        <v>472.65285796343375</v>
      </c>
      <c r="U26" s="962"/>
      <c r="V26" s="342" t="str">
        <f t="shared" ref="V26:AJ26" ca="1" si="11">IFERROR(INDEX(INDIRECT("PR14_Comp"&amp;V$23&amp;"_UnitValues"),MATCH($B26,INDIRECT("PR14_Comp"&amp;V$23&amp;"_WTPCore_Options"),0)),"")</f>
        <v/>
      </c>
      <c r="W26" s="342" t="str">
        <f t="shared" ca="1" si="11"/>
        <v/>
      </c>
      <c r="X26" s="342" t="str">
        <f t="shared" ca="1" si="11"/>
        <v/>
      </c>
      <c r="Y26" s="342" t="str">
        <f t="shared" ca="1" si="11"/>
        <v/>
      </c>
      <c r="Z26" s="342" t="str">
        <f t="shared" ca="1" si="11"/>
        <v/>
      </c>
      <c r="AA26" s="342" t="str">
        <f t="shared" ca="1" si="11"/>
        <v/>
      </c>
      <c r="AB26" s="342" t="str">
        <f t="shared" ca="1" si="11"/>
        <v/>
      </c>
      <c r="AC26" s="342" t="str">
        <f t="shared" ca="1" si="11"/>
        <v/>
      </c>
      <c r="AD26" s="342" t="str">
        <f t="shared" ca="1" si="11"/>
        <v/>
      </c>
      <c r="AE26" s="342" t="str">
        <f t="shared" ca="1" si="11"/>
        <v/>
      </c>
      <c r="AF26" s="342" t="str">
        <f t="shared" ca="1" si="11"/>
        <v/>
      </c>
      <c r="AG26" s="342" t="str">
        <f t="shared" ca="1" si="11"/>
        <v/>
      </c>
      <c r="AH26" s="342" t="str">
        <f t="shared" ca="1" si="11"/>
        <v/>
      </c>
      <c r="AI26" s="342" t="str">
        <f t="shared" ca="1" si="11"/>
        <v/>
      </c>
      <c r="AJ26" s="342" t="str">
        <f t="shared" ca="1" si="11"/>
        <v/>
      </c>
      <c r="AK26" s="342" t="str">
        <f t="shared" ref="AK26:AX38" ca="1" si="12">IFERROR(INDEX(INDIRECT("PR19_Comp"&amp;AK$23&amp;"_UnitValues"),MATCH($B26,INDIRECT("PR19_Comp"&amp;AK$23&amp;"_WTPCore_Options"),0)),"")</f>
        <v/>
      </c>
      <c r="AL26" s="342" t="str">
        <f t="shared" ca="1" si="12"/>
        <v/>
      </c>
      <c r="AM26" s="342">
        <f t="shared" ca="1" si="12"/>
        <v>465.84950312736055</v>
      </c>
      <c r="AN26" s="342">
        <f t="shared" ca="1" si="12"/>
        <v>258.31512978708861</v>
      </c>
      <c r="AO26" s="342" t="str">
        <f t="shared" ca="1" si="12"/>
        <v/>
      </c>
      <c r="AP26" s="342" t="str">
        <f t="shared" ca="1" si="12"/>
        <v/>
      </c>
      <c r="AQ26" s="342" t="str">
        <f t="shared" ca="1" si="12"/>
        <v/>
      </c>
      <c r="AR26" s="342" t="str">
        <f t="shared" ca="1" si="12"/>
        <v/>
      </c>
      <c r="AS26" s="342" t="str">
        <f t="shared" ca="1" si="12"/>
        <v/>
      </c>
      <c r="AT26" s="342" t="str">
        <f t="shared" ca="1" si="12"/>
        <v/>
      </c>
      <c r="AU26" s="342" t="str">
        <f t="shared" ca="1" si="12"/>
        <v/>
      </c>
      <c r="AV26" s="342" t="str">
        <f t="shared" ca="1" si="12"/>
        <v/>
      </c>
      <c r="AW26" s="342">
        <f t="shared" ca="1" si="12"/>
        <v>693.79394097585214</v>
      </c>
      <c r="AX26" s="342" t="str">
        <f t="shared" ca="1" si="12"/>
        <v/>
      </c>
      <c r="AY26" s="645">
        <f ca="1">SUMPRODUCT($D$24:$U$24,D26:U26)/SUMIF($D26:$U26,"&gt;0",$D$24:$U$24)</f>
        <v>1004.0372248742228</v>
      </c>
      <c r="AZ26" s="543">
        <f ca="1">MIN($D26:$U26)</f>
        <v>22.162488257641915</v>
      </c>
      <c r="BA26" s="543">
        <f ca="1">MAX($D26:$U26)</f>
        <v>3387.376353304137</v>
      </c>
      <c r="BB26" s="14">
        <f ca="1">0.8*AZ26+0.2*AY26</f>
        <v>218.53743558095812</v>
      </c>
      <c r="BC26" s="543">
        <f ca="1">0.8*BA26+0.2*AY26</f>
        <v>2910.7085276181542</v>
      </c>
      <c r="BD26" s="543">
        <f ca="1">AY26-BB26</f>
        <v>785.49978929326471</v>
      </c>
      <c r="BE26" s="543">
        <f t="shared" ref="BE26:BE41" ca="1" si="13">BC26-AY26</f>
        <v>1906.6713027439314</v>
      </c>
      <c r="BF26" s="543"/>
      <c r="BG26" s="543"/>
      <c r="BH26" s="543"/>
      <c r="BI26" s="543"/>
      <c r="BJ26" s="543"/>
      <c r="BK26" s="543"/>
      <c r="BL26" s="543"/>
      <c r="BM26" s="543"/>
      <c r="BN26" s="543"/>
      <c r="BO26" s="953"/>
      <c r="BP26" s="342">
        <f ca="1">INDEX(INDIRECT("CAM_WTPCore_"&amp;$B26&amp;"_UnitValues"),MATCH("COMBINED-HH",WTPCore_Group,0),MATCH("MEAN",LMH,0))</f>
        <v>495.01276595744673</v>
      </c>
      <c r="BQ26" s="342">
        <f t="shared" ref="BQ26:BQ41" ca="1" si="14">INDEX(INDIRECT("CAM_WTPCore_"&amp;$B26&amp;"_UnitValues"),MATCH("COMBINED-HH",WTPCore_Group,0),MATCH("LOW",LMH,0))</f>
        <v>414.74042553191481</v>
      </c>
      <c r="BR26" s="342">
        <f t="shared" ref="BR26:BR41" ca="1" si="15">INDEX(INDIRECT("CAM_WTPCore_"&amp;$B26&amp;"_UnitValues"),MATCH("COMBINED-HH",WTPCore_Group,0),MATCH("HIGH",LMH,0))</f>
        <v>575.2851063829786</v>
      </c>
      <c r="BS26" s="342">
        <f t="shared" ref="BS26:BS40" ca="1" si="16">INDEX(INDIRECT("CAM_WTPCore_"&amp;$B26&amp;"_UnitValues"),1,MATCH("MEAN",LMH,0))</f>
        <v>1589.83829787234</v>
      </c>
      <c r="BT26" s="343">
        <f ca="1">INDEX(CAM_WTPMaxdiff_WTP_Unitvalues,MATCH($B26,WTPMaxdiff_WTP_options,0))</f>
        <v>3454.7804310930278</v>
      </c>
      <c r="BU26" s="342">
        <f ca="1">INDEX(INDIRECT("CAM_WTPCore2_"&amp;$B26&amp;"_UnitValues"),1,MATCH("MEAN",LMH,0))</f>
        <v>548.30127891979646</v>
      </c>
      <c r="BV26" s="342">
        <f t="shared" ref="BV26:BV34" ca="1" si="17">INDEX(INDIRECT("CAM_WTPCore2_"&amp;$B26&amp;"_UnitValues"),1,MATCH("LOW",LMH,0))</f>
        <v>475.99820829123024</v>
      </c>
      <c r="BW26" s="342">
        <f t="shared" ref="BW26:BW34" ca="1" si="18">INDEX(INDIRECT("CAM_WTPCore2_"&amp;$B26&amp;"_UnitValues"),1,MATCH("HIGH",LMH,0))</f>
        <v>620.60434954836273</v>
      </c>
      <c r="BX26" s="342">
        <f t="shared" ref="BX26:BX34" ca="1" si="19">INDEX(INDIRECT("CAM_WTPCore2_LowBill_"&amp;$B26&amp;"_UnitValues"),1,MATCH("MEAN",LMH,0))</f>
        <v>391.11701344910756</v>
      </c>
      <c r="BY26" s="342">
        <f t="shared" ref="BY26:BY41" ca="1" si="20">IFERROR(INDEX(CAM_Priorities_output_WTP,MATCH($A26,Priorities_WTP_options,0)),"")</f>
        <v>1846.8916392736846</v>
      </c>
      <c r="BZ26" s="342">
        <f t="shared" ref="BZ26:BZ41" ca="1" si="21">IFERROR(INDEX(CAM_Contacts_output_WTP,MATCH($A26,Contacts_WTP_options,0)),"")</f>
        <v>15.864610482106528</v>
      </c>
      <c r="CA26" s="342" t="str">
        <f t="shared" ref="CA26:CA41" si="22">IFERROR(INDEX(CAM_Satisfaction_output_WTP,MATCH($A26,Satisfaction_WTP_options,0)),"")</f>
        <v/>
      </c>
      <c r="CB26" s="342"/>
      <c r="CC26" s="342"/>
      <c r="CD26" s="342"/>
      <c r="CE26" s="342"/>
      <c r="CF26" s="342">
        <f ca="1">AVERAGE($CW26:$DJ26)</f>
        <v>424.94657940467681</v>
      </c>
      <c r="CG26" s="342"/>
      <c r="CH26" s="342" t="str">
        <f t="shared" ref="CH26:CV26" ca="1" si="23">IFERROR(INDEX(INDIRECT("PR14_Comp"&amp;CH$23&amp;"_UnitValues_CAM"),MATCH($B26,INDIRECT("PR14_Comp"&amp;CH$23&amp;"_WTPCore_Options"),0)),"")</f>
        <v/>
      </c>
      <c r="CI26" s="342" t="str">
        <f t="shared" ca="1" si="23"/>
        <v/>
      </c>
      <c r="CJ26" s="342" t="str">
        <f t="shared" ca="1" si="23"/>
        <v/>
      </c>
      <c r="CK26" s="342" t="str">
        <f t="shared" ca="1" si="23"/>
        <v/>
      </c>
      <c r="CL26" s="342" t="str">
        <f t="shared" ca="1" si="23"/>
        <v/>
      </c>
      <c r="CM26" s="342" t="str">
        <f t="shared" ca="1" si="23"/>
        <v/>
      </c>
      <c r="CN26" s="342" t="str">
        <f t="shared" ca="1" si="23"/>
        <v/>
      </c>
      <c r="CO26" s="342" t="str">
        <f t="shared" ca="1" si="23"/>
        <v/>
      </c>
      <c r="CP26" s="342" t="str">
        <f t="shared" ca="1" si="23"/>
        <v/>
      </c>
      <c r="CQ26" s="342" t="str">
        <f t="shared" ca="1" si="23"/>
        <v/>
      </c>
      <c r="CR26" s="342" t="str">
        <f t="shared" ca="1" si="23"/>
        <v/>
      </c>
      <c r="CS26" s="342" t="str">
        <f t="shared" ca="1" si="23"/>
        <v/>
      </c>
      <c r="CT26" s="342" t="str">
        <f t="shared" ca="1" si="23"/>
        <v/>
      </c>
      <c r="CU26" s="342" t="str">
        <f t="shared" ca="1" si="23"/>
        <v/>
      </c>
      <c r="CV26" s="342" t="str">
        <f t="shared" ca="1" si="23"/>
        <v/>
      </c>
      <c r="CW26" s="342" t="str">
        <f t="shared" ref="CW26:DJ35" ca="1" si="24">IFERROR(INDEX(INDIRECT("PR19_Comp"&amp;CW$23&amp;"_UnitValues_CAM"),MATCH($B26,INDIRECT("PR19_Comp"&amp;CW$23&amp;"_WTPCore_Options"),0)),"")</f>
        <v/>
      </c>
      <c r="CX26" s="342" t="str">
        <f t="shared" ca="1" si="24"/>
        <v/>
      </c>
      <c r="CY26" s="342">
        <f t="shared" ca="1" si="24"/>
        <v>185.22988542074427</v>
      </c>
      <c r="CZ26" s="342">
        <f t="shared" ca="1" si="24"/>
        <v>502.62074795102541</v>
      </c>
      <c r="DA26" s="342" t="str">
        <f t="shared" ca="1" si="24"/>
        <v/>
      </c>
      <c r="DB26" s="342" t="str">
        <f t="shared" ca="1" si="24"/>
        <v/>
      </c>
      <c r="DC26" s="342" t="str">
        <f t="shared" ca="1" si="24"/>
        <v/>
      </c>
      <c r="DD26" s="342" t="str">
        <f t="shared" ca="1" si="24"/>
        <v/>
      </c>
      <c r="DE26" s="342" t="str">
        <f t="shared" ca="1" si="24"/>
        <v/>
      </c>
      <c r="DF26" s="342" t="str">
        <f t="shared" ca="1" si="24"/>
        <v/>
      </c>
      <c r="DG26" s="342" t="str">
        <f t="shared" ca="1" si="24"/>
        <v/>
      </c>
      <c r="DH26" s="342" t="str">
        <f t="shared" ca="1" si="24"/>
        <v/>
      </c>
      <c r="DI26" s="342">
        <f t="shared" ca="1" si="24"/>
        <v>586.98910484226076</v>
      </c>
      <c r="DJ26" s="342" t="str">
        <f t="shared" ca="1" si="24"/>
        <v/>
      </c>
      <c r="DK26" s="342"/>
      <c r="DL26" s="342"/>
      <c r="DM26" s="342"/>
      <c r="DN26" s="342"/>
      <c r="DO26" s="342"/>
      <c r="DP26" s="342"/>
      <c r="DQ26" s="342"/>
      <c r="DR26" s="342"/>
      <c r="DS26" s="342"/>
      <c r="DT26" s="342"/>
      <c r="DU26" s="342"/>
      <c r="DV26" s="342"/>
      <c r="DW26" s="342"/>
      <c r="DX26" s="342"/>
      <c r="DY26" s="342"/>
      <c r="DZ26" s="342"/>
      <c r="EA26" s="342"/>
      <c r="EB26" s="342"/>
      <c r="EC26" s="790">
        <f t="shared" ref="EC26:EC41" ca="1" si="25">SUMPRODUCT($BP$24:$CG$24,BP26:CG26)/SUMIF($BP26:$CG26,"&gt;0",$BP$24:$CG$24)</f>
        <v>1028.501528527346</v>
      </c>
      <c r="ED26" s="543">
        <f ca="1">MIN($BP26:$CG26)</f>
        <v>15.864610482106528</v>
      </c>
      <c r="EE26" s="543">
        <f ca="1">MAX($BP26:$CG26)</f>
        <v>3454.7804310930278</v>
      </c>
      <c r="EF26" s="14">
        <f ca="1">0.8*ED26+0.2*EC26</f>
        <v>218.3919940911544</v>
      </c>
      <c r="EG26" s="543">
        <f ca="1">0.8*EE26+0.2*EC26</f>
        <v>2969.5246505798914</v>
      </c>
      <c r="EH26" s="14">
        <f ca="1">EC26-EF26</f>
        <v>810.10953443619155</v>
      </c>
      <c r="EI26" s="543">
        <f ca="1">EG26-EC26</f>
        <v>1941.0231220525454</v>
      </c>
      <c r="EL26" s="645">
        <f t="shared" ref="EL26:EL41" ca="1" si="26">(AY26*HHProps_SSW+EC26*HHProps_CAM)/HHProps_All</f>
        <v>1008.7294998062275</v>
      </c>
      <c r="EM26" s="798">
        <f t="shared" ref="EM26:EM41" ca="1" si="27">(AZ26*HHProps_SSW+ED26*HHProps_CAM)/HHProps_All</f>
        <v>20.954549767751526</v>
      </c>
      <c r="EN26" s="892">
        <f t="shared" ref="EN26:EN41" ca="1" si="28">(BA26*HHProps_SSW+EE26*HHProps_CAM)/HHProps_All</f>
        <v>3400.3045146369991</v>
      </c>
      <c r="EO26" s="892">
        <f t="shared" ref="EO26:EO41" ca="1" si="29">(BB26*HHProps_SSW+EF26*HHProps_CAM)/HHProps_All</f>
        <v>218.50953977544668</v>
      </c>
      <c r="EP26" s="892">
        <f t="shared" ref="EP26:EP41" ca="1" si="30">(BC26*HHProps_SSW+EG26*HHProps_CAM)/HHProps_All</f>
        <v>2921.9895116708444</v>
      </c>
      <c r="EQ26" s="887">
        <f t="shared" ref="EQ26:EQ41" ca="1" si="31">(BD26*HHProps_SSW+EH26*HHProps_CAM)/HHProps_All</f>
        <v>790.21996003078073</v>
      </c>
      <c r="ER26" s="795">
        <f t="shared" ref="ER26:ER41" ca="1" si="32">(BE26*HHProps_SSW+EI26*HHProps_CAM)/HHProps_All</f>
        <v>1913.2600118646171</v>
      </c>
      <c r="ES26" s="887"/>
      <c r="ET26" s="887"/>
      <c r="EU26" s="887"/>
      <c r="EV26" s="887"/>
    </row>
    <row r="27" spans="1:152" x14ac:dyDescent="0.25">
      <c r="A27" s="258" t="s">
        <v>25</v>
      </c>
      <c r="B27" s="9" t="s">
        <v>266</v>
      </c>
      <c r="C27" s="236" t="s">
        <v>369</v>
      </c>
      <c r="D27" s="342">
        <f ca="1">INDEX(INDIRECT("SSW_WTPCore_DCE_"&amp;$B27&amp;"_UnitValues"),MATCH("COMBINED-HH",WTPCore_Group,0),MATCH("MEAN",LMH,0))</f>
        <v>27.809917858229387</v>
      </c>
      <c r="E27" s="342">
        <f t="shared" ca="1" si="2"/>
        <v>24.221541360393338</v>
      </c>
      <c r="F27" s="342">
        <f t="shared" ca="1" si="3"/>
        <v>31.398294356065435</v>
      </c>
      <c r="G27" s="342">
        <f t="shared" ca="1" si="4"/>
        <v>54.825127334465201</v>
      </c>
      <c r="H27" s="343">
        <f t="shared" ref="H27:H41" ca="1" si="33">INDEX(SSW_WTPMaxdiff_WTP_Unitvalues,MATCH($B27,WTPMaxdiff_WTP_options,0))</f>
        <v>53.526359649598</v>
      </c>
      <c r="I27" s="342">
        <f t="shared" ref="I27:I34" ca="1" si="34">INDEX(INDIRECT("SSW_WTPCore2_"&amp;$B27&amp;"_UnitValues"),1,MATCH("MEAN",LMH,0))</f>
        <v>139.68750774741403</v>
      </c>
      <c r="J27" s="342">
        <f t="shared" ca="1" si="5"/>
        <v>125.25453050965838</v>
      </c>
      <c r="K27" s="342">
        <f t="shared" ca="1" si="6"/>
        <v>154.1204849851697</v>
      </c>
      <c r="L27" s="342">
        <f t="shared" ref="L27:L34" ca="1" si="35">INDEX(INDIRECT("SSW_WTPCore2_LowBill_"&amp;$B27&amp;"_UnitValues"),1,MATCH("MEAN",LMH,0))</f>
        <v>102.61084576187584</v>
      </c>
      <c r="M27" s="342">
        <f t="shared" ca="1" si="7"/>
        <v>40.152789365063612</v>
      </c>
      <c r="N27" s="342">
        <f t="shared" ca="1" si="8"/>
        <v>71.421627432047032</v>
      </c>
      <c r="O27" s="342">
        <f t="shared" ca="1" si="9"/>
        <v>44.404943102152615</v>
      </c>
      <c r="P27" s="342">
        <f t="shared" ca="1" si="10"/>
        <v>167.29787551254421</v>
      </c>
      <c r="Q27" s="342" t="str">
        <f t="shared" ref="Q27:Q41" si="36">IFERROR(INDEX(SSW_WRMP_Online_UnitValues,MATCH($A27,WRMP_Online_WTPAtts,0)),"")</f>
        <v/>
      </c>
      <c r="R27" s="342" t="str">
        <f t="shared" ref="R27:R41" si="37">IFERROR(INDEX(SSW_WRMP_Workshop_UnitValues,MATCH($A27,WRMP_Workshop_WTPAtts,0)),"")</f>
        <v/>
      </c>
      <c r="S27" s="342">
        <f ca="1">AVERAGE( $V27:$AJ27)</f>
        <v>113.1864253552789</v>
      </c>
      <c r="T27" s="342">
        <f ca="1">AVERAGE($AK27:$AX27)</f>
        <v>78.475101701335177</v>
      </c>
      <c r="U27" s="962"/>
      <c r="V27" s="342" t="str">
        <f t="shared" ref="V27:Z41" ca="1" si="38">IFERROR(INDEX(INDIRECT("PR14_Comp"&amp;V$23&amp;"_UnitValues"),MATCH($B27,INDIRECT("PR14_Comp"&amp;V$23&amp;"_WTPCore_Options"),0)),"")</f>
        <v/>
      </c>
      <c r="W27" s="342" t="str">
        <f t="shared" ca="1" si="38"/>
        <v/>
      </c>
      <c r="X27" s="342">
        <f t="shared" ca="1" si="38"/>
        <v>78.432672105936078</v>
      </c>
      <c r="Y27" s="342">
        <f t="shared" ca="1" si="38"/>
        <v>111.78358999122088</v>
      </c>
      <c r="Z27" s="342">
        <f t="shared" ca="1" si="38"/>
        <v>71.149731948653525</v>
      </c>
      <c r="AA27" s="342"/>
      <c r="AB27" s="342">
        <f t="shared" ref="AB27:AJ41" ca="1" si="39">IFERROR(INDEX(INDIRECT("PR14_Comp"&amp;AB$23&amp;"_UnitValues"),MATCH($B27,INDIRECT("PR14_Comp"&amp;AB$23&amp;"_WTPCore_Options"),0)),"")</f>
        <v>129.55322619802379</v>
      </c>
      <c r="AC27" s="342" t="str">
        <f t="shared" ca="1" si="39"/>
        <v/>
      </c>
      <c r="AD27" s="342" t="str">
        <f t="shared" ca="1" si="39"/>
        <v/>
      </c>
      <c r="AE27" s="342">
        <f t="shared" ca="1" si="39"/>
        <v>159.3876293236776</v>
      </c>
      <c r="AF27" s="342" t="str">
        <f t="shared" ca="1" si="39"/>
        <v/>
      </c>
      <c r="AG27" s="342">
        <f t="shared" ca="1" si="39"/>
        <v>124.11413728132658</v>
      </c>
      <c r="AH27" s="342">
        <f t="shared" ca="1" si="39"/>
        <v>52.685519110210308</v>
      </c>
      <c r="AI27" s="342" t="str">
        <f t="shared" ca="1" si="39"/>
        <v/>
      </c>
      <c r="AJ27" s="342">
        <f t="shared" ca="1" si="39"/>
        <v>178.38489688318236</v>
      </c>
      <c r="AK27" s="342">
        <f t="shared" ca="1" si="12"/>
        <v>71.248343539376989</v>
      </c>
      <c r="AL27" s="342" t="str">
        <f t="shared" ca="1" si="12"/>
        <v/>
      </c>
      <c r="AM27" s="342">
        <f t="shared" ca="1" si="12"/>
        <v>63.756775063051158</v>
      </c>
      <c r="AN27" s="342">
        <f t="shared" ca="1" si="12"/>
        <v>138.44732014110778</v>
      </c>
      <c r="AO27" s="342" t="str">
        <f t="shared" ca="1" si="12"/>
        <v/>
      </c>
      <c r="AP27" s="342" t="str">
        <f t="shared" ca="1" si="12"/>
        <v/>
      </c>
      <c r="AQ27" s="342" t="str">
        <f t="shared" ca="1" si="12"/>
        <v/>
      </c>
      <c r="AR27" s="342" t="str">
        <f t="shared" ca="1" si="12"/>
        <v/>
      </c>
      <c r="AS27" s="342" t="str">
        <f t="shared" ca="1" si="12"/>
        <v/>
      </c>
      <c r="AT27" s="342">
        <f t="shared" ca="1" si="12"/>
        <v>50.08537408325482</v>
      </c>
      <c r="AU27" s="342">
        <f t="shared" ca="1" si="12"/>
        <v>68.837695679885158</v>
      </c>
      <c r="AV27" s="342" t="str">
        <f t="shared" ca="1" si="12"/>
        <v/>
      </c>
      <c r="AW27" s="342" t="str">
        <f t="shared" ca="1" si="12"/>
        <v/>
      </c>
      <c r="AX27" s="342" t="str">
        <f t="shared" ca="1" si="12"/>
        <v/>
      </c>
      <c r="AY27" s="645">
        <f ca="1">SUMPRODUCT($D$24:$U$24,D27:U27)/SUMIF($D27:$U27,"&gt;0",$D$24:$U$24)</f>
        <v>79.485021362144408</v>
      </c>
      <c r="AZ27" s="543">
        <f t="shared" ref="AZ27:AZ41" ca="1" si="40">MIN($D27:$U27)</f>
        <v>24.221541360393338</v>
      </c>
      <c r="BA27" s="543">
        <f t="shared" ref="BA27:BA41" ca="1" si="41">MAX($D27:$U27)</f>
        <v>167.29787551254421</v>
      </c>
      <c r="BB27" s="14">
        <f t="shared" ref="BB27:BB41" ca="1" si="42">0.8*AZ27+0.2*AY27</f>
        <v>35.274237360743555</v>
      </c>
      <c r="BC27" s="543">
        <f t="shared" ref="BC27:BC41" ca="1" si="43">0.8*BA27+0.2*AY27</f>
        <v>149.73530468246426</v>
      </c>
      <c r="BD27" s="543">
        <f ca="1">AY27-BB27</f>
        <v>44.210784001400853</v>
      </c>
      <c r="BE27" s="543">
        <f t="shared" ca="1" si="13"/>
        <v>70.250283320319852</v>
      </c>
      <c r="BF27" s="543"/>
      <c r="BG27" s="543"/>
      <c r="BH27" s="543"/>
      <c r="BI27" s="543"/>
      <c r="BJ27" s="543"/>
      <c r="BK27" s="543"/>
      <c r="BL27" s="543"/>
      <c r="BM27" s="543"/>
      <c r="BN27" s="543"/>
      <c r="BO27" s="953"/>
      <c r="BP27" s="342">
        <f ca="1">INDEX(INDIRECT("CAM_WTPCore_"&amp;$B27&amp;"_UnitValues"),MATCH("COMBINED-HH",WTPCore_Group,0),MATCH("MEAN",LMH,0))</f>
        <v>305.14240121580548</v>
      </c>
      <c r="BQ27" s="342">
        <f t="shared" ca="1" si="14"/>
        <v>255.58936170212766</v>
      </c>
      <c r="BR27" s="342">
        <f t="shared" ca="1" si="15"/>
        <v>355.56479229989873</v>
      </c>
      <c r="BS27" s="342">
        <f t="shared" ca="1" si="16"/>
        <v>453.83138297872341</v>
      </c>
      <c r="BT27" s="343">
        <f t="shared" ref="BT27:BT41" ca="1" si="44">INDEX(CAM_WTPMaxdiff_WTP_Unitvalues,MATCH($B27,WTPMaxdiff_WTP_options,0))</f>
        <v>276.87488374011008</v>
      </c>
      <c r="BU27" s="342">
        <f t="shared" ref="BU27:BU34" ca="1" si="45">INDEX(INDIRECT("CAM_WTPCore2_"&amp;$B27&amp;"_UnitValues"),1,MATCH("MEAN",LMH,0))</f>
        <v>605.67878671262065</v>
      </c>
      <c r="BV27" s="342">
        <f t="shared" ca="1" si="17"/>
        <v>525.83759720855767</v>
      </c>
      <c r="BW27" s="342">
        <f t="shared" ca="1" si="18"/>
        <v>685.5199762166834</v>
      </c>
      <c r="BX27" s="342">
        <f t="shared" ca="1" si="19"/>
        <v>643.33813461165994</v>
      </c>
      <c r="BY27" s="342">
        <f t="shared" ca="1" si="20"/>
        <v>111.95420152872165</v>
      </c>
      <c r="BZ27" s="342">
        <f t="shared" ca="1" si="21"/>
        <v>94.105065111015833</v>
      </c>
      <c r="CA27" s="342">
        <f t="shared" ca="1" si="22"/>
        <v>200.72191303036399</v>
      </c>
      <c r="CB27" s="342"/>
      <c r="CC27" s="342" t="str">
        <f t="shared" ref="CC27:CC41" si="46">IFERROR(INDEX(CAM_WRMP_Online_UnitValues,MATCH($A27,WRMP_Online_WTPAtts,0)),"")</f>
        <v/>
      </c>
      <c r="CD27" s="342" t="str">
        <f t="shared" ref="CD27:CD41" si="47">IFERROR(INDEX(CAM_WRMP_Workshop_UnitValues,MATCH($A27,WRMP_Workshop_WTPAtts,0)),"")</f>
        <v/>
      </c>
      <c r="CE27" s="342">
        <f ca="1">AVERAGE($CH27:$CV27)</f>
        <v>357.51319544028559</v>
      </c>
      <c r="CF27" s="342">
        <f ca="1">AVERAGE($CW27:$DJ27)</f>
        <v>134.42710434682323</v>
      </c>
      <c r="CG27" s="342"/>
      <c r="CH27" s="342" t="str">
        <f t="shared" ref="CH27:CL41" ca="1" si="48">IFERROR(INDEX(INDIRECT("PR14_Comp"&amp;CH$23&amp;"_UnitValues_CAM"),MATCH($B27,INDIRECT("PR14_Comp"&amp;CH$23&amp;"_WTPCore_Options"),0)),"")</f>
        <v/>
      </c>
      <c r="CI27" s="342" t="str">
        <f t="shared" ca="1" si="48"/>
        <v/>
      </c>
      <c r="CJ27" s="342">
        <f t="shared" ca="1" si="48"/>
        <v>161.66503277954885</v>
      </c>
      <c r="CK27" s="342">
        <f t="shared" ca="1" si="48"/>
        <v>307.54171425746199</v>
      </c>
      <c r="CL27" s="342">
        <f t="shared" ca="1" si="48"/>
        <v>127.10587677911448</v>
      </c>
      <c r="CM27" s="342"/>
      <c r="CN27" s="342">
        <f t="shared" ref="CN27:CV41" ca="1" si="49">IFERROR(INDEX(INDIRECT("PR14_Comp"&amp;CN$23&amp;"_UnitValues_CAM"),MATCH($B27,INDIRECT("PR14_Comp"&amp;CN$23&amp;"_WTPCore_Options"),0)),"")</f>
        <v>531.24254697019182</v>
      </c>
      <c r="CO27" s="342" t="str">
        <f t="shared" ca="1" si="49"/>
        <v/>
      </c>
      <c r="CP27" s="342" t="str">
        <f t="shared" ca="1" si="49"/>
        <v/>
      </c>
      <c r="CQ27" s="342">
        <f t="shared" ca="1" si="49"/>
        <v>784.14708993071781</v>
      </c>
      <c r="CR27" s="342" t="str">
        <f t="shared" ca="1" si="49"/>
        <v/>
      </c>
      <c r="CS27" s="342">
        <f t="shared" ca="1" si="49"/>
        <v>383.18104339110289</v>
      </c>
      <c r="CT27" s="342">
        <f t="shared" ca="1" si="49"/>
        <v>132.44118633180884</v>
      </c>
      <c r="CU27" s="342" t="str">
        <f t="shared" ca="1" si="49"/>
        <v/>
      </c>
      <c r="CV27" s="342">
        <f t="shared" ca="1" si="49"/>
        <v>432.78107308233785</v>
      </c>
      <c r="CW27" s="342">
        <f t="shared" ca="1" si="24"/>
        <v>179.22884510060993</v>
      </c>
      <c r="CX27" s="342" t="str">
        <f t="shared" ca="1" si="24"/>
        <v/>
      </c>
      <c r="CY27" s="342">
        <f t="shared" ca="1" si="24"/>
        <v>105.89804561346713</v>
      </c>
      <c r="CZ27" s="342">
        <f t="shared" ca="1" si="24"/>
        <v>269.3860621268837</v>
      </c>
      <c r="DA27" s="342" t="str">
        <f t="shared" ca="1" si="24"/>
        <v/>
      </c>
      <c r="DB27" s="342" t="str">
        <f t="shared" ca="1" si="24"/>
        <v/>
      </c>
      <c r="DC27" s="342" t="str">
        <f t="shared" ca="1" si="24"/>
        <v/>
      </c>
      <c r="DD27" s="342" t="str">
        <f t="shared" ca="1" si="24"/>
        <v/>
      </c>
      <c r="DE27" s="342" t="str">
        <f t="shared" ca="1" si="24"/>
        <v/>
      </c>
      <c r="DF27" s="342">
        <f t="shared" ca="1" si="24"/>
        <v>59.225814483332428</v>
      </c>
      <c r="DG27" s="342">
        <f t="shared" ca="1" si="24"/>
        <v>58.396754409823025</v>
      </c>
      <c r="DH27" s="342" t="str">
        <f t="shared" ca="1" si="24"/>
        <v/>
      </c>
      <c r="DI27" s="342" t="str">
        <f t="shared" ca="1" si="24"/>
        <v/>
      </c>
      <c r="DJ27" s="342" t="str">
        <f t="shared" ca="1" si="24"/>
        <v/>
      </c>
      <c r="DK27" s="342"/>
      <c r="DL27" s="342"/>
      <c r="DM27" s="342"/>
      <c r="DN27" s="342"/>
      <c r="DO27" s="342"/>
      <c r="DP27" s="342"/>
      <c r="DQ27" s="342"/>
      <c r="DR27" s="342"/>
      <c r="DS27" s="342"/>
      <c r="DT27" s="342"/>
      <c r="DU27" s="342"/>
      <c r="DV27" s="342"/>
      <c r="DW27" s="342"/>
      <c r="DX27" s="342"/>
      <c r="DY27" s="342"/>
      <c r="DZ27" s="342"/>
      <c r="EA27" s="342"/>
      <c r="EB27" s="342"/>
      <c r="EC27" s="790">
        <f t="shared" ca="1" si="25"/>
        <v>338.97556120742803</v>
      </c>
      <c r="ED27" s="543">
        <f t="shared" ref="ED27:ED41" ca="1" si="50">MIN($BP27:$CG27)</f>
        <v>94.105065111015833</v>
      </c>
      <c r="EE27" s="543">
        <f t="shared" ref="EE27:EE41" ca="1" si="51">MAX($BP27:$CG27)</f>
        <v>685.5199762166834</v>
      </c>
      <c r="EF27" s="14">
        <f t="shared" ref="EF27:EF41" ca="1" si="52">0.8*ED27+0.2*EC27</f>
        <v>143.07916433029828</v>
      </c>
      <c r="EG27" s="543">
        <f t="shared" ref="EG27:EG41" ca="1" si="53">0.8*EE27+0.2*EC27</f>
        <v>616.21109321483243</v>
      </c>
      <c r="EH27" s="543">
        <f t="shared" ref="EH27:EH41" ca="1" si="54">EC27-EF27</f>
        <v>195.89639687712975</v>
      </c>
      <c r="EI27" s="543">
        <f t="shared" ref="EI27:EI41" ca="1" si="55">EG27-EC27</f>
        <v>277.2355320074044</v>
      </c>
      <c r="EL27" s="645">
        <f t="shared" ca="1" si="26"/>
        <v>129.25553486102015</v>
      </c>
      <c r="EM27" s="798">
        <f t="shared" ca="1" si="27"/>
        <v>37.625262606852409</v>
      </c>
      <c r="EN27" s="892">
        <f t="shared" ca="1" si="28"/>
        <v>266.69332967395309</v>
      </c>
      <c r="EO27" s="892">
        <f t="shared" ca="1" si="29"/>
        <v>55.951317057685976</v>
      </c>
      <c r="EP27" s="892">
        <f t="shared" ca="1" si="30"/>
        <v>239.20577071136651</v>
      </c>
      <c r="EQ27" s="887">
        <f t="shared" ca="1" si="31"/>
        <v>73.304217803334211</v>
      </c>
      <c r="ER27" s="795">
        <f t="shared" ca="1" si="32"/>
        <v>109.95023585034632</v>
      </c>
      <c r="ES27" s="887"/>
      <c r="ET27" s="887"/>
      <c r="EU27" s="887"/>
      <c r="EV27" s="887"/>
    </row>
    <row r="28" spans="1:152" x14ac:dyDescent="0.25">
      <c r="A28" s="258" t="s">
        <v>117</v>
      </c>
      <c r="B28" s="9" t="s">
        <v>265</v>
      </c>
      <c r="C28" s="236" t="s">
        <v>369</v>
      </c>
      <c r="D28" s="342">
        <f t="shared" ref="D28:D40" ca="1" si="56">INDEX(INDIRECT("SSW_WTPCore_DCE_"&amp;$B28&amp;"_UnitValues"),MATCH("COMBINED-HH",WTPCore_Group,0),MATCH("MEAN",LMH,0))</f>
        <v>171.97536823750744</v>
      </c>
      <c r="E28" s="342">
        <f t="shared" ca="1" si="2"/>
        <v>149.60458862937639</v>
      </c>
      <c r="F28" s="342">
        <f t="shared" ca="1" si="3"/>
        <v>192.94797412013028</v>
      </c>
      <c r="G28" s="342">
        <f t="shared" ca="1" si="4"/>
        <v>263.16061120543299</v>
      </c>
      <c r="H28" s="343">
        <f t="shared" ca="1" si="33"/>
        <v>426.15992513253963</v>
      </c>
      <c r="I28" s="342">
        <f t="shared" ca="1" si="34"/>
        <v>83.328820216603944</v>
      </c>
      <c r="J28" s="342">
        <f t="shared" ca="1" si="5"/>
        <v>74.704287712232258</v>
      </c>
      <c r="K28" s="342">
        <f t="shared" ca="1" si="6"/>
        <v>91.953352720975644</v>
      </c>
      <c r="L28" s="342">
        <f t="shared" ca="1" si="35"/>
        <v>53.529306844367753</v>
      </c>
      <c r="M28" s="342">
        <f t="shared" ca="1" si="7"/>
        <v>299.13645170099181</v>
      </c>
      <c r="N28" s="342">
        <f t="shared" ca="1" si="8"/>
        <v>62.235359467680475</v>
      </c>
      <c r="O28" s="342">
        <f t="shared" ca="1" si="9"/>
        <v>109.30447532837569</v>
      </c>
      <c r="P28" s="342">
        <f t="shared" ca="1" si="10"/>
        <v>170.55692503551589</v>
      </c>
      <c r="Q28" s="342" t="str">
        <f t="shared" si="36"/>
        <v/>
      </c>
      <c r="R28" s="342" t="str">
        <f t="shared" si="37"/>
        <v/>
      </c>
      <c r="S28" s="342">
        <f ca="1">AVERAGE( $V28:$AJ28)</f>
        <v>187.24664712503574</v>
      </c>
      <c r="T28" s="342">
        <f ca="1">AVERAGE($AK28:$AX28)</f>
        <v>236.20986861563162</v>
      </c>
      <c r="U28" s="962"/>
      <c r="V28" s="342">
        <f t="shared" ca="1" si="38"/>
        <v>271.56796312248156</v>
      </c>
      <c r="W28" s="342" t="str">
        <f t="shared" ca="1" si="38"/>
        <v/>
      </c>
      <c r="X28" s="342">
        <f t="shared" ca="1" si="38"/>
        <v>292.3024977958529</v>
      </c>
      <c r="Y28" s="342">
        <f t="shared" ca="1" si="38"/>
        <v>135.89785092220004</v>
      </c>
      <c r="Z28" s="342" t="str">
        <f t="shared" ca="1" si="38"/>
        <v/>
      </c>
      <c r="AA28" s="342"/>
      <c r="AB28" s="342">
        <f t="shared" ca="1" si="39"/>
        <v>138.13807853644707</v>
      </c>
      <c r="AC28" s="342" t="str">
        <f t="shared" ca="1" si="39"/>
        <v/>
      </c>
      <c r="AD28" s="342" t="str">
        <f t="shared" ca="1" si="39"/>
        <v/>
      </c>
      <c r="AE28" s="342" t="str">
        <f t="shared" ca="1" si="39"/>
        <v/>
      </c>
      <c r="AF28" s="342" t="str">
        <f t="shared" ca="1" si="39"/>
        <v/>
      </c>
      <c r="AG28" s="342">
        <f t="shared" ca="1" si="39"/>
        <v>212.2091368201703</v>
      </c>
      <c r="AH28" s="342">
        <f t="shared" ca="1" si="39"/>
        <v>94.737263721112129</v>
      </c>
      <c r="AI28" s="342" t="str">
        <f t="shared" ca="1" si="39"/>
        <v/>
      </c>
      <c r="AJ28" s="342">
        <f t="shared" ca="1" si="39"/>
        <v>165.8737389569863</v>
      </c>
      <c r="AK28" s="342" t="str">
        <f t="shared" ca="1" si="12"/>
        <v/>
      </c>
      <c r="AL28" s="342" t="str">
        <f t="shared" ca="1" si="12"/>
        <v/>
      </c>
      <c r="AM28" s="342">
        <f t="shared" ca="1" si="12"/>
        <v>196.37086719419761</v>
      </c>
      <c r="AN28" s="342">
        <f t="shared" ca="1" si="12"/>
        <v>152.83145729862551</v>
      </c>
      <c r="AO28" s="342" t="str">
        <f t="shared" ca="1" si="12"/>
        <v/>
      </c>
      <c r="AP28" s="342" t="str">
        <f t="shared" ca="1" si="12"/>
        <v/>
      </c>
      <c r="AQ28" s="342">
        <f t="shared" ca="1" si="12"/>
        <v>576.85442874393971</v>
      </c>
      <c r="AR28" s="342" t="str">
        <f t="shared" ca="1" si="12"/>
        <v/>
      </c>
      <c r="AS28" s="342">
        <f t="shared" ca="1" si="12"/>
        <v>236.76072324190525</v>
      </c>
      <c r="AT28" s="342">
        <f t="shared" ca="1" si="12"/>
        <v>122.70916650397432</v>
      </c>
      <c r="AU28" s="342">
        <f t="shared" ca="1" si="12"/>
        <v>131.73256871114714</v>
      </c>
      <c r="AV28" s="342" t="str">
        <f t="shared" ca="1" si="12"/>
        <v/>
      </c>
      <c r="AW28" s="342" t="str">
        <f t="shared" ca="1" si="12"/>
        <v/>
      </c>
      <c r="AX28" s="342" t="str">
        <f t="shared" ca="1" si="12"/>
        <v/>
      </c>
      <c r="AY28" s="645">
        <f t="shared" ref="AY28:AY41" ca="1" si="57">SUMPRODUCT($D$24:$U$24,D28:U28)/SUMIF($D28:$U28,"&gt;0",$D$24:$U$24)</f>
        <v>183.49859370647627</v>
      </c>
      <c r="AZ28" s="543">
        <f t="shared" ca="1" si="40"/>
        <v>53.529306844367753</v>
      </c>
      <c r="BA28" s="543">
        <f t="shared" ca="1" si="41"/>
        <v>426.15992513253963</v>
      </c>
      <c r="BB28" s="14">
        <f t="shared" ca="1" si="42"/>
        <v>79.523164216789468</v>
      </c>
      <c r="BC28" s="543">
        <f t="shared" ca="1" si="43"/>
        <v>377.62765884732698</v>
      </c>
      <c r="BD28" s="543">
        <f t="shared" ref="BD28:BD41" ca="1" si="58">AY28-BB28</f>
        <v>103.9754294896868</v>
      </c>
      <c r="BE28" s="543">
        <f t="shared" ca="1" si="13"/>
        <v>194.12906514085071</v>
      </c>
      <c r="BF28" s="543"/>
      <c r="BG28" s="543"/>
      <c r="BH28" s="543"/>
      <c r="BI28" s="543"/>
      <c r="BJ28" s="543"/>
      <c r="BK28" s="543"/>
      <c r="BL28" s="543"/>
      <c r="BM28" s="543"/>
      <c r="BN28" s="543"/>
      <c r="BO28" s="953"/>
      <c r="BP28" s="342">
        <f t="shared" ref="BP28:BP41" ca="1" si="59">INDEX(INDIRECT("CAM_WTPCore_"&amp;$B28&amp;"_UnitValues"),MATCH("COMBINED-HH",WTPCore_Group,0),MATCH("MEAN",LMH,0))</f>
        <v>205.16697061803447</v>
      </c>
      <c r="BQ28" s="342">
        <f t="shared" ca="1" si="14"/>
        <v>172.13161094224924</v>
      </c>
      <c r="BR28" s="342">
        <f t="shared" ca="1" si="15"/>
        <v>238.20233029381967</v>
      </c>
      <c r="BS28" s="342">
        <f t="shared" ca="1" si="16"/>
        <v>437.90543735224588</v>
      </c>
      <c r="BT28" s="343">
        <f t="shared" ca="1" si="44"/>
        <v>780.05736830057288</v>
      </c>
      <c r="BU28" s="342">
        <f t="shared" ca="1" si="45"/>
        <v>36.618057097205678</v>
      </c>
      <c r="BV28" s="342">
        <f t="shared" ca="1" si="17"/>
        <v>31.795217457743345</v>
      </c>
      <c r="BW28" s="342">
        <f t="shared" ca="1" si="18"/>
        <v>41.440896736668023</v>
      </c>
      <c r="BX28" s="342">
        <f t="shared" ca="1" si="19"/>
        <v>68.789840101072386</v>
      </c>
      <c r="BY28" s="342">
        <f t="shared" ca="1" si="20"/>
        <v>287.14847974505705</v>
      </c>
      <c r="BZ28" s="342">
        <f t="shared" ca="1" si="21"/>
        <v>47.71524428164183</v>
      </c>
      <c r="CA28" s="342">
        <f t="shared" ca="1" si="22"/>
        <v>36.975089242435473</v>
      </c>
      <c r="CB28" s="342"/>
      <c r="CC28" s="342" t="str">
        <f t="shared" si="46"/>
        <v/>
      </c>
      <c r="CD28" s="342" t="str">
        <f t="shared" si="47"/>
        <v/>
      </c>
      <c r="CE28" s="342">
        <f t="shared" ref="CE28:CE36" ca="1" si="60">AVERAGE($CH28:$CV28)</f>
        <v>431.84258467187567</v>
      </c>
      <c r="CF28" s="342">
        <f t="shared" ref="CF28:CF41" ca="1" si="61">AVERAGE($CW28:$DJ28)</f>
        <v>482.63016994759045</v>
      </c>
      <c r="CG28" s="342"/>
      <c r="CH28" s="342">
        <f t="shared" ca="1" si="48"/>
        <v>184.33685322765845</v>
      </c>
      <c r="CI28" s="342" t="str">
        <f t="shared" ca="1" si="48"/>
        <v/>
      </c>
      <c r="CJ28" s="342">
        <f t="shared" ca="1" si="48"/>
        <v>602.49245140959715</v>
      </c>
      <c r="CK28" s="342">
        <f t="shared" ca="1" si="48"/>
        <v>373.88545170002845</v>
      </c>
      <c r="CL28" s="342" t="str">
        <f t="shared" ca="1" si="48"/>
        <v/>
      </c>
      <c r="CM28" s="342"/>
      <c r="CN28" s="342">
        <f t="shared" ca="1" si="49"/>
        <v>566.44536634773465</v>
      </c>
      <c r="CO28" s="342" t="str">
        <f t="shared" ca="1" si="49"/>
        <v/>
      </c>
      <c r="CP28" s="342" t="str">
        <f t="shared" ca="1" si="49"/>
        <v/>
      </c>
      <c r="CQ28" s="342" t="str">
        <f t="shared" ca="1" si="49"/>
        <v/>
      </c>
      <c r="CR28" s="342" t="str">
        <f t="shared" ca="1" si="49"/>
        <v/>
      </c>
      <c r="CS28" s="342">
        <f t="shared" ca="1" si="49"/>
        <v>655.15919656730523</v>
      </c>
      <c r="CT28" s="342">
        <f t="shared" ca="1" si="49"/>
        <v>238.15112404618836</v>
      </c>
      <c r="CU28" s="342" t="str">
        <f t="shared" ca="1" si="49"/>
        <v/>
      </c>
      <c r="CV28" s="342">
        <f t="shared" ca="1" si="49"/>
        <v>402.42764940461734</v>
      </c>
      <c r="CW28" s="342" t="str">
        <f t="shared" ca="1" si="24"/>
        <v/>
      </c>
      <c r="CX28" s="342" t="str">
        <f t="shared" ca="1" si="24"/>
        <v/>
      </c>
      <c r="CY28" s="342">
        <f t="shared" ca="1" si="24"/>
        <v>326.16598048947878</v>
      </c>
      <c r="CZ28" s="342">
        <f t="shared" ca="1" si="24"/>
        <v>297.37422442578077</v>
      </c>
      <c r="DA28" s="342" t="str">
        <f t="shared" ca="1" si="24"/>
        <v/>
      </c>
      <c r="DB28" s="342" t="str">
        <f t="shared" ca="1" si="24"/>
        <v/>
      </c>
      <c r="DC28" s="342">
        <f t="shared" ca="1" si="24"/>
        <v>1743.3717108319352</v>
      </c>
      <c r="DD28" s="342" t="str">
        <f t="shared" ca="1" si="24"/>
        <v/>
      </c>
      <c r="DE28" s="342">
        <f t="shared" ca="1" si="24"/>
        <v>272.01379605840708</v>
      </c>
      <c r="DF28" s="342">
        <f t="shared" ca="1" si="24"/>
        <v>145.10324548416443</v>
      </c>
      <c r="DG28" s="342">
        <f t="shared" ca="1" si="24"/>
        <v>111.75206239577645</v>
      </c>
      <c r="DH28" s="342" t="str">
        <f t="shared" ca="1" si="24"/>
        <v/>
      </c>
      <c r="DI28" s="342" t="str">
        <f t="shared" ca="1" si="24"/>
        <v/>
      </c>
      <c r="DJ28" s="342" t="str">
        <f t="shared" ca="1" si="24"/>
        <v/>
      </c>
      <c r="DK28" s="342"/>
      <c r="DL28" s="342"/>
      <c r="DM28" s="342"/>
      <c r="DN28" s="342"/>
      <c r="DO28" s="342"/>
      <c r="DP28" s="342"/>
      <c r="DQ28" s="342"/>
      <c r="DR28" s="342"/>
      <c r="DS28" s="342"/>
      <c r="DT28" s="342"/>
      <c r="DU28" s="342"/>
      <c r="DV28" s="342"/>
      <c r="DW28" s="342"/>
      <c r="DX28" s="342"/>
      <c r="DY28" s="342"/>
      <c r="DZ28" s="342"/>
      <c r="EA28" s="342"/>
      <c r="EB28" s="342"/>
      <c r="EC28" s="790">
        <f t="shared" ca="1" si="25"/>
        <v>246.83756003802645</v>
      </c>
      <c r="ED28" s="543">
        <f t="shared" ca="1" si="50"/>
        <v>31.795217457743345</v>
      </c>
      <c r="EE28" s="543">
        <f t="shared" ca="1" si="51"/>
        <v>780.05736830057288</v>
      </c>
      <c r="EF28" s="14">
        <f t="shared" ca="1" si="52"/>
        <v>74.803685973799972</v>
      </c>
      <c r="EG28" s="543">
        <f t="shared" ca="1" si="53"/>
        <v>673.41340664806364</v>
      </c>
      <c r="EH28" s="14">
        <f ca="1">EC28-EF28</f>
        <v>172.0338740642265</v>
      </c>
      <c r="EI28" s="543">
        <f t="shared" ca="1" si="55"/>
        <v>426.57584661003716</v>
      </c>
      <c r="EL28" s="645">
        <f t="shared" ca="1" si="26"/>
        <v>195.64706309071209</v>
      </c>
      <c r="EM28" s="798">
        <f t="shared" ca="1" si="27"/>
        <v>49.360689407108893</v>
      </c>
      <c r="EN28" s="892">
        <f t="shared" ca="1" si="28"/>
        <v>494.0377656230408</v>
      </c>
      <c r="EO28" s="892">
        <f t="shared" ca="1" si="29"/>
        <v>78.617964143829553</v>
      </c>
      <c r="EP28" s="892">
        <f t="shared" ca="1" si="30"/>
        <v>434.35962511657516</v>
      </c>
      <c r="EQ28" s="887">
        <f t="shared" ca="1" si="31"/>
        <v>117.02909894688256</v>
      </c>
      <c r="ER28" s="795">
        <f t="shared" ca="1" si="32"/>
        <v>238.71256202586304</v>
      </c>
      <c r="ES28" s="887"/>
      <c r="ET28" s="887"/>
      <c r="EU28" s="887"/>
      <c r="EV28" s="887"/>
    </row>
    <row r="29" spans="1:152" x14ac:dyDescent="0.25">
      <c r="A29" s="258" t="s">
        <v>81</v>
      </c>
      <c r="B29" s="9" t="s">
        <v>267</v>
      </c>
      <c r="C29" s="236" t="s">
        <v>369</v>
      </c>
      <c r="D29" s="342">
        <f t="shared" ca="1" si="56"/>
        <v>25.360135823429545</v>
      </c>
      <c r="E29" s="342">
        <f t="shared" ca="1" si="2"/>
        <v>22.211205432937184</v>
      </c>
      <c r="F29" s="342">
        <f t="shared" ca="1" si="3"/>
        <v>28.509066213921905</v>
      </c>
      <c r="G29" s="342">
        <f t="shared" ca="1" si="4"/>
        <v>37.393548387096779</v>
      </c>
      <c r="H29" s="343">
        <f t="shared" ca="1" si="33"/>
        <v>21.128225224083</v>
      </c>
      <c r="I29" s="342">
        <f t="shared" ca="1" si="34"/>
        <v>24.652821631993461</v>
      </c>
      <c r="J29" s="342">
        <f t="shared" ca="1" si="5"/>
        <v>22.108226552854774</v>
      </c>
      <c r="K29" s="342">
        <f t="shared" ca="1" si="6"/>
        <v>27.197416711132153</v>
      </c>
      <c r="L29" s="342">
        <f t="shared" ca="1" si="35"/>
        <v>19.488320043841146</v>
      </c>
      <c r="M29" s="342">
        <f t="shared" ca="1" si="7"/>
        <v>5.2371580752014397</v>
      </c>
      <c r="N29" s="342" t="str">
        <f t="shared" si="8"/>
        <v/>
      </c>
      <c r="O29" s="342" t="str">
        <f t="shared" si="9"/>
        <v/>
      </c>
      <c r="P29" s="342" t="str">
        <f t="shared" si="10"/>
        <v/>
      </c>
      <c r="Q29" s="342" t="str">
        <f t="shared" si="36"/>
        <v/>
      </c>
      <c r="R29" s="342" t="str">
        <f t="shared" si="37"/>
        <v/>
      </c>
      <c r="S29" s="342"/>
      <c r="T29" s="342"/>
      <c r="U29" s="962"/>
      <c r="V29" s="342" t="str">
        <f t="shared" ca="1" si="38"/>
        <v/>
      </c>
      <c r="W29" s="342" t="str">
        <f t="shared" ca="1" si="38"/>
        <v/>
      </c>
      <c r="X29" s="342" t="str">
        <f t="shared" ca="1" si="38"/>
        <v/>
      </c>
      <c r="Y29" s="342" t="str">
        <f t="shared" ca="1" si="38"/>
        <v/>
      </c>
      <c r="Z29" s="342" t="str">
        <f t="shared" ca="1" si="38"/>
        <v/>
      </c>
      <c r="AA29" s="342"/>
      <c r="AB29" s="342" t="str">
        <f t="shared" ca="1" si="39"/>
        <v/>
      </c>
      <c r="AC29" s="342" t="str">
        <f t="shared" ca="1" si="39"/>
        <v/>
      </c>
      <c r="AD29" s="342" t="str">
        <f t="shared" ca="1" si="39"/>
        <v/>
      </c>
      <c r="AE29" s="342" t="str">
        <f t="shared" ca="1" si="39"/>
        <v/>
      </c>
      <c r="AF29" s="342" t="str">
        <f t="shared" ca="1" si="39"/>
        <v/>
      </c>
      <c r="AG29" s="342" t="str">
        <f t="shared" ca="1" si="39"/>
        <v/>
      </c>
      <c r="AH29" s="342" t="str">
        <f t="shared" ca="1" si="39"/>
        <v/>
      </c>
      <c r="AI29" s="342" t="str">
        <f t="shared" ca="1" si="39"/>
        <v/>
      </c>
      <c r="AJ29" s="342" t="str">
        <f t="shared" ca="1" si="39"/>
        <v/>
      </c>
      <c r="AK29" s="342" t="str">
        <f t="shared" ca="1" si="12"/>
        <v/>
      </c>
      <c r="AL29" s="342" t="str">
        <f t="shared" ca="1" si="12"/>
        <v/>
      </c>
      <c r="AM29" s="342" t="str">
        <f t="shared" ca="1" si="12"/>
        <v/>
      </c>
      <c r="AN29" s="342" t="str">
        <f t="shared" ca="1" si="12"/>
        <v/>
      </c>
      <c r="AO29" s="342" t="str">
        <f t="shared" ca="1" si="12"/>
        <v/>
      </c>
      <c r="AP29" s="342" t="str">
        <f t="shared" ca="1" si="12"/>
        <v/>
      </c>
      <c r="AQ29" s="342" t="str">
        <f t="shared" ca="1" si="12"/>
        <v/>
      </c>
      <c r="AR29" s="342" t="str">
        <f t="shared" ca="1" si="12"/>
        <v/>
      </c>
      <c r="AS29" s="342" t="str">
        <f t="shared" ca="1" si="12"/>
        <v/>
      </c>
      <c r="AT29" s="342" t="str">
        <f t="shared" ca="1" si="12"/>
        <v/>
      </c>
      <c r="AU29" s="342" t="str">
        <f t="shared" ca="1" si="12"/>
        <v/>
      </c>
      <c r="AV29" s="342" t="str">
        <f t="shared" ca="1" si="12"/>
        <v/>
      </c>
      <c r="AW29" s="342" t="str">
        <f t="shared" ca="1" si="12"/>
        <v/>
      </c>
      <c r="AX29" s="342" t="str">
        <f t="shared" ca="1" si="12"/>
        <v/>
      </c>
      <c r="AY29" s="645">
        <f t="shared" ca="1" si="57"/>
        <v>22.504130758641768</v>
      </c>
      <c r="AZ29" s="543">
        <f t="shared" ca="1" si="40"/>
        <v>5.2371580752014397</v>
      </c>
      <c r="BA29" s="543">
        <f t="shared" ca="1" si="41"/>
        <v>37.393548387096779</v>
      </c>
      <c r="BB29" s="14">
        <f t="shared" ca="1" si="42"/>
        <v>8.6905526118895047</v>
      </c>
      <c r="BC29" s="543">
        <f t="shared" ca="1" si="43"/>
        <v>34.41566486140578</v>
      </c>
      <c r="BD29" s="543">
        <f t="shared" ca="1" si="58"/>
        <v>13.813578146752263</v>
      </c>
      <c r="BE29" s="543">
        <f t="shared" ca="1" si="13"/>
        <v>11.911534102764012</v>
      </c>
      <c r="BF29" s="543"/>
      <c r="BG29" s="543"/>
      <c r="BH29" s="543"/>
      <c r="BI29" s="543"/>
      <c r="BJ29" s="543"/>
      <c r="BK29" s="543"/>
      <c r="BL29" s="543"/>
      <c r="BM29" s="543"/>
      <c r="BN29" s="543"/>
      <c r="BO29" s="953"/>
      <c r="BP29" s="342">
        <f t="shared" ca="1" si="59"/>
        <v>24.945744680851064</v>
      </c>
      <c r="BQ29" s="342">
        <f t="shared" ca="1" si="14"/>
        <v>20.932127659574469</v>
      </c>
      <c r="BR29" s="342">
        <f t="shared" ca="1" si="15"/>
        <v>28.959361702127659</v>
      </c>
      <c r="BS29" s="342">
        <f t="shared" ca="1" si="16"/>
        <v>41.557659574468083</v>
      </c>
      <c r="BT29" s="343">
        <f t="shared" ca="1" si="44"/>
        <v>28.791220425295734</v>
      </c>
      <c r="BU29" s="342">
        <f t="shared" ca="1" si="45"/>
        <v>4.4753405424098069</v>
      </c>
      <c r="BV29" s="342">
        <f t="shared" ca="1" si="17"/>
        <v>3.884935405070626</v>
      </c>
      <c r="BW29" s="342">
        <f t="shared" ca="1" si="18"/>
        <v>5.0657456797489884</v>
      </c>
      <c r="BX29" s="342">
        <f t="shared" ca="1" si="19"/>
        <v>5.2928078375244221</v>
      </c>
      <c r="BY29" s="342">
        <f t="shared" ca="1" si="20"/>
        <v>5.4843764647043622</v>
      </c>
      <c r="BZ29" s="342" t="str">
        <f t="shared" si="21"/>
        <v/>
      </c>
      <c r="CA29" s="342" t="str">
        <f t="shared" si="22"/>
        <v/>
      </c>
      <c r="CB29" s="342"/>
      <c r="CC29" s="342" t="str">
        <f t="shared" si="46"/>
        <v/>
      </c>
      <c r="CD29" s="342" t="str">
        <f t="shared" si="47"/>
        <v/>
      </c>
      <c r="CE29" s="342"/>
      <c r="CF29" s="342"/>
      <c r="CG29" s="342"/>
      <c r="CH29" s="342" t="str">
        <f t="shared" ca="1" si="48"/>
        <v/>
      </c>
      <c r="CI29" s="342" t="str">
        <f t="shared" ca="1" si="48"/>
        <v/>
      </c>
      <c r="CJ29" s="342" t="str">
        <f t="shared" ca="1" si="48"/>
        <v/>
      </c>
      <c r="CK29" s="342" t="str">
        <f t="shared" ca="1" si="48"/>
        <v/>
      </c>
      <c r="CL29" s="342" t="str">
        <f t="shared" ca="1" si="48"/>
        <v/>
      </c>
      <c r="CM29" s="342"/>
      <c r="CN29" s="342" t="str">
        <f t="shared" ca="1" si="49"/>
        <v/>
      </c>
      <c r="CO29" s="342" t="str">
        <f t="shared" ca="1" si="49"/>
        <v/>
      </c>
      <c r="CP29" s="342" t="str">
        <f t="shared" ca="1" si="49"/>
        <v/>
      </c>
      <c r="CQ29" s="342" t="str">
        <f t="shared" ca="1" si="49"/>
        <v/>
      </c>
      <c r="CR29" s="342" t="str">
        <f t="shared" ca="1" si="49"/>
        <v/>
      </c>
      <c r="CS29" s="342" t="str">
        <f t="shared" ca="1" si="49"/>
        <v/>
      </c>
      <c r="CT29" s="342" t="str">
        <f t="shared" ca="1" si="49"/>
        <v/>
      </c>
      <c r="CU29" s="342" t="str">
        <f t="shared" ca="1" si="49"/>
        <v/>
      </c>
      <c r="CV29" s="342" t="str">
        <f t="shared" ca="1" si="49"/>
        <v/>
      </c>
      <c r="CW29" s="342" t="str">
        <f t="shared" ca="1" si="24"/>
        <v/>
      </c>
      <c r="CX29" s="342" t="str">
        <f t="shared" ca="1" si="24"/>
        <v/>
      </c>
      <c r="CY29" s="342" t="str">
        <f t="shared" ca="1" si="24"/>
        <v/>
      </c>
      <c r="CZ29" s="342" t="str">
        <f t="shared" ca="1" si="24"/>
        <v/>
      </c>
      <c r="DA29" s="342" t="str">
        <f t="shared" ca="1" si="24"/>
        <v/>
      </c>
      <c r="DB29" s="342" t="str">
        <f t="shared" ca="1" si="24"/>
        <v/>
      </c>
      <c r="DC29" s="342" t="str">
        <f t="shared" ca="1" si="24"/>
        <v/>
      </c>
      <c r="DD29" s="342" t="str">
        <f t="shared" ca="1" si="24"/>
        <v/>
      </c>
      <c r="DE29" s="342" t="str">
        <f t="shared" ca="1" si="24"/>
        <v/>
      </c>
      <c r="DF29" s="342" t="str">
        <f t="shared" ca="1" si="24"/>
        <v/>
      </c>
      <c r="DG29" s="342" t="str">
        <f t="shared" ca="1" si="24"/>
        <v/>
      </c>
      <c r="DH29" s="342" t="str">
        <f t="shared" ca="1" si="24"/>
        <v/>
      </c>
      <c r="DI29" s="342" t="str">
        <f t="shared" ca="1" si="24"/>
        <v/>
      </c>
      <c r="DJ29" s="342" t="str">
        <f t="shared" ca="1" si="24"/>
        <v/>
      </c>
      <c r="DK29" s="342"/>
      <c r="DL29" s="342"/>
      <c r="DM29" s="342"/>
      <c r="DN29" s="342"/>
      <c r="DO29" s="342"/>
      <c r="DP29" s="342"/>
      <c r="DQ29" s="342"/>
      <c r="DR29" s="342"/>
      <c r="DS29" s="342"/>
      <c r="DT29" s="342"/>
      <c r="DU29" s="342"/>
      <c r="DV29" s="342"/>
      <c r="DW29" s="342"/>
      <c r="DX29" s="342"/>
      <c r="DY29" s="342"/>
      <c r="DZ29" s="342"/>
      <c r="EA29" s="342"/>
      <c r="EB29" s="342"/>
      <c r="EC29" s="790">
        <f t="shared" ca="1" si="25"/>
        <v>16.431923473485394</v>
      </c>
      <c r="ED29" s="543">
        <f t="shared" ca="1" si="50"/>
        <v>3.884935405070626</v>
      </c>
      <c r="EE29" s="543">
        <f t="shared" ca="1" si="51"/>
        <v>41.557659574468083</v>
      </c>
      <c r="EF29" s="14">
        <f t="shared" ca="1" si="52"/>
        <v>6.3943330187535796</v>
      </c>
      <c r="EG29" s="543">
        <f t="shared" ca="1" si="53"/>
        <v>36.532512354271546</v>
      </c>
      <c r="EH29" s="543">
        <f t="shared" ca="1" si="54"/>
        <v>10.037590454731815</v>
      </c>
      <c r="EI29" s="543">
        <f t="shared" ca="1" si="55"/>
        <v>20.100588880786152</v>
      </c>
      <c r="EL29" s="645">
        <f t="shared" ca="1" si="26"/>
        <v>21.339476067052477</v>
      </c>
      <c r="EM29" s="798">
        <f t="shared" ca="1" si="27"/>
        <v>4.9778005791734214</v>
      </c>
      <c r="EN29" s="892">
        <f t="shared" ca="1" si="28"/>
        <v>38.192228570911773</v>
      </c>
      <c r="EO29" s="892">
        <f t="shared" ca="1" si="29"/>
        <v>8.2501356767492311</v>
      </c>
      <c r="EP29" s="892">
        <f t="shared" ca="1" si="30"/>
        <v>34.821678070139917</v>
      </c>
      <c r="EQ29" s="887">
        <f t="shared" ca="1" si="31"/>
        <v>13.089340390303247</v>
      </c>
      <c r="ER29" s="795">
        <f t="shared" ca="1" si="32"/>
        <v>13.482202003087439</v>
      </c>
      <c r="ES29" s="887"/>
      <c r="ET29" s="887"/>
      <c r="EU29" s="887"/>
      <c r="EV29" s="887"/>
    </row>
    <row r="30" spans="1:152" x14ac:dyDescent="0.25">
      <c r="A30" s="258" t="s">
        <v>82</v>
      </c>
      <c r="B30" s="9" t="s">
        <v>268</v>
      </c>
      <c r="C30" s="236" t="s">
        <v>369</v>
      </c>
      <c r="D30" s="342">
        <f t="shared" ca="1" si="56"/>
        <v>6.1197962648556876</v>
      </c>
      <c r="E30" s="342">
        <f t="shared" ca="1" si="2"/>
        <v>5.3513073005093377</v>
      </c>
      <c r="F30" s="342">
        <f t="shared" ca="1" si="3"/>
        <v>6.8789134125636675</v>
      </c>
      <c r="G30" s="342">
        <f t="shared" ca="1" si="4"/>
        <v>12.286451612903226</v>
      </c>
      <c r="H30" s="1009">
        <f ca="1">INDEX(SSW_WTPMaxdiff_WTP_Unitvalues,MATCH($B30,WTPMaxdiff_WTP_options,0))</f>
        <v>102.76407977692409</v>
      </c>
      <c r="I30" s="342">
        <f t="shared" ca="1" si="34"/>
        <v>813.60715316807944</v>
      </c>
      <c r="J30" s="342">
        <f t="shared" ca="1" si="5"/>
        <v>729.62699396326468</v>
      </c>
      <c r="K30" s="342">
        <f t="shared" ca="1" si="6"/>
        <v>897.58731237289442</v>
      </c>
      <c r="L30" s="342">
        <f t="shared" ca="1" si="35"/>
        <v>638.02303360913299</v>
      </c>
      <c r="M30" s="344">
        <f t="shared" ca="1" si="7"/>
        <v>84.882317835358194</v>
      </c>
      <c r="N30" s="344" t="str">
        <f t="shared" si="8"/>
        <v/>
      </c>
      <c r="O30" s="342" t="str">
        <f t="shared" si="9"/>
        <v/>
      </c>
      <c r="P30" s="344">
        <f t="shared" ca="1" si="10"/>
        <v>0.81771655751198691</v>
      </c>
      <c r="Q30" s="342" t="str">
        <f t="shared" si="36"/>
        <v/>
      </c>
      <c r="R30" s="342" t="str">
        <f t="shared" si="37"/>
        <v/>
      </c>
      <c r="S30" s="342">
        <f ca="1">AVERAGE( $V30:$AJ30)</f>
        <v>3.1268186186950557</v>
      </c>
      <c r="T30" s="342"/>
      <c r="U30" s="962"/>
      <c r="V30" s="342" t="str">
        <f t="shared" ca="1" si="38"/>
        <v/>
      </c>
      <c r="W30" s="342" t="str">
        <f t="shared" ca="1" si="38"/>
        <v/>
      </c>
      <c r="X30" s="342" t="str">
        <f t="shared" ca="1" si="38"/>
        <v/>
      </c>
      <c r="Y30" s="342" t="str">
        <f t="shared" ca="1" si="38"/>
        <v/>
      </c>
      <c r="Z30" s="342" t="str">
        <f t="shared" ca="1" si="38"/>
        <v/>
      </c>
      <c r="AA30" s="342"/>
      <c r="AB30" s="342" t="str">
        <f t="shared" ca="1" si="39"/>
        <v/>
      </c>
      <c r="AC30" s="342" t="str">
        <f t="shared" ca="1" si="39"/>
        <v/>
      </c>
      <c r="AD30" s="342" t="str">
        <f t="shared" ca="1" si="39"/>
        <v/>
      </c>
      <c r="AE30" s="342" t="str">
        <f t="shared" ca="1" si="39"/>
        <v/>
      </c>
      <c r="AF30" s="342">
        <f t="shared" ca="1" si="39"/>
        <v>1.8218361112571739</v>
      </c>
      <c r="AG30" s="342" t="str">
        <f t="shared" ca="1" si="39"/>
        <v/>
      </c>
      <c r="AH30" s="342" t="str">
        <f t="shared" ca="1" si="39"/>
        <v/>
      </c>
      <c r="AI30" s="342">
        <f t="shared" ca="1" si="39"/>
        <v>1.6732380875171715</v>
      </c>
      <c r="AJ30" s="342">
        <f t="shared" ca="1" si="39"/>
        <v>5.8853816573108206</v>
      </c>
      <c r="AK30" s="342" t="str">
        <f t="shared" ca="1" si="12"/>
        <v/>
      </c>
      <c r="AL30" s="342" t="str">
        <f t="shared" ca="1" si="12"/>
        <v/>
      </c>
      <c r="AM30" s="342" t="str">
        <f t="shared" ca="1" si="12"/>
        <v/>
      </c>
      <c r="AN30" s="342" t="str">
        <f t="shared" ca="1" si="12"/>
        <v/>
      </c>
      <c r="AO30" s="342" t="str">
        <f t="shared" ca="1" si="12"/>
        <v/>
      </c>
      <c r="AP30" s="342" t="str">
        <f t="shared" ca="1" si="12"/>
        <v/>
      </c>
      <c r="AQ30" s="342" t="str">
        <f t="shared" ca="1" si="12"/>
        <v/>
      </c>
      <c r="AR30" s="342" t="str">
        <f t="shared" ca="1" si="12"/>
        <v/>
      </c>
      <c r="AS30" s="342" t="str">
        <f t="shared" ca="1" si="12"/>
        <v/>
      </c>
      <c r="AT30" s="342" t="str">
        <f t="shared" ca="1" si="12"/>
        <v/>
      </c>
      <c r="AU30" s="342" t="str">
        <f t="shared" ca="1" si="12"/>
        <v/>
      </c>
      <c r="AV30" s="342" t="str">
        <f t="shared" ca="1" si="12"/>
        <v/>
      </c>
      <c r="AW30" s="342" t="str">
        <f t="shared" ca="1" si="12"/>
        <v/>
      </c>
      <c r="AX30" s="342" t="str">
        <f t="shared" ca="1" si="12"/>
        <v/>
      </c>
      <c r="AY30" s="645">
        <f t="shared" ca="1" si="57"/>
        <v>288.01505799402719</v>
      </c>
      <c r="AZ30" s="543">
        <f t="shared" ca="1" si="40"/>
        <v>0.81771655751198691</v>
      </c>
      <c r="BA30" s="543">
        <f t="shared" ca="1" si="41"/>
        <v>897.58731237289442</v>
      </c>
      <c r="BB30" s="14">
        <f t="shared" ca="1" si="42"/>
        <v>58.257184844815029</v>
      </c>
      <c r="BC30" s="543">
        <f t="shared" ca="1" si="43"/>
        <v>775.67286149712106</v>
      </c>
      <c r="BD30" s="543">
        <f t="shared" ca="1" si="58"/>
        <v>229.75787314921217</v>
      </c>
      <c r="BE30" s="543">
        <f t="shared" ca="1" si="13"/>
        <v>487.65780350309387</v>
      </c>
      <c r="BF30" s="543"/>
      <c r="BG30" s="543"/>
      <c r="BH30" s="543"/>
      <c r="BI30" s="543"/>
      <c r="BJ30" s="543"/>
      <c r="BK30" s="543"/>
      <c r="BL30" s="543"/>
      <c r="BM30" s="543"/>
      <c r="BN30" s="543"/>
      <c r="BO30" s="953"/>
      <c r="BP30" s="342">
        <f t="shared" ca="1" si="59"/>
        <v>5.6209219858156025</v>
      </c>
      <c r="BQ30" s="342">
        <f t="shared" ca="1" si="14"/>
        <v>4.7197163120567378</v>
      </c>
      <c r="BR30" s="342">
        <f t="shared" ca="1" si="15"/>
        <v>6.5221276595744682</v>
      </c>
      <c r="BS30" s="342">
        <f t="shared" ca="1" si="16"/>
        <v>8.6311347517730503</v>
      </c>
      <c r="BT30" s="353">
        <f t="shared" ca="1" si="44"/>
        <v>147.13250935671761</v>
      </c>
      <c r="BU30" s="342">
        <f t="shared" ca="1" si="45"/>
        <v>305.50561458748172</v>
      </c>
      <c r="BV30" s="342">
        <f t="shared" ca="1" si="17"/>
        <v>265.18747349334444</v>
      </c>
      <c r="BW30" s="342">
        <f t="shared" ca="1" si="18"/>
        <v>345.82375568161893</v>
      </c>
      <c r="BX30" s="342">
        <f t="shared" ca="1" si="19"/>
        <v>358.90586956011094</v>
      </c>
      <c r="BY30" s="344">
        <f t="shared" ca="1" si="20"/>
        <v>60.7553220752445</v>
      </c>
      <c r="BZ30" s="344" t="str">
        <f t="shared" si="21"/>
        <v/>
      </c>
      <c r="CA30" s="342" t="str">
        <f t="shared" si="22"/>
        <v/>
      </c>
      <c r="CB30" s="344"/>
      <c r="CC30" s="342" t="str">
        <f t="shared" si="46"/>
        <v/>
      </c>
      <c r="CD30" s="342" t="str">
        <f t="shared" si="47"/>
        <v/>
      </c>
      <c r="CE30" s="342">
        <f t="shared" ca="1" si="60"/>
        <v>6.2544218425006193</v>
      </c>
      <c r="CF30" s="342"/>
      <c r="CG30" s="342"/>
      <c r="CH30" s="342" t="str">
        <f t="shared" ca="1" si="48"/>
        <v/>
      </c>
      <c r="CI30" s="342" t="str">
        <f t="shared" ca="1" si="48"/>
        <v/>
      </c>
      <c r="CJ30" s="342" t="str">
        <f t="shared" ca="1" si="48"/>
        <v/>
      </c>
      <c r="CK30" s="342" t="str">
        <f t="shared" ca="1" si="48"/>
        <v/>
      </c>
      <c r="CL30" s="342" t="str">
        <f t="shared" ca="1" si="48"/>
        <v/>
      </c>
      <c r="CM30" s="342"/>
      <c r="CN30" s="342" t="str">
        <f t="shared" ca="1" si="49"/>
        <v/>
      </c>
      <c r="CO30" s="342" t="str">
        <f t="shared" ca="1" si="49"/>
        <v/>
      </c>
      <c r="CP30" s="342" t="str">
        <f t="shared" ca="1" si="49"/>
        <v/>
      </c>
      <c r="CQ30" s="342" t="str">
        <f t="shared" ca="1" si="49"/>
        <v/>
      </c>
      <c r="CR30" s="342">
        <f t="shared" ca="1" si="49"/>
        <v>2.5310310827482088</v>
      </c>
      <c r="CS30" s="342" t="str">
        <f t="shared" ca="1" si="49"/>
        <v/>
      </c>
      <c r="CT30" s="342" t="str">
        <f t="shared" ca="1" si="49"/>
        <v/>
      </c>
      <c r="CU30" s="342">
        <f t="shared" ca="1" si="49"/>
        <v>1.8291200820431217</v>
      </c>
      <c r="CV30" s="342">
        <f t="shared" ca="1" si="49"/>
        <v>14.403114362710527</v>
      </c>
      <c r="CW30" s="342" t="str">
        <f t="shared" ca="1" si="24"/>
        <v/>
      </c>
      <c r="CX30" s="342" t="str">
        <f t="shared" ca="1" si="24"/>
        <v/>
      </c>
      <c r="CY30" s="342" t="str">
        <f t="shared" ca="1" si="24"/>
        <v/>
      </c>
      <c r="CZ30" s="342" t="str">
        <f t="shared" ca="1" si="24"/>
        <v/>
      </c>
      <c r="DA30" s="342" t="str">
        <f t="shared" ca="1" si="24"/>
        <v/>
      </c>
      <c r="DB30" s="342" t="str">
        <f t="shared" ca="1" si="24"/>
        <v/>
      </c>
      <c r="DC30" s="342" t="str">
        <f t="shared" ca="1" si="24"/>
        <v/>
      </c>
      <c r="DD30" s="342" t="str">
        <f t="shared" ca="1" si="24"/>
        <v/>
      </c>
      <c r="DE30" s="342" t="str">
        <f t="shared" ca="1" si="24"/>
        <v/>
      </c>
      <c r="DF30" s="342" t="str">
        <f t="shared" ca="1" si="24"/>
        <v/>
      </c>
      <c r="DG30" s="342" t="str">
        <f t="shared" ca="1" si="24"/>
        <v/>
      </c>
      <c r="DH30" s="342" t="str">
        <f t="shared" ca="1" si="24"/>
        <v/>
      </c>
      <c r="DI30" s="342" t="str">
        <f t="shared" ca="1" si="24"/>
        <v/>
      </c>
      <c r="DJ30" s="342" t="str">
        <f t="shared" ca="1" si="24"/>
        <v/>
      </c>
      <c r="DK30" s="342"/>
      <c r="DL30" s="342"/>
      <c r="DM30" s="342"/>
      <c r="DN30" s="342"/>
      <c r="DO30" s="342"/>
      <c r="DP30" s="342"/>
      <c r="DQ30" s="342"/>
      <c r="DR30" s="342"/>
      <c r="DS30" s="342"/>
      <c r="DT30" s="342"/>
      <c r="DU30" s="342"/>
      <c r="DV30" s="342"/>
      <c r="DW30" s="342"/>
      <c r="DX30" s="342"/>
      <c r="DY30" s="342"/>
      <c r="DZ30" s="342"/>
      <c r="EA30" s="342"/>
      <c r="EB30" s="342"/>
      <c r="EC30" s="790">
        <f t="shared" ca="1" si="25"/>
        <v>140.52879437007624</v>
      </c>
      <c r="ED30" s="543">
        <f t="shared" ca="1" si="50"/>
        <v>4.7197163120567378</v>
      </c>
      <c r="EE30" s="543">
        <f t="shared" ca="1" si="51"/>
        <v>358.90586956011094</v>
      </c>
      <c r="EF30" s="14">
        <f t="shared" ca="1" si="52"/>
        <v>31.881531923660642</v>
      </c>
      <c r="EG30" s="543">
        <f t="shared" ca="1" si="53"/>
        <v>315.23045452210403</v>
      </c>
      <c r="EH30" s="543">
        <f t="shared" ca="1" si="54"/>
        <v>108.6472624464156</v>
      </c>
      <c r="EI30" s="543">
        <f t="shared" ca="1" si="55"/>
        <v>174.70166015202778</v>
      </c>
      <c r="EL30" s="645">
        <f t="shared" ca="1" si="26"/>
        <v>259.72706306761785</v>
      </c>
      <c r="EM30" s="798">
        <f t="shared" ca="1" si="27"/>
        <v>1.5661235382519025</v>
      </c>
      <c r="EN30" s="892">
        <f t="shared" ca="1" si="28"/>
        <v>794.26773842197974</v>
      </c>
      <c r="EO30" s="892">
        <f t="shared" ca="1" si="29"/>
        <v>53.198311444125096</v>
      </c>
      <c r="EP30" s="892">
        <f t="shared" ca="1" si="30"/>
        <v>687.35960335110758</v>
      </c>
      <c r="EQ30" s="887">
        <f t="shared" ca="1" si="31"/>
        <v>206.52875162349278</v>
      </c>
      <c r="ER30" s="795">
        <f t="shared" ca="1" si="32"/>
        <v>427.63254028348962</v>
      </c>
      <c r="ES30" s="887"/>
      <c r="ET30" s="887"/>
      <c r="EU30" s="887"/>
      <c r="EV30" s="887"/>
    </row>
    <row r="31" spans="1:152" x14ac:dyDescent="0.25">
      <c r="A31" s="258" t="s">
        <v>83</v>
      </c>
      <c r="B31" s="9" t="s">
        <v>269</v>
      </c>
      <c r="C31" s="236" t="s">
        <v>369</v>
      </c>
      <c r="D31" s="342">
        <f t="shared" ca="1" si="56"/>
        <v>160.37052631578945</v>
      </c>
      <c r="E31" s="342">
        <f t="shared" ca="1" si="2"/>
        <v>142.2641765704584</v>
      </c>
      <c r="F31" s="342">
        <f t="shared" ca="1" si="3"/>
        <v>178.47687606112049</v>
      </c>
      <c r="G31" s="342">
        <f t="shared" ca="1" si="4"/>
        <v>328.66960950764013</v>
      </c>
      <c r="H31" s="343">
        <f t="shared" ca="1" si="33"/>
        <v>602.87121355351076</v>
      </c>
      <c r="I31" s="342">
        <f t="shared" ca="1" si="34"/>
        <v>184.16917331534088</v>
      </c>
      <c r="J31" s="342">
        <f t="shared" ca="1" si="5"/>
        <v>169.19976815420384</v>
      </c>
      <c r="K31" s="342">
        <f t="shared" ca="1" si="6"/>
        <v>199.13857847647796</v>
      </c>
      <c r="L31" s="342">
        <f t="shared" ca="1" si="35"/>
        <v>127.31131893909981</v>
      </c>
      <c r="M31" s="342">
        <f t="shared" ca="1" si="7"/>
        <v>366.78010858618666</v>
      </c>
      <c r="N31" s="342">
        <f t="shared" ca="1" si="8"/>
        <v>736.48879855771179</v>
      </c>
      <c r="O31" s="342">
        <f t="shared" ca="1" si="9"/>
        <v>0</v>
      </c>
      <c r="P31" s="342">
        <f t="shared" ca="1" si="10"/>
        <v>322.64590277419234</v>
      </c>
      <c r="Q31" s="342" t="str">
        <f t="shared" si="36"/>
        <v/>
      </c>
      <c r="R31" s="342" t="str">
        <f t="shared" si="37"/>
        <v/>
      </c>
      <c r="S31" s="342">
        <f ca="1">AVERAGE( $V31:$AJ31)</f>
        <v>162.76608173770856</v>
      </c>
      <c r="T31" s="342">
        <f ca="1">AVERAGE($AK31:$AX31)</f>
        <v>167.68357359970324</v>
      </c>
      <c r="U31" s="962">
        <f ca="1">INDEX(SSW_PC_Slider_output_WTP,MATCH($A31,PC_Slider_WTP_options,0))</f>
        <v>366.75032875828862</v>
      </c>
      <c r="V31" s="342">
        <f t="shared" ca="1" si="38"/>
        <v>4.3680027709016027</v>
      </c>
      <c r="W31" s="342">
        <f t="shared" ca="1" si="38"/>
        <v>276.33743794084171</v>
      </c>
      <c r="X31" s="342">
        <f t="shared" ca="1" si="38"/>
        <v>14.038212065195564</v>
      </c>
      <c r="Y31" s="342">
        <f t="shared" ca="1" si="38"/>
        <v>9.7451599268622928</v>
      </c>
      <c r="Z31" s="342">
        <f t="shared" ca="1" si="38"/>
        <v>234.90705151301481</v>
      </c>
      <c r="AA31" s="342"/>
      <c r="AB31" s="342">
        <f t="shared" ca="1" si="39"/>
        <v>15.92099888216678</v>
      </c>
      <c r="AC31" s="342">
        <f t="shared" ca="1" si="39"/>
        <v>119.42548130821518</v>
      </c>
      <c r="AD31" s="342">
        <f t="shared" ca="1" si="39"/>
        <v>74.456028075113068</v>
      </c>
      <c r="AE31" s="342">
        <f t="shared" ca="1" si="39"/>
        <v>19.341970378756574</v>
      </c>
      <c r="AF31" s="342">
        <f t="shared" ca="1" si="39"/>
        <v>407.33480494817195</v>
      </c>
      <c r="AG31" s="342">
        <f t="shared" ca="1" si="39"/>
        <v>17.879379216750539</v>
      </c>
      <c r="AH31" s="342">
        <f t="shared" ca="1" si="39"/>
        <v>113.10469240173589</v>
      </c>
      <c r="AI31" s="342">
        <f t="shared" ca="1" si="39"/>
        <v>784.06402742740124</v>
      </c>
      <c r="AJ31" s="342">
        <f t="shared" ca="1" si="39"/>
        <v>187.80189747279226</v>
      </c>
      <c r="AK31" s="342">
        <f t="shared" ca="1" si="12"/>
        <v>213.97193617080418</v>
      </c>
      <c r="AL31" s="342">
        <f t="shared" ca="1" si="12"/>
        <v>222.54795127521001</v>
      </c>
      <c r="AM31" s="342">
        <f t="shared" ca="1" si="12"/>
        <v>250.77664858133463</v>
      </c>
      <c r="AN31" s="342">
        <f t="shared" ca="1" si="12"/>
        <v>53.940514340691351</v>
      </c>
      <c r="AO31" s="342">
        <f t="shared" ca="1" si="12"/>
        <v>59.52061780237851</v>
      </c>
      <c r="AP31" s="342" t="str">
        <f t="shared" ca="1" si="12"/>
        <v/>
      </c>
      <c r="AQ31" s="342">
        <f t="shared" ca="1" si="12"/>
        <v>1.9914943008813926</v>
      </c>
      <c r="AR31" s="342">
        <f t="shared" ca="1" si="12"/>
        <v>738.30703133453801</v>
      </c>
      <c r="AS31" s="342">
        <f t="shared" ca="1" si="12"/>
        <v>83.801905477375385</v>
      </c>
      <c r="AT31" s="342">
        <f t="shared" ca="1" si="12"/>
        <v>113.52684792204424</v>
      </c>
      <c r="AU31" s="342">
        <f t="shared" ca="1" si="12"/>
        <v>139.65633224264471</v>
      </c>
      <c r="AV31" s="342" t="str">
        <f t="shared" ca="1" si="12"/>
        <v/>
      </c>
      <c r="AW31" s="342">
        <f t="shared" ca="1" si="12"/>
        <v>3.4600754670017007</v>
      </c>
      <c r="AX31" s="342">
        <f t="shared" ca="1" si="12"/>
        <v>130.70152828153468</v>
      </c>
      <c r="AY31" s="645">
        <f t="shared" ca="1" si="57"/>
        <v>303.42114020493887</v>
      </c>
      <c r="AZ31" s="543">
        <f t="shared" ca="1" si="40"/>
        <v>0</v>
      </c>
      <c r="BA31" s="543">
        <f t="shared" ca="1" si="41"/>
        <v>736.48879855771179</v>
      </c>
      <c r="BB31" s="14">
        <f t="shared" ca="1" si="42"/>
        <v>60.684228040987776</v>
      </c>
      <c r="BC31" s="543">
        <f t="shared" ca="1" si="43"/>
        <v>649.8752668871573</v>
      </c>
      <c r="BD31" s="543">
        <f t="shared" ca="1" si="58"/>
        <v>242.7369121639511</v>
      </c>
      <c r="BE31" s="543">
        <f t="shared" ca="1" si="13"/>
        <v>346.45412668221843</v>
      </c>
      <c r="BF31" s="543"/>
      <c r="BG31" s="543"/>
      <c r="BH31" s="543"/>
      <c r="BI31" s="543"/>
      <c r="BJ31" s="543"/>
      <c r="BK31" s="543"/>
      <c r="BL31" s="543"/>
      <c r="BM31" s="543"/>
      <c r="BN31" s="543"/>
      <c r="BO31" s="953"/>
      <c r="BP31" s="342">
        <f t="shared" ca="1" si="59"/>
        <v>27.921526908635794</v>
      </c>
      <c r="BQ31" s="342">
        <f t="shared" ca="1" si="14"/>
        <v>24.341843971631207</v>
      </c>
      <c r="BR31" s="342">
        <f t="shared" ca="1" si="15"/>
        <v>31.501209845640386</v>
      </c>
      <c r="BS31" s="342">
        <f t="shared" ca="1" si="16"/>
        <v>27.87234042553191</v>
      </c>
      <c r="BT31" s="343">
        <f t="shared" ca="1" si="44"/>
        <v>334.03345797166821</v>
      </c>
      <c r="BU31" s="342">
        <f t="shared" ca="1" si="45"/>
        <v>43.265396481954809</v>
      </c>
      <c r="BV31" s="342">
        <f t="shared" ca="1" si="17"/>
        <v>38.250869086907535</v>
      </c>
      <c r="BW31" s="342">
        <f t="shared" ca="1" si="18"/>
        <v>48.279923877002076</v>
      </c>
      <c r="BX31" s="342">
        <f t="shared" ca="1" si="19"/>
        <v>76.492375000979905</v>
      </c>
      <c r="BY31" s="342">
        <f t="shared" ca="1" si="20"/>
        <v>310.0511021114724</v>
      </c>
      <c r="BZ31" s="342">
        <f t="shared" ca="1" si="21"/>
        <v>622.57951057312607</v>
      </c>
      <c r="CA31" s="342">
        <f t="shared" ca="1" si="22"/>
        <v>142.61820136367965</v>
      </c>
      <c r="CB31" s="342"/>
      <c r="CC31" s="342" t="str">
        <f t="shared" si="46"/>
        <v/>
      </c>
      <c r="CD31" s="342" t="str">
        <f t="shared" si="47"/>
        <v/>
      </c>
      <c r="CE31" s="342">
        <f t="shared" ca="1" si="60"/>
        <v>252.38277582402952</v>
      </c>
      <c r="CF31" s="342">
        <f t="shared" ca="1" si="61"/>
        <v>208.89586300568604</v>
      </c>
      <c r="CG31" s="342">
        <f ca="1">INDEX(CAM_PC_Slider_output_WTP,MATCH($A31,PC_Slider_WTP_options,0))</f>
        <v>329.9746975482019</v>
      </c>
      <c r="CH31" s="342">
        <f t="shared" ca="1" si="48"/>
        <v>2.9649443049898458</v>
      </c>
      <c r="CI31" s="342">
        <f t="shared" ca="1" si="48"/>
        <v>359.07151609699326</v>
      </c>
      <c r="CJ31" s="342">
        <f t="shared" ca="1" si="48"/>
        <v>28.935492732171433</v>
      </c>
      <c r="CK31" s="342">
        <f t="shared" ca="1" si="48"/>
        <v>26.811119502028252</v>
      </c>
      <c r="CL31" s="342">
        <f t="shared" ca="1" si="48"/>
        <v>419.6511487310446</v>
      </c>
      <c r="CM31" s="342"/>
      <c r="CN31" s="342">
        <f t="shared" ca="1" si="49"/>
        <v>65.28522866380672</v>
      </c>
      <c r="CO31" s="342">
        <f t="shared" ca="1" si="49"/>
        <v>156.0036898347592</v>
      </c>
      <c r="CP31" s="342">
        <f t="shared" ca="1" si="49"/>
        <v>173.62317874756152</v>
      </c>
      <c r="CQ31" s="342">
        <f t="shared" ca="1" si="49"/>
        <v>95.157634569165438</v>
      </c>
      <c r="CR31" s="342">
        <f t="shared" ca="1" si="49"/>
        <v>561.00675782454459</v>
      </c>
      <c r="CS31" s="342">
        <f t="shared" ca="1" si="49"/>
        <v>55.199506950046988</v>
      </c>
      <c r="CT31" s="342">
        <f t="shared" ca="1" si="49"/>
        <v>284.32328074902085</v>
      </c>
      <c r="CU31" s="342">
        <f t="shared" ca="1" si="49"/>
        <v>849.69762676471248</v>
      </c>
      <c r="CV31" s="342">
        <f t="shared" ca="1" si="49"/>
        <v>455.62773606556846</v>
      </c>
      <c r="CW31" s="342">
        <f t="shared" ca="1" si="24"/>
        <v>538.25732780215014</v>
      </c>
      <c r="CX31" s="342">
        <f t="shared" ca="1" si="24"/>
        <v>498.61525693353417</v>
      </c>
      <c r="CY31" s="342">
        <f t="shared" ca="1" si="24"/>
        <v>416.53231274630411</v>
      </c>
      <c r="CZ31" s="342">
        <f t="shared" ca="1" si="24"/>
        <v>104.95560862086379</v>
      </c>
      <c r="DA31" s="342">
        <f t="shared" ca="1" si="24"/>
        <v>118.44282891777694</v>
      </c>
      <c r="DB31" s="342" t="str">
        <f t="shared" ca="1" si="24"/>
        <v/>
      </c>
      <c r="DC31" s="342">
        <f t="shared" ca="1" si="24"/>
        <v>6.0187018655633704</v>
      </c>
      <c r="DD31" s="342">
        <f t="shared" ca="1" si="24"/>
        <v>217.47838747219353</v>
      </c>
      <c r="DE31" s="342">
        <f t="shared" ca="1" si="24"/>
        <v>96.279797230295301</v>
      </c>
      <c r="DF31" s="342">
        <f t="shared" ca="1" si="24"/>
        <v>134.24517949555349</v>
      </c>
      <c r="DG31" s="342">
        <f t="shared" ca="1" si="24"/>
        <v>118.47399096093594</v>
      </c>
      <c r="DH31" s="342" t="str">
        <f t="shared" ca="1" si="24"/>
        <v/>
      </c>
      <c r="DI31" s="342">
        <f t="shared" ca="1" si="24"/>
        <v>2.9274204934757231</v>
      </c>
      <c r="DJ31" s="342">
        <f t="shared" ca="1" si="24"/>
        <v>254.5235435295856</v>
      </c>
      <c r="DK31" s="342"/>
      <c r="DL31" s="342"/>
      <c r="DM31" s="342"/>
      <c r="DN31" s="342"/>
      <c r="DO31" s="342"/>
      <c r="DP31" s="342"/>
      <c r="DQ31" s="342"/>
      <c r="DR31" s="342"/>
      <c r="DS31" s="342"/>
      <c r="DT31" s="342"/>
      <c r="DU31" s="342"/>
      <c r="DV31" s="342"/>
      <c r="DW31" s="342"/>
      <c r="DX31" s="342"/>
      <c r="DY31" s="342"/>
      <c r="DZ31" s="342"/>
      <c r="EA31" s="342"/>
      <c r="EB31" s="342"/>
      <c r="EC31" s="790">
        <f t="shared" ca="1" si="25"/>
        <v>182.79645073083407</v>
      </c>
      <c r="ED31" s="543">
        <f t="shared" ca="1" si="50"/>
        <v>24.341843971631207</v>
      </c>
      <c r="EE31" s="543">
        <f t="shared" ca="1" si="51"/>
        <v>622.57951057312607</v>
      </c>
      <c r="EF31" s="14">
        <f t="shared" ca="1" si="52"/>
        <v>56.032765323471779</v>
      </c>
      <c r="EG31" s="543">
        <f t="shared" ca="1" si="53"/>
        <v>534.62289860466774</v>
      </c>
      <c r="EH31" s="543">
        <f t="shared" ca="1" si="54"/>
        <v>126.76368540736229</v>
      </c>
      <c r="EI31" s="543">
        <f t="shared" ca="1" si="55"/>
        <v>351.82644787383367</v>
      </c>
      <c r="EL31" s="645">
        <f t="shared" ca="1" si="26"/>
        <v>280.28521879775332</v>
      </c>
      <c r="EM31" s="798">
        <f t="shared" ca="1" si="27"/>
        <v>4.6687870575163801</v>
      </c>
      <c r="EN31" s="892">
        <f t="shared" ca="1" si="28"/>
        <v>714.64089705554375</v>
      </c>
      <c r="EO31" s="892">
        <f t="shared" ca="1" si="29"/>
        <v>59.792073405563762</v>
      </c>
      <c r="EP31" s="892">
        <f t="shared" ca="1" si="30"/>
        <v>627.76976140398585</v>
      </c>
      <c r="EQ31" s="887">
        <f t="shared" ca="1" si="31"/>
        <v>220.49314539218958</v>
      </c>
      <c r="ER31" s="795">
        <f t="shared" ca="1" si="32"/>
        <v>347.48454260623248</v>
      </c>
      <c r="ES31" s="887"/>
      <c r="ET31" s="887"/>
      <c r="EU31" s="887"/>
      <c r="EV31" s="887"/>
    </row>
    <row r="32" spans="1:152" x14ac:dyDescent="0.25">
      <c r="A32" s="258" t="s">
        <v>85</v>
      </c>
      <c r="B32" s="9" t="s">
        <v>270</v>
      </c>
      <c r="C32" s="236" t="s">
        <v>369</v>
      </c>
      <c r="D32" s="342">
        <f t="shared" ca="1" si="56"/>
        <v>40.646907591559547</v>
      </c>
      <c r="E32" s="342">
        <f t="shared" ca="1" si="2"/>
        <v>36.027940819791418</v>
      </c>
      <c r="F32" s="342">
        <f t="shared" ca="1" si="3"/>
        <v>45.265874363327676</v>
      </c>
      <c r="G32" s="342">
        <f t="shared" ca="1" si="4"/>
        <v>53.700509337860773</v>
      </c>
      <c r="H32" s="343">
        <f t="shared" ca="1" si="33"/>
        <v>17.314232736822554</v>
      </c>
      <c r="I32" s="342">
        <f t="shared" ca="1" si="34"/>
        <v>32.35006265563927</v>
      </c>
      <c r="J32" s="342">
        <f t="shared" ca="1" si="5"/>
        <v>29.730680945904822</v>
      </c>
      <c r="K32" s="342">
        <f t="shared" ca="1" si="6"/>
        <v>34.969444365373704</v>
      </c>
      <c r="L32" s="342">
        <f t="shared" ca="1" si="35"/>
        <v>28.473099286918725</v>
      </c>
      <c r="M32" s="342">
        <f t="shared" ca="1" si="7"/>
        <v>8.7722765829792628</v>
      </c>
      <c r="N32" s="342" t="str">
        <f t="shared" si="8"/>
        <v/>
      </c>
      <c r="O32" s="342">
        <f t="shared" ca="1" si="9"/>
        <v>95.641415912328753</v>
      </c>
      <c r="P32" s="342" t="str">
        <f t="shared" si="10"/>
        <v/>
      </c>
      <c r="Q32" s="342" t="str">
        <f t="shared" si="36"/>
        <v/>
      </c>
      <c r="R32" s="342" t="str">
        <f t="shared" si="37"/>
        <v/>
      </c>
      <c r="S32" s="342">
        <f ca="1">AVERAGE( $V32:$AJ32)</f>
        <v>30.981498899742913</v>
      </c>
      <c r="T32" s="342">
        <f ca="1">AVERAGE($AK32:$AX32)</f>
        <v>46.290980727560729</v>
      </c>
      <c r="U32" s="962"/>
      <c r="V32" s="342" t="str">
        <f t="shared" ca="1" si="38"/>
        <v/>
      </c>
      <c r="W32" s="342" t="str">
        <f t="shared" ca="1" si="38"/>
        <v/>
      </c>
      <c r="X32" s="342" t="str">
        <f t="shared" ca="1" si="38"/>
        <v/>
      </c>
      <c r="Y32" s="342" t="str">
        <f t="shared" ca="1" si="38"/>
        <v/>
      </c>
      <c r="Z32" s="342" t="str">
        <f t="shared" ca="1" si="38"/>
        <v/>
      </c>
      <c r="AA32" s="342"/>
      <c r="AB32" s="342" t="str">
        <f t="shared" ca="1" si="39"/>
        <v/>
      </c>
      <c r="AC32" s="342" t="str">
        <f t="shared" ca="1" si="39"/>
        <v/>
      </c>
      <c r="AD32" s="342">
        <f t="shared" ca="1" si="39"/>
        <v>53.282595091252794</v>
      </c>
      <c r="AE32" s="342">
        <f t="shared" ca="1" si="39"/>
        <v>13.710763812789475</v>
      </c>
      <c r="AF32" s="342" t="str">
        <f t="shared" ca="1" si="39"/>
        <v/>
      </c>
      <c r="AG32" s="342">
        <f t="shared" ca="1" si="39"/>
        <v>25.951137795186472</v>
      </c>
      <c r="AH32" s="342" t="str">
        <f t="shared" ca="1" si="39"/>
        <v/>
      </c>
      <c r="AI32" s="342" t="str">
        <f t="shared" ca="1" si="39"/>
        <v/>
      </c>
      <c r="AJ32" s="342" t="str">
        <f t="shared" ca="1" si="39"/>
        <v/>
      </c>
      <c r="AK32" s="342" t="str">
        <f t="shared" ca="1" si="12"/>
        <v/>
      </c>
      <c r="AL32" s="342" t="str">
        <f t="shared" ca="1" si="12"/>
        <v/>
      </c>
      <c r="AM32" s="342">
        <f t="shared" ca="1" si="12"/>
        <v>59.506323392181095</v>
      </c>
      <c r="AN32" s="342">
        <f t="shared" ca="1" si="12"/>
        <v>12.586120012827985</v>
      </c>
      <c r="AO32" s="342" t="str">
        <f t="shared" ca="1" si="12"/>
        <v/>
      </c>
      <c r="AP32" s="342" t="str">
        <f t="shared" ca="1" si="12"/>
        <v/>
      </c>
      <c r="AQ32" s="342" t="str">
        <f t="shared" ca="1" si="12"/>
        <v/>
      </c>
      <c r="AR32" s="342" t="str">
        <f t="shared" ca="1" si="12"/>
        <v/>
      </c>
      <c r="AS32" s="342" t="str">
        <f t="shared" ca="1" si="12"/>
        <v/>
      </c>
      <c r="AT32" s="342">
        <f t="shared" ca="1" si="12"/>
        <v>66.780498777673102</v>
      </c>
      <c r="AU32" s="342" t="str">
        <f t="shared" ca="1" si="12"/>
        <v/>
      </c>
      <c r="AV32" s="342" t="str">
        <f t="shared" ca="1" si="12"/>
        <v/>
      </c>
      <c r="AW32" s="342" t="str">
        <f t="shared" ca="1" si="12"/>
        <v/>
      </c>
      <c r="AX32" s="342" t="str">
        <f t="shared" ca="1" si="12"/>
        <v/>
      </c>
      <c r="AY32" s="645">
        <f t="shared" ca="1" si="57"/>
        <v>36.54579248098554</v>
      </c>
      <c r="AZ32" s="543">
        <f t="shared" ca="1" si="40"/>
        <v>8.7722765829792628</v>
      </c>
      <c r="BA32" s="543">
        <f t="shared" ca="1" si="41"/>
        <v>95.641415912328753</v>
      </c>
      <c r="BB32" s="14">
        <f t="shared" ca="1" si="42"/>
        <v>14.326979762580519</v>
      </c>
      <c r="BC32" s="543">
        <f t="shared" ca="1" si="43"/>
        <v>83.822291226060116</v>
      </c>
      <c r="BD32" s="543">
        <f t="shared" ca="1" si="58"/>
        <v>22.218812718405019</v>
      </c>
      <c r="BE32" s="543">
        <f t="shared" ca="1" si="13"/>
        <v>47.276498745074576</v>
      </c>
      <c r="BF32" s="543"/>
      <c r="BG32" s="543"/>
      <c r="BH32" s="543"/>
      <c r="BI32" s="543"/>
      <c r="BJ32" s="543"/>
      <c r="BK32" s="543"/>
      <c r="BL32" s="543"/>
      <c r="BM32" s="543"/>
      <c r="BN32" s="543"/>
      <c r="BO32" s="953"/>
      <c r="BP32" s="342">
        <f t="shared" ca="1" si="59"/>
        <v>18.356144634344844</v>
      </c>
      <c r="BQ32" s="342">
        <f t="shared" ca="1" si="14"/>
        <v>16.161388210673177</v>
      </c>
      <c r="BR32" s="342">
        <f t="shared" ca="1" si="15"/>
        <v>20.55090105801651</v>
      </c>
      <c r="BS32" s="342">
        <f t="shared" ca="1" si="16"/>
        <v>23.761170212765954</v>
      </c>
      <c r="BT32" s="343">
        <f t="shared" ca="1" si="44"/>
        <v>26.610064745616853</v>
      </c>
      <c r="BU32" s="342">
        <f t="shared" ca="1" si="45"/>
        <v>114.29686888849665</v>
      </c>
      <c r="BV32" s="342">
        <f t="shared" ca="1" si="17"/>
        <v>101.1089250700047</v>
      </c>
      <c r="BW32" s="342">
        <f t="shared" ca="1" si="18"/>
        <v>127.48481270698859</v>
      </c>
      <c r="BX32" s="342">
        <f t="shared" ca="1" si="19"/>
        <v>107.27044733418506</v>
      </c>
      <c r="BY32" s="342">
        <f t="shared" ca="1" si="20"/>
        <v>9.3912978458354957</v>
      </c>
      <c r="BZ32" s="342" t="str">
        <f t="shared" si="21"/>
        <v/>
      </c>
      <c r="CA32" s="342">
        <f t="shared" ca="1" si="22"/>
        <v>116.20742333336864</v>
      </c>
      <c r="CB32" s="342"/>
      <c r="CC32" s="342" t="str">
        <f t="shared" si="46"/>
        <v/>
      </c>
      <c r="CD32" s="342" t="str">
        <f t="shared" si="47"/>
        <v/>
      </c>
      <c r="CE32" s="342">
        <f t="shared" ca="1" si="60"/>
        <v>70.294117424823455</v>
      </c>
      <c r="CF32" s="342">
        <f t="shared" ca="1" si="61"/>
        <v>67.431856853960255</v>
      </c>
      <c r="CG32" s="342"/>
      <c r="CH32" s="342" t="str">
        <f t="shared" ca="1" si="48"/>
        <v/>
      </c>
      <c r="CI32" s="342" t="str">
        <f t="shared" ca="1" si="48"/>
        <v/>
      </c>
      <c r="CJ32" s="342" t="str">
        <f t="shared" ca="1" si="48"/>
        <v/>
      </c>
      <c r="CK32" s="342" t="str">
        <f t="shared" ca="1" si="48"/>
        <v/>
      </c>
      <c r="CL32" s="342" t="str">
        <f t="shared" ca="1" si="48"/>
        <v/>
      </c>
      <c r="CM32" s="342"/>
      <c r="CN32" s="342" t="str">
        <f t="shared" ca="1" si="49"/>
        <v/>
      </c>
      <c r="CO32" s="342" t="str">
        <f t="shared" ca="1" si="49"/>
        <v/>
      </c>
      <c r="CP32" s="342">
        <f t="shared" ca="1" si="49"/>
        <v>124.24908729122376</v>
      </c>
      <c r="CQ32" s="342">
        <f t="shared" ca="1" si="49"/>
        <v>67.453513112319811</v>
      </c>
      <c r="CR32" s="342" t="str">
        <f t="shared" ca="1" si="49"/>
        <v/>
      </c>
      <c r="CS32" s="342">
        <f t="shared" ca="1" si="49"/>
        <v>19.179751870926786</v>
      </c>
      <c r="CT32" s="342" t="str">
        <f t="shared" ca="1" si="49"/>
        <v/>
      </c>
      <c r="CU32" s="342" t="str">
        <f t="shared" ca="1" si="49"/>
        <v/>
      </c>
      <c r="CV32" s="342" t="str">
        <f t="shared" ca="1" si="49"/>
        <v/>
      </c>
      <c r="CW32" s="342" t="str">
        <f t="shared" ca="1" si="24"/>
        <v/>
      </c>
      <c r="CX32" s="342" t="str">
        <f t="shared" ca="1" si="24"/>
        <v/>
      </c>
      <c r="CY32" s="342">
        <f t="shared" ca="1" si="24"/>
        <v>98.838175905902645</v>
      </c>
      <c r="CZ32" s="342">
        <f t="shared" ca="1" si="24"/>
        <v>24.48964201153488</v>
      </c>
      <c r="DA32" s="342" t="str">
        <f t="shared" ca="1" si="24"/>
        <v/>
      </c>
      <c r="DB32" s="342" t="str">
        <f t="shared" ca="1" si="24"/>
        <v/>
      </c>
      <c r="DC32" s="342" t="str">
        <f t="shared" ca="1" si="24"/>
        <v/>
      </c>
      <c r="DD32" s="342" t="str">
        <f t="shared" ca="1" si="24"/>
        <v/>
      </c>
      <c r="DE32" s="342" t="str">
        <f t="shared" ca="1" si="24"/>
        <v/>
      </c>
      <c r="DF32" s="342">
        <f t="shared" ca="1" si="24"/>
        <v>78.967752644443223</v>
      </c>
      <c r="DG32" s="342" t="str">
        <f t="shared" ca="1" si="24"/>
        <v/>
      </c>
      <c r="DH32" s="342" t="str">
        <f t="shared" ca="1" si="24"/>
        <v/>
      </c>
      <c r="DI32" s="342" t="str">
        <f t="shared" ca="1" si="24"/>
        <v/>
      </c>
      <c r="DJ32" s="342" t="str">
        <f t="shared" ca="1" si="24"/>
        <v/>
      </c>
      <c r="DK32" s="342"/>
      <c r="DL32" s="342"/>
      <c r="DM32" s="342"/>
      <c r="DN32" s="342"/>
      <c r="DO32" s="342"/>
      <c r="DP32" s="342"/>
      <c r="DQ32" s="342"/>
      <c r="DR32" s="342"/>
      <c r="DS32" s="342"/>
      <c r="DT32" s="342"/>
      <c r="DU32" s="342"/>
      <c r="DV32" s="342"/>
      <c r="DW32" s="342"/>
      <c r="DX32" s="342"/>
      <c r="DY32" s="342"/>
      <c r="DZ32" s="342"/>
      <c r="EA32" s="342"/>
      <c r="EB32" s="342"/>
      <c r="EC32" s="790">
        <f t="shared" ca="1" si="25"/>
        <v>60.073164819827873</v>
      </c>
      <c r="ED32" s="543">
        <f t="shared" ca="1" si="50"/>
        <v>9.3912978458354957</v>
      </c>
      <c r="EE32" s="543">
        <f t="shared" ca="1" si="51"/>
        <v>127.48481270698859</v>
      </c>
      <c r="EF32" s="14">
        <f t="shared" ca="1" si="52"/>
        <v>19.527671240633971</v>
      </c>
      <c r="EG32" s="543">
        <f t="shared" ca="1" si="53"/>
        <v>114.00248312955645</v>
      </c>
      <c r="EH32" s="543">
        <f t="shared" ca="1" si="54"/>
        <v>40.545493579193902</v>
      </c>
      <c r="EI32" s="543">
        <f t="shared" ca="1" si="55"/>
        <v>53.929318309728579</v>
      </c>
      <c r="EL32" s="645">
        <f t="shared" ca="1" si="26"/>
        <v>41.058363163838166</v>
      </c>
      <c r="EM32" s="798">
        <f t="shared" ca="1" si="27"/>
        <v>8.8910054049912191</v>
      </c>
      <c r="EN32" s="892">
        <f t="shared" ca="1" si="28"/>
        <v>101.74900739124594</v>
      </c>
      <c r="EO32" s="892">
        <f t="shared" ca="1" si="29"/>
        <v>15.324476956760611</v>
      </c>
      <c r="EP32" s="892">
        <f t="shared" ca="1" si="30"/>
        <v>89.610878545764393</v>
      </c>
      <c r="EQ32" s="887">
        <f t="shared" ca="1" si="31"/>
        <v>25.73388620707756</v>
      </c>
      <c r="ER32" s="795">
        <f t="shared" ca="1" si="32"/>
        <v>48.552515381926227</v>
      </c>
      <c r="ES32" s="887"/>
      <c r="ET32" s="887"/>
      <c r="EU32" s="887"/>
      <c r="EV32" s="887"/>
    </row>
    <row r="33" spans="1:152" x14ac:dyDescent="0.25">
      <c r="A33" s="258" t="s">
        <v>84</v>
      </c>
      <c r="B33" s="9" t="s">
        <v>272</v>
      </c>
      <c r="C33" s="236" t="s">
        <v>369</v>
      </c>
      <c r="D33" s="342">
        <f t="shared" ca="1" si="56"/>
        <v>474.58879456706273</v>
      </c>
      <c r="E33" s="342">
        <f t="shared" ca="1" si="2"/>
        <v>420.60713073005093</v>
      </c>
      <c r="F33" s="342">
        <f t="shared" ca="1" si="3"/>
        <v>528.57045840407466</v>
      </c>
      <c r="G33" s="342">
        <f t="shared" ca="1" si="4"/>
        <v>652.27843803056021</v>
      </c>
      <c r="H33" s="343">
        <f t="shared" ca="1" si="33"/>
        <v>493.6014161850639</v>
      </c>
      <c r="I33" s="342">
        <f t="shared" ca="1" si="34"/>
        <v>366.32698810829567</v>
      </c>
      <c r="J33" s="342">
        <f t="shared" ca="1" si="5"/>
        <v>336.67270819804008</v>
      </c>
      <c r="K33" s="342">
        <f t="shared" ca="1" si="6"/>
        <v>395.98126801855125</v>
      </c>
      <c r="L33" s="342">
        <f t="shared" ca="1" si="35"/>
        <v>418.55420962086112</v>
      </c>
      <c r="M33" s="342" t="str">
        <f t="shared" si="7"/>
        <v/>
      </c>
      <c r="N33" s="342" t="str">
        <f t="shared" si="8"/>
        <v/>
      </c>
      <c r="O33" s="342" t="str">
        <f t="shared" si="9"/>
        <v/>
      </c>
      <c r="P33" s="342" t="str">
        <f t="shared" si="10"/>
        <v/>
      </c>
      <c r="Q33" s="342" t="str">
        <f t="shared" si="36"/>
        <v/>
      </c>
      <c r="R33" s="342" t="str">
        <f t="shared" si="37"/>
        <v/>
      </c>
      <c r="S33" s="342"/>
      <c r="T33" s="342"/>
      <c r="U33" s="962"/>
      <c r="V33" s="342" t="str">
        <f t="shared" ca="1" si="38"/>
        <v/>
      </c>
      <c r="W33" s="342" t="str">
        <f t="shared" ca="1" si="38"/>
        <v/>
      </c>
      <c r="X33" s="342" t="str">
        <f t="shared" ca="1" si="38"/>
        <v/>
      </c>
      <c r="Y33" s="342" t="str">
        <f t="shared" ca="1" si="38"/>
        <v/>
      </c>
      <c r="Z33" s="342" t="str">
        <f t="shared" ca="1" si="38"/>
        <v/>
      </c>
      <c r="AA33" s="342"/>
      <c r="AB33" s="342" t="str">
        <f t="shared" ca="1" si="39"/>
        <v/>
      </c>
      <c r="AC33" s="342" t="str">
        <f t="shared" ca="1" si="39"/>
        <v/>
      </c>
      <c r="AD33" s="342" t="str">
        <f t="shared" ca="1" si="39"/>
        <v/>
      </c>
      <c r="AE33" s="342" t="str">
        <f t="shared" ca="1" si="39"/>
        <v/>
      </c>
      <c r="AF33" s="342" t="str">
        <f t="shared" ca="1" si="39"/>
        <v/>
      </c>
      <c r="AG33" s="342" t="str">
        <f t="shared" ca="1" si="39"/>
        <v/>
      </c>
      <c r="AH33" s="342" t="str">
        <f t="shared" ca="1" si="39"/>
        <v/>
      </c>
      <c r="AI33" s="342" t="str">
        <f t="shared" ca="1" si="39"/>
        <v/>
      </c>
      <c r="AJ33" s="342" t="str">
        <f t="shared" ca="1" si="39"/>
        <v/>
      </c>
      <c r="AK33" s="342" t="str">
        <f t="shared" ca="1" si="12"/>
        <v/>
      </c>
      <c r="AL33" s="342" t="str">
        <f t="shared" ca="1" si="12"/>
        <v/>
      </c>
      <c r="AM33" s="342" t="str">
        <f t="shared" ca="1" si="12"/>
        <v/>
      </c>
      <c r="AN33" s="342" t="str">
        <f t="shared" ca="1" si="12"/>
        <v/>
      </c>
      <c r="AO33" s="342" t="str">
        <f t="shared" ca="1" si="12"/>
        <v/>
      </c>
      <c r="AP33" s="342" t="str">
        <f t="shared" ca="1" si="12"/>
        <v/>
      </c>
      <c r="AQ33" s="342" t="str">
        <f t="shared" ca="1" si="12"/>
        <v/>
      </c>
      <c r="AR33" s="342" t="str">
        <f t="shared" ca="1" si="12"/>
        <v/>
      </c>
      <c r="AS33" s="342" t="str">
        <f t="shared" ca="1" si="12"/>
        <v/>
      </c>
      <c r="AT33" s="342" t="str">
        <f t="shared" ca="1" si="12"/>
        <v/>
      </c>
      <c r="AU33" s="342" t="str">
        <f t="shared" ca="1" si="12"/>
        <v/>
      </c>
      <c r="AV33" s="342" t="str">
        <f t="shared" ca="1" si="12"/>
        <v/>
      </c>
      <c r="AW33" s="342" t="str">
        <f t="shared" ca="1" si="12"/>
        <v/>
      </c>
      <c r="AX33" s="342" t="str">
        <f t="shared" ca="1" si="12"/>
        <v/>
      </c>
      <c r="AY33" s="645">
        <f t="shared" ca="1" si="57"/>
        <v>435.08659630715613</v>
      </c>
      <c r="AZ33" s="543">
        <f t="shared" ca="1" si="40"/>
        <v>336.67270819804008</v>
      </c>
      <c r="BA33" s="543">
        <f t="shared" ca="1" si="41"/>
        <v>652.27843803056021</v>
      </c>
      <c r="BB33" s="14">
        <f t="shared" ca="1" si="42"/>
        <v>356.3554858198633</v>
      </c>
      <c r="BC33" s="543">
        <f t="shared" ca="1" si="43"/>
        <v>608.84006968587937</v>
      </c>
      <c r="BD33" s="543">
        <f t="shared" ca="1" si="58"/>
        <v>78.731110487292824</v>
      </c>
      <c r="BE33" s="543">
        <f t="shared" ca="1" si="13"/>
        <v>173.75347337872324</v>
      </c>
      <c r="BF33" s="543"/>
      <c r="BG33" s="543"/>
      <c r="BH33" s="543"/>
      <c r="BI33" s="543"/>
      <c r="BJ33" s="543"/>
      <c r="BK33" s="543"/>
      <c r="BL33" s="543"/>
      <c r="BM33" s="543"/>
      <c r="BN33" s="543"/>
      <c r="BO33" s="953"/>
      <c r="BP33" s="342">
        <f t="shared" ca="1" si="59"/>
        <v>613.191489361702</v>
      </c>
      <c r="BQ33" s="342">
        <f t="shared" ca="1" si="14"/>
        <v>541.83829787234038</v>
      </c>
      <c r="BR33" s="342">
        <f t="shared" ca="1" si="15"/>
        <v>682.3148936170212</v>
      </c>
      <c r="BS33" s="342">
        <f t="shared" ca="1" si="16"/>
        <v>827.25106382978709</v>
      </c>
      <c r="BT33" s="343">
        <f t="shared" ca="1" si="44"/>
        <v>413.2151621440745</v>
      </c>
      <c r="BU33" s="342">
        <f t="shared" ca="1" si="45"/>
        <v>408.44904779899474</v>
      </c>
      <c r="BV33" s="342">
        <f t="shared" ca="1" si="17"/>
        <v>361.2766194554718</v>
      </c>
      <c r="BW33" s="342">
        <f t="shared" ca="1" si="18"/>
        <v>455.62147614251762</v>
      </c>
      <c r="BX33" s="342">
        <f t="shared" ca="1" si="19"/>
        <v>455.00807116238292</v>
      </c>
      <c r="BY33" s="342" t="str">
        <f t="shared" si="20"/>
        <v/>
      </c>
      <c r="BZ33" s="342" t="str">
        <f t="shared" si="21"/>
        <v/>
      </c>
      <c r="CA33" s="342" t="str">
        <f t="shared" si="22"/>
        <v/>
      </c>
      <c r="CB33" s="342"/>
      <c r="CC33" s="342" t="str">
        <f t="shared" si="46"/>
        <v/>
      </c>
      <c r="CD33" s="342" t="str">
        <f t="shared" si="47"/>
        <v/>
      </c>
      <c r="CE33" s="342"/>
      <c r="CF33" s="342"/>
      <c r="CG33" s="342"/>
      <c r="CH33" s="342" t="str">
        <f t="shared" ca="1" si="48"/>
        <v/>
      </c>
      <c r="CI33" s="342" t="str">
        <f t="shared" ca="1" si="48"/>
        <v/>
      </c>
      <c r="CJ33" s="342" t="str">
        <f t="shared" ca="1" si="48"/>
        <v/>
      </c>
      <c r="CK33" s="342" t="str">
        <f t="shared" ca="1" si="48"/>
        <v/>
      </c>
      <c r="CL33" s="342" t="str">
        <f t="shared" ca="1" si="48"/>
        <v/>
      </c>
      <c r="CM33" s="342"/>
      <c r="CN33" s="342" t="str">
        <f t="shared" ca="1" si="49"/>
        <v/>
      </c>
      <c r="CO33" s="342" t="str">
        <f t="shared" ca="1" si="49"/>
        <v/>
      </c>
      <c r="CP33" s="342" t="str">
        <f t="shared" ca="1" si="49"/>
        <v/>
      </c>
      <c r="CQ33" s="342" t="str">
        <f t="shared" ca="1" si="49"/>
        <v/>
      </c>
      <c r="CR33" s="342" t="str">
        <f t="shared" ca="1" si="49"/>
        <v/>
      </c>
      <c r="CS33" s="342" t="str">
        <f t="shared" ca="1" si="49"/>
        <v/>
      </c>
      <c r="CT33" s="342" t="str">
        <f t="shared" ca="1" si="49"/>
        <v/>
      </c>
      <c r="CU33" s="342" t="str">
        <f t="shared" ca="1" si="49"/>
        <v/>
      </c>
      <c r="CV33" s="342" t="str">
        <f t="shared" ca="1" si="49"/>
        <v/>
      </c>
      <c r="CW33" s="342" t="str">
        <f t="shared" ca="1" si="24"/>
        <v/>
      </c>
      <c r="CX33" s="342" t="str">
        <f t="shared" ca="1" si="24"/>
        <v/>
      </c>
      <c r="CY33" s="342" t="str">
        <f t="shared" ca="1" si="24"/>
        <v/>
      </c>
      <c r="CZ33" s="342" t="str">
        <f t="shared" ca="1" si="24"/>
        <v/>
      </c>
      <c r="DA33" s="342" t="str">
        <f t="shared" ca="1" si="24"/>
        <v/>
      </c>
      <c r="DB33" s="342" t="str">
        <f t="shared" ca="1" si="24"/>
        <v/>
      </c>
      <c r="DC33" s="342" t="str">
        <f t="shared" ca="1" si="24"/>
        <v/>
      </c>
      <c r="DD33" s="342" t="str">
        <f t="shared" ca="1" si="24"/>
        <v/>
      </c>
      <c r="DE33" s="342" t="str">
        <f t="shared" ca="1" si="24"/>
        <v/>
      </c>
      <c r="DF33" s="342" t="str">
        <f t="shared" ca="1" si="24"/>
        <v/>
      </c>
      <c r="DG33" s="342" t="str">
        <f t="shared" ca="1" si="24"/>
        <v/>
      </c>
      <c r="DH33" s="342" t="str">
        <f t="shared" ca="1" si="24"/>
        <v/>
      </c>
      <c r="DI33" s="342" t="str">
        <f t="shared" ca="1" si="24"/>
        <v/>
      </c>
      <c r="DJ33" s="342" t="str">
        <f t="shared" ca="1" si="24"/>
        <v/>
      </c>
      <c r="DK33" s="342"/>
      <c r="DL33" s="342"/>
      <c r="DM33" s="342"/>
      <c r="DN33" s="342"/>
      <c r="DO33" s="342"/>
      <c r="DP33" s="342"/>
      <c r="DQ33" s="342"/>
      <c r="DR33" s="342"/>
      <c r="DS33" s="342"/>
      <c r="DT33" s="342"/>
      <c r="DU33" s="342"/>
      <c r="DV33" s="342"/>
      <c r="DW33" s="342"/>
      <c r="DX33" s="342"/>
      <c r="DY33" s="342"/>
      <c r="DZ33" s="342"/>
      <c r="EA33" s="342"/>
      <c r="EB33" s="342"/>
      <c r="EC33" s="790">
        <f t="shared" ca="1" si="25"/>
        <v>491.29924729309357</v>
      </c>
      <c r="ED33" s="543">
        <f t="shared" ca="1" si="50"/>
        <v>361.2766194554718</v>
      </c>
      <c r="EE33" s="543">
        <f t="shared" ca="1" si="51"/>
        <v>827.25106382978709</v>
      </c>
      <c r="EF33" s="14">
        <f t="shared" ca="1" si="52"/>
        <v>387.28114502299616</v>
      </c>
      <c r="EG33" s="543">
        <f t="shared" ca="1" si="53"/>
        <v>760.06070052244843</v>
      </c>
      <c r="EH33" s="543">
        <f t="shared" ca="1" si="54"/>
        <v>104.01810227009742</v>
      </c>
      <c r="EI33" s="543">
        <f t="shared" ca="1" si="55"/>
        <v>268.76145322935486</v>
      </c>
      <c r="EL33" s="645">
        <f t="shared" ca="1" si="26"/>
        <v>445.86823214779713</v>
      </c>
      <c r="EM33" s="798">
        <f t="shared" ca="1" si="27"/>
        <v>341.39175999119317</v>
      </c>
      <c r="EN33" s="892">
        <f t="shared" ca="1" si="28"/>
        <v>685.83834136833275</v>
      </c>
      <c r="EO33" s="892">
        <f t="shared" ca="1" si="29"/>
        <v>362.28705442251396</v>
      </c>
      <c r="EP33" s="892">
        <f t="shared" ca="1" si="30"/>
        <v>637.84431952422574</v>
      </c>
      <c r="EQ33" s="887">
        <f t="shared" ca="1" si="31"/>
        <v>83.581177725283155</v>
      </c>
      <c r="ER33" s="795">
        <f t="shared" ca="1" si="32"/>
        <v>191.97608737642858</v>
      </c>
      <c r="ES33" s="887"/>
      <c r="ET33" s="887"/>
      <c r="EU33" s="887"/>
      <c r="EV33" s="887"/>
    </row>
    <row r="34" spans="1:152" x14ac:dyDescent="0.25">
      <c r="A34" s="258" t="s">
        <v>28</v>
      </c>
      <c r="B34" s="9" t="s">
        <v>319</v>
      </c>
      <c r="C34" s="236" t="s">
        <v>422</v>
      </c>
      <c r="D34" s="342">
        <f ca="1">INDEX(INDIRECT("SSW_WTPCore_DCE_"&amp;$B34&amp;"_UnitValues"),MATCH("COMBINED-HH",WTPCore_Group,0),MATCH("MEAN",LMH,0))</f>
        <v>251711.99999999994</v>
      </c>
      <c r="E34" s="342">
        <f t="shared" ca="1" si="2"/>
        <v>225215.99999999997</v>
      </c>
      <c r="F34" s="342">
        <f t="shared" ca="1" si="3"/>
        <v>284831.99999999994</v>
      </c>
      <c r="G34" s="342">
        <f t="shared" ca="1" si="4"/>
        <v>331199.99999999994</v>
      </c>
      <c r="H34" s="343">
        <f ca="1">INDEX(SSW_WTPMaxdiff_WTP_Unitvalues,MATCH($B34,WTPMaxdiff_WTP_options,0))</f>
        <v>365948.6088731385</v>
      </c>
      <c r="I34" s="342">
        <f t="shared" ca="1" si="34"/>
        <v>396644.86239644804</v>
      </c>
      <c r="J34" s="342">
        <f t="shared" ca="1" si="5"/>
        <v>364415.09587799862</v>
      </c>
      <c r="K34" s="342">
        <f t="shared" ca="1" si="6"/>
        <v>428874.62891489745</v>
      </c>
      <c r="L34" s="342">
        <f t="shared" ca="1" si="35"/>
        <v>335316.60676594934</v>
      </c>
      <c r="M34" s="342" t="str">
        <f t="shared" si="7"/>
        <v/>
      </c>
      <c r="N34" s="342" t="str">
        <f t="shared" si="8"/>
        <v/>
      </c>
      <c r="O34" s="342" t="str">
        <f t="shared" si="9"/>
        <v/>
      </c>
      <c r="P34" s="342">
        <f t="shared" ca="1" si="10"/>
        <v>76389.090059840892</v>
      </c>
      <c r="Q34" s="342" t="str">
        <f t="shared" si="36"/>
        <v/>
      </c>
      <c r="R34" s="342" t="str">
        <f t="shared" si="37"/>
        <v/>
      </c>
      <c r="S34" s="342">
        <f ca="1">AVERAGE( $V34:$AJ34)</f>
        <v>130957.99523872173</v>
      </c>
      <c r="T34" s="342">
        <f ca="1">AVERAGE($AK34:$AX34)</f>
        <v>214205.46661078159</v>
      </c>
      <c r="U34" s="962"/>
      <c r="V34" s="342" t="str">
        <f t="shared" ca="1" si="38"/>
        <v/>
      </c>
      <c r="W34" s="342">
        <f t="shared" ca="1" si="38"/>
        <v>20618.232236226882</v>
      </c>
      <c r="X34" s="342" t="str">
        <f t="shared" ca="1" si="38"/>
        <v/>
      </c>
      <c r="Y34" s="342" t="str">
        <f t="shared" ca="1" si="38"/>
        <v/>
      </c>
      <c r="Z34" s="342">
        <f t="shared" ca="1" si="38"/>
        <v>359204.503866488</v>
      </c>
      <c r="AA34" s="342"/>
      <c r="AB34" s="342">
        <f t="shared" ca="1" si="39"/>
        <v>8274.2367719966769</v>
      </c>
      <c r="AC34" s="342">
        <f t="shared" ca="1" si="39"/>
        <v>478322.93773566344</v>
      </c>
      <c r="AD34" s="342">
        <f t="shared" ca="1" si="39"/>
        <v>32890.950402181203</v>
      </c>
      <c r="AE34" s="342">
        <f t="shared" ca="1" si="39"/>
        <v>0</v>
      </c>
      <c r="AF34" s="342">
        <f t="shared" ca="1" si="39"/>
        <v>176707.69229988154</v>
      </c>
      <c r="AG34" s="342">
        <f t="shared" ca="1" si="39"/>
        <v>54699.617299867452</v>
      </c>
      <c r="AH34" s="342">
        <f t="shared" ca="1" si="39"/>
        <v>14234.757227483429</v>
      </c>
      <c r="AI34" s="342">
        <f t="shared" ca="1" si="39"/>
        <v>267851.95304974879</v>
      </c>
      <c r="AJ34" s="342">
        <f t="shared" ca="1" si="39"/>
        <v>27733.066736401237</v>
      </c>
      <c r="AK34" s="342" t="str">
        <f t="shared" ca="1" si="12"/>
        <v/>
      </c>
      <c r="AL34" s="342">
        <f t="shared" ca="1" si="12"/>
        <v>36011.193214587554</v>
      </c>
      <c r="AM34" s="342">
        <f t="shared" ca="1" si="12"/>
        <v>540759.46337477479</v>
      </c>
      <c r="AN34" s="342">
        <f t="shared" ca="1" si="12"/>
        <v>547166.58408149076</v>
      </c>
      <c r="AO34" s="342" t="str">
        <f t="shared" ca="1" si="12"/>
        <v/>
      </c>
      <c r="AP34" s="342" t="str">
        <f t="shared" ca="1" si="12"/>
        <v/>
      </c>
      <c r="AQ34" s="342">
        <f t="shared" ca="1" si="12"/>
        <v>2843.6124684100369</v>
      </c>
      <c r="AR34" s="342">
        <f t="shared" ca="1" si="12"/>
        <v>0</v>
      </c>
      <c r="AS34" s="342">
        <f t="shared" ca="1" si="12"/>
        <v>311490.86904867151</v>
      </c>
      <c r="AT34" s="342">
        <f t="shared" ca="1" si="12"/>
        <v>186835.14045523491</v>
      </c>
      <c r="AU34" s="342">
        <f t="shared" ca="1" si="12"/>
        <v>282942.73865315673</v>
      </c>
      <c r="AV34" s="342">
        <f t="shared" ca="1" si="12"/>
        <v>19799.598200707933</v>
      </c>
      <c r="AW34" s="342" t="str">
        <f t="shared" ca="1" si="12"/>
        <v/>
      </c>
      <c r="AX34" s="342" t="str">
        <f t="shared" ca="1" si="12"/>
        <v/>
      </c>
      <c r="AY34" s="645">
        <f t="shared" ca="1" si="57"/>
        <v>295830.84049178869</v>
      </c>
      <c r="AZ34" s="543">
        <f t="shared" ca="1" si="40"/>
        <v>76389.090059840892</v>
      </c>
      <c r="BA34" s="543">
        <f t="shared" ca="1" si="41"/>
        <v>428874.62891489745</v>
      </c>
      <c r="BB34" s="14">
        <f t="shared" ca="1" si="42"/>
        <v>120277.44014623045</v>
      </c>
      <c r="BC34" s="543">
        <f t="shared" ca="1" si="43"/>
        <v>402265.87123027572</v>
      </c>
      <c r="BD34" s="543">
        <f t="shared" ca="1" si="58"/>
        <v>175553.40034555824</v>
      </c>
      <c r="BE34" s="543">
        <f t="shared" ca="1" si="13"/>
        <v>106435.03073848702</v>
      </c>
      <c r="BF34" s="543"/>
      <c r="BG34" s="543"/>
      <c r="BH34" s="543"/>
      <c r="BI34" s="543"/>
      <c r="BJ34" s="543"/>
      <c r="BK34" s="543"/>
      <c r="BL34" s="543"/>
      <c r="BM34" s="543"/>
      <c r="BN34" s="543"/>
      <c r="BO34" s="953"/>
      <c r="BP34" s="342">
        <f t="shared" ca="1" si="59"/>
        <v>452735.99999999994</v>
      </c>
      <c r="BQ34" s="342">
        <f t="shared" ca="1" si="14"/>
        <v>402431.99999999994</v>
      </c>
      <c r="BR34" s="342">
        <f t="shared" ca="1" si="15"/>
        <v>506183.99999999988</v>
      </c>
      <c r="BS34" s="342">
        <f t="shared" ca="1" si="16"/>
        <v>462167.99999999994</v>
      </c>
      <c r="BT34" s="343">
        <f t="shared" ca="1" si="44"/>
        <v>61782.179908986211</v>
      </c>
      <c r="BU34" s="342">
        <f t="shared" ca="1" si="45"/>
        <v>16195.097303778484</v>
      </c>
      <c r="BV34" s="342">
        <f t="shared" ca="1" si="17"/>
        <v>14325.778046004458</v>
      </c>
      <c r="BW34" s="342">
        <f t="shared" ca="1" si="18"/>
        <v>18064.416561552513</v>
      </c>
      <c r="BX34" s="342">
        <f t="shared" ca="1" si="19"/>
        <v>45807.190754027761</v>
      </c>
      <c r="BY34" s="342" t="str">
        <f t="shared" si="20"/>
        <v/>
      </c>
      <c r="BZ34" s="342" t="str">
        <f t="shared" si="21"/>
        <v/>
      </c>
      <c r="CA34" s="342" t="str">
        <f t="shared" si="22"/>
        <v/>
      </c>
      <c r="CB34" s="342"/>
      <c r="CC34" s="342" t="str">
        <f t="shared" si="46"/>
        <v/>
      </c>
      <c r="CD34" s="342" t="str">
        <f t="shared" si="47"/>
        <v/>
      </c>
      <c r="CE34" s="342">
        <f t="shared" ca="1" si="60"/>
        <v>48085.297266707574</v>
      </c>
      <c r="CF34" s="342">
        <f t="shared" ca="1" si="61"/>
        <v>77526.582422134787</v>
      </c>
      <c r="CG34" s="342"/>
      <c r="CH34" s="342" t="str">
        <f t="shared" ca="1" si="48"/>
        <v/>
      </c>
      <c r="CI34" s="342">
        <f t="shared" ca="1" si="48"/>
        <v>6413.5202986921959</v>
      </c>
      <c r="CJ34" s="342" t="str">
        <f t="shared" ca="1" si="48"/>
        <v/>
      </c>
      <c r="CK34" s="342" t="str">
        <f t="shared" ca="1" si="48"/>
        <v/>
      </c>
      <c r="CL34" s="342">
        <f t="shared" ca="1" si="48"/>
        <v>153616.53107875833</v>
      </c>
      <c r="CM34" s="342"/>
      <c r="CN34" s="342">
        <f t="shared" ca="1" si="49"/>
        <v>8122.2505072912463</v>
      </c>
      <c r="CO34" s="342">
        <f t="shared" ca="1" si="49"/>
        <v>149576.33781356714</v>
      </c>
      <c r="CP34" s="342">
        <f t="shared" ca="1" si="49"/>
        <v>18360.651152554634</v>
      </c>
      <c r="CQ34" s="342">
        <f t="shared" ca="1" si="49"/>
        <v>0</v>
      </c>
      <c r="CR34" s="342">
        <f t="shared" ca="1" si="49"/>
        <v>58260.719766174101</v>
      </c>
      <c r="CS34" s="342">
        <f t="shared" ca="1" si="49"/>
        <v>40426.939871619361</v>
      </c>
      <c r="CT34" s="342">
        <f t="shared" ca="1" si="49"/>
        <v>8566.1501251307564</v>
      </c>
      <c r="CU34" s="342">
        <f t="shared" ca="1" si="49"/>
        <v>69488.271916818194</v>
      </c>
      <c r="CV34" s="342">
        <f t="shared" ca="1" si="49"/>
        <v>16106.897403177507</v>
      </c>
      <c r="CW34" s="342" t="str">
        <f t="shared" ca="1" si="24"/>
        <v/>
      </c>
      <c r="CX34" s="342">
        <f t="shared" ca="1" si="24"/>
        <v>19314.492095502286</v>
      </c>
      <c r="CY34" s="342">
        <f t="shared" ca="1" si="24"/>
        <v>215015.39181358364</v>
      </c>
      <c r="CZ34" s="342">
        <f t="shared" ca="1" si="24"/>
        <v>254867.20293433091</v>
      </c>
      <c r="DA34" s="342" t="str">
        <f t="shared" ca="1" si="24"/>
        <v/>
      </c>
      <c r="DB34" s="342" t="str">
        <f t="shared" ca="1" si="24"/>
        <v/>
      </c>
      <c r="DC34" s="342">
        <f t="shared" ca="1" si="24"/>
        <v>2057.3017285925703</v>
      </c>
      <c r="DD34" s="342">
        <f t="shared" ca="1" si="24"/>
        <v>0</v>
      </c>
      <c r="DE34" s="342">
        <f t="shared" ca="1" si="24"/>
        <v>85670.324428704524</v>
      </c>
      <c r="DF34" s="342">
        <f t="shared" ca="1" si="24"/>
        <v>52888.65233361585</v>
      </c>
      <c r="DG34" s="342">
        <f t="shared" ca="1" si="24"/>
        <v>57459.885616053922</v>
      </c>
      <c r="DH34" s="342">
        <f t="shared" ca="1" si="24"/>
        <v>10465.990848829442</v>
      </c>
      <c r="DI34" s="342" t="str">
        <f t="shared" ca="1" si="24"/>
        <v/>
      </c>
      <c r="DJ34" s="342" t="str">
        <f t="shared" ca="1" si="24"/>
        <v/>
      </c>
      <c r="DK34" s="342"/>
      <c r="DL34" s="342"/>
      <c r="DM34" s="342"/>
      <c r="DN34" s="342"/>
      <c r="DO34" s="342"/>
      <c r="DP34" s="342"/>
      <c r="DQ34" s="342"/>
      <c r="DR34" s="342"/>
      <c r="DS34" s="342"/>
      <c r="DT34" s="342"/>
      <c r="DU34" s="342"/>
      <c r="DV34" s="342"/>
      <c r="DW34" s="342"/>
      <c r="DX34" s="342"/>
      <c r="DY34" s="342"/>
      <c r="DZ34" s="342"/>
      <c r="EA34" s="342"/>
      <c r="EB34" s="342"/>
      <c r="EC34" s="790">
        <f t="shared" ca="1" si="25"/>
        <v>183863.98687385119</v>
      </c>
      <c r="ED34" s="543">
        <f t="shared" ca="1" si="50"/>
        <v>14325.778046004458</v>
      </c>
      <c r="EE34" s="543">
        <f t="shared" ca="1" si="51"/>
        <v>506183.99999999988</v>
      </c>
      <c r="EF34" s="14">
        <f t="shared" ca="1" si="52"/>
        <v>48233.419811573811</v>
      </c>
      <c r="EG34" s="543">
        <f t="shared" ca="1" si="53"/>
        <v>441719.99737477017</v>
      </c>
      <c r="EH34" s="543">
        <f t="shared" ca="1" si="54"/>
        <v>135630.56706227738</v>
      </c>
      <c r="EI34" s="543">
        <f t="shared" ca="1" si="55"/>
        <v>257856.01050091899</v>
      </c>
      <c r="EL34" s="645">
        <f t="shared" ca="1" si="26"/>
        <v>274355.49960752833</v>
      </c>
      <c r="EM34" s="798">
        <f t="shared" ca="1" si="27"/>
        <v>64485.292294375919</v>
      </c>
      <c r="EN34" s="892">
        <f t="shared" ca="1" si="28"/>
        <v>443702.63420354814</v>
      </c>
      <c r="EO34" s="892">
        <f t="shared" ca="1" si="29"/>
        <v>106459.3337570064</v>
      </c>
      <c r="EP34" s="892">
        <f t="shared" ca="1" si="30"/>
        <v>409833.20728434419</v>
      </c>
      <c r="EQ34" s="887">
        <f t="shared" ca="1" si="31"/>
        <v>167896.16585052197</v>
      </c>
      <c r="ER34" s="795">
        <f t="shared" ca="1" si="32"/>
        <v>135477.70767681586</v>
      </c>
      <c r="ES34" s="887"/>
      <c r="ET34" s="887"/>
      <c r="EU34" s="887"/>
      <c r="EV34" s="887"/>
    </row>
    <row r="35" spans="1:152" x14ac:dyDescent="0.25">
      <c r="A35" s="258" t="s">
        <v>86</v>
      </c>
      <c r="B35" s="9" t="s">
        <v>323</v>
      </c>
      <c r="C35" s="236" t="s">
        <v>422</v>
      </c>
      <c r="D35" s="342">
        <f ca="1">INDEX(INDIRECT("SSW_WTPCore_DCE_"&amp;$B35&amp;"_UnitValues"),MATCH("COMBINED-HH",WTPCore_Group,0),MATCH("MEAN",LMH,0))</f>
        <v>92736</v>
      </c>
      <c r="E35" s="342">
        <f t="shared" ca="1" si="2"/>
        <v>79487.999999999985</v>
      </c>
      <c r="F35" s="342">
        <f t="shared" ca="1" si="3"/>
        <v>105983.99999999999</v>
      </c>
      <c r="G35" s="342">
        <f t="shared" ca="1" si="4"/>
        <v>145727.99999999997</v>
      </c>
      <c r="H35" s="343">
        <f ca="1">INDEX(SSW_WTPMaxdiff_WTP_Unitvalues,MATCH($B35,WTPMaxdiff_WTP_options,0))</f>
        <v>996279.56762400118</v>
      </c>
      <c r="I35" s="342"/>
      <c r="J35" s="342"/>
      <c r="K35" s="342"/>
      <c r="L35" s="342"/>
      <c r="M35" s="342" t="str">
        <f t="shared" si="7"/>
        <v/>
      </c>
      <c r="N35" s="342" t="str">
        <f t="shared" si="8"/>
        <v/>
      </c>
      <c r="O35" s="342" t="str">
        <f t="shared" si="9"/>
        <v/>
      </c>
      <c r="P35" s="342" t="str">
        <f t="shared" si="10"/>
        <v/>
      </c>
      <c r="Q35" s="342" t="str">
        <f t="shared" si="36"/>
        <v/>
      </c>
      <c r="R35" s="342" t="str">
        <f t="shared" si="37"/>
        <v/>
      </c>
      <c r="S35" s="342"/>
      <c r="T35" s="342">
        <f ca="1">AVERAGE($AK35:$AX35)</f>
        <v>276666.84924583929</v>
      </c>
      <c r="U35" s="962"/>
      <c r="V35" s="342" t="str">
        <f t="shared" ca="1" si="38"/>
        <v/>
      </c>
      <c r="W35" s="342" t="str">
        <f t="shared" ca="1" si="38"/>
        <v/>
      </c>
      <c r="X35" s="342" t="str">
        <f t="shared" ca="1" si="38"/>
        <v/>
      </c>
      <c r="Y35" s="342" t="str">
        <f t="shared" ca="1" si="38"/>
        <v/>
      </c>
      <c r="Z35" s="342" t="str">
        <f t="shared" ca="1" si="38"/>
        <v/>
      </c>
      <c r="AA35" s="342"/>
      <c r="AB35" s="342" t="str">
        <f t="shared" ca="1" si="39"/>
        <v/>
      </c>
      <c r="AC35" s="342" t="str">
        <f t="shared" ca="1" si="39"/>
        <v/>
      </c>
      <c r="AD35" s="342" t="str">
        <f t="shared" ca="1" si="39"/>
        <v/>
      </c>
      <c r="AE35" s="342" t="str">
        <f t="shared" ca="1" si="39"/>
        <v/>
      </c>
      <c r="AF35" s="342" t="str">
        <f t="shared" ca="1" si="39"/>
        <v/>
      </c>
      <c r="AG35" s="342" t="str">
        <f t="shared" ca="1" si="39"/>
        <v/>
      </c>
      <c r="AH35" s="342" t="str">
        <f t="shared" ca="1" si="39"/>
        <v/>
      </c>
      <c r="AI35" s="342" t="str">
        <f t="shared" ca="1" si="39"/>
        <v/>
      </c>
      <c r="AJ35" s="342" t="str">
        <f t="shared" ca="1" si="39"/>
        <v/>
      </c>
      <c r="AK35" s="342">
        <f t="shared" ca="1" si="12"/>
        <v>149685.05498744021</v>
      </c>
      <c r="AL35" s="342" t="str">
        <f t="shared" ca="1" si="12"/>
        <v/>
      </c>
      <c r="AM35" s="342">
        <f t="shared" ca="1" si="12"/>
        <v>215302.37893625299</v>
      </c>
      <c r="AN35" s="342">
        <f t="shared" ca="1" si="12"/>
        <v>547166.58408149087</v>
      </c>
      <c r="AO35" s="342">
        <f t="shared" ca="1" si="12"/>
        <v>194513.37897817304</v>
      </c>
      <c r="AP35" s="342" t="str">
        <f t="shared" ca="1" si="12"/>
        <v/>
      </c>
      <c r="AQ35" s="342" t="str">
        <f t="shared" ca="1" si="12"/>
        <v/>
      </c>
      <c r="AR35" s="342" t="str">
        <f t="shared" ca="1" si="12"/>
        <v/>
      </c>
      <c r="AS35" s="342" t="str">
        <f t="shared" ca="1" si="12"/>
        <v/>
      </c>
      <c r="AT35" s="342" t="str">
        <f t="shared" ca="1" si="12"/>
        <v/>
      </c>
      <c r="AU35" s="342" t="str">
        <f t="shared" ca="1" si="12"/>
        <v/>
      </c>
      <c r="AV35" s="342" t="str">
        <f t="shared" ca="1" si="12"/>
        <v/>
      </c>
      <c r="AW35" s="342" t="str">
        <f t="shared" ca="1" si="12"/>
        <v/>
      </c>
      <c r="AX35" s="342" t="str">
        <f t="shared" ca="1" si="12"/>
        <v/>
      </c>
      <c r="AY35" s="645">
        <f t="shared" ca="1" si="57"/>
        <v>377167.14064197743</v>
      </c>
      <c r="AZ35" s="543">
        <f t="shared" ca="1" si="40"/>
        <v>79487.999999999985</v>
      </c>
      <c r="BA35" s="543">
        <f t="shared" ca="1" si="41"/>
        <v>996279.56762400118</v>
      </c>
      <c r="BB35" s="14">
        <f t="shared" ca="1" si="42"/>
        <v>139023.82812839549</v>
      </c>
      <c r="BC35" s="543">
        <f t="shared" ca="1" si="43"/>
        <v>872457.08222759643</v>
      </c>
      <c r="BD35" s="543">
        <f t="shared" ca="1" si="58"/>
        <v>238143.31251358194</v>
      </c>
      <c r="BE35" s="543">
        <f t="shared" ca="1" si="13"/>
        <v>495289.941585619</v>
      </c>
      <c r="BF35" s="543"/>
      <c r="BG35" s="543"/>
      <c r="BH35" s="543"/>
      <c r="BI35" s="543"/>
      <c r="BJ35" s="543"/>
      <c r="BK35" s="543"/>
      <c r="BL35" s="543"/>
      <c r="BM35" s="543"/>
      <c r="BN35" s="543"/>
      <c r="BO35" s="953"/>
      <c r="BP35" s="342">
        <f t="shared" ca="1" si="59"/>
        <v>472540.17467639426</v>
      </c>
      <c r="BQ35" s="342">
        <f t="shared" ca="1" si="14"/>
        <v>418151.99999999994</v>
      </c>
      <c r="BR35" s="342">
        <f t="shared" ca="1" si="15"/>
        <v>525047.99999999988</v>
      </c>
      <c r="BS35" s="342">
        <f t="shared" ca="1" si="16"/>
        <v>546001.94174792129</v>
      </c>
      <c r="BT35" s="343">
        <f t="shared" ca="1" si="44"/>
        <v>239947.77916443557</v>
      </c>
      <c r="BU35" s="342"/>
      <c r="BV35" s="342"/>
      <c r="BW35" s="342"/>
      <c r="BX35" s="342"/>
      <c r="BY35" s="342" t="str">
        <f t="shared" si="20"/>
        <v/>
      </c>
      <c r="BZ35" s="342" t="str">
        <f t="shared" si="21"/>
        <v/>
      </c>
      <c r="CA35" s="342" t="str">
        <f t="shared" si="22"/>
        <v/>
      </c>
      <c r="CB35" s="342"/>
      <c r="CC35" s="342" t="str">
        <f t="shared" si="46"/>
        <v/>
      </c>
      <c r="CD35" s="342" t="str">
        <f t="shared" si="47"/>
        <v/>
      </c>
      <c r="CE35" s="342"/>
      <c r="CF35" s="342">
        <f t="shared" ca="1" si="61"/>
        <v>130818.80855918152</v>
      </c>
      <c r="CG35" s="342"/>
      <c r="CH35" s="342" t="str">
        <f t="shared" ca="1" si="48"/>
        <v/>
      </c>
      <c r="CI35" s="342" t="str">
        <f t="shared" ca="1" si="48"/>
        <v/>
      </c>
      <c r="CJ35" s="342" t="str">
        <f t="shared" ca="1" si="48"/>
        <v/>
      </c>
      <c r="CK35" s="342" t="str">
        <f t="shared" ca="1" si="48"/>
        <v/>
      </c>
      <c r="CL35" s="342" t="str">
        <f t="shared" ca="1" si="48"/>
        <v/>
      </c>
      <c r="CM35" s="342"/>
      <c r="CN35" s="342" t="str">
        <f t="shared" ca="1" si="49"/>
        <v/>
      </c>
      <c r="CO35" s="342" t="str">
        <f t="shared" ca="1" si="49"/>
        <v/>
      </c>
      <c r="CP35" s="342" t="str">
        <f t="shared" ca="1" si="49"/>
        <v/>
      </c>
      <c r="CQ35" s="342" t="str">
        <f t="shared" ca="1" si="49"/>
        <v/>
      </c>
      <c r="CR35" s="342" t="str">
        <f t="shared" ca="1" si="49"/>
        <v/>
      </c>
      <c r="CS35" s="342" t="str">
        <f t="shared" ca="1" si="49"/>
        <v/>
      </c>
      <c r="CT35" s="342" t="str">
        <f t="shared" ca="1" si="49"/>
        <v/>
      </c>
      <c r="CU35" s="342" t="str">
        <f t="shared" ca="1" si="49"/>
        <v/>
      </c>
      <c r="CV35" s="342" t="str">
        <f t="shared" ca="1" si="49"/>
        <v/>
      </c>
      <c r="CW35" s="342">
        <f t="shared" ca="1" si="24"/>
        <v>90139.551650599737</v>
      </c>
      <c r="CX35" s="342" t="str">
        <f t="shared" ca="1" si="24"/>
        <v/>
      </c>
      <c r="CY35" s="342">
        <f t="shared" ca="1" si="24"/>
        <v>85607.980073926839</v>
      </c>
      <c r="CZ35" s="342">
        <f t="shared" ca="1" si="24"/>
        <v>254867.20293433094</v>
      </c>
      <c r="DA35" s="342">
        <f t="shared" ca="1" si="24"/>
        <v>92660.499577868584</v>
      </c>
      <c r="DB35" s="342" t="str">
        <f t="shared" ca="1" si="24"/>
        <v/>
      </c>
      <c r="DC35" s="342" t="str">
        <f t="shared" ca="1" si="24"/>
        <v/>
      </c>
      <c r="DD35" s="342" t="str">
        <f t="shared" ca="1" si="24"/>
        <v/>
      </c>
      <c r="DE35" s="342" t="str">
        <f t="shared" ca="1" si="24"/>
        <v/>
      </c>
      <c r="DF35" s="342" t="str">
        <f t="shared" ca="1" si="24"/>
        <v/>
      </c>
      <c r="DG35" s="342" t="str">
        <f t="shared" ca="1" si="24"/>
        <v/>
      </c>
      <c r="DH35" s="342" t="str">
        <f t="shared" ca="1" si="24"/>
        <v/>
      </c>
      <c r="DI35" s="342" t="str">
        <f t="shared" ca="1" si="24"/>
        <v/>
      </c>
      <c r="DJ35" s="342" t="str">
        <f t="shared" ca="1" si="24"/>
        <v/>
      </c>
      <c r="DK35" s="342"/>
      <c r="DL35" s="342"/>
      <c r="DM35" s="342"/>
      <c r="DN35" s="342"/>
      <c r="DO35" s="342"/>
      <c r="DP35" s="342"/>
      <c r="DQ35" s="342"/>
      <c r="DR35" s="342"/>
      <c r="DS35" s="342"/>
      <c r="DT35" s="342"/>
      <c r="DU35" s="342"/>
      <c r="DV35" s="342"/>
      <c r="DW35" s="342"/>
      <c r="DX35" s="342"/>
      <c r="DY35" s="342"/>
      <c r="DZ35" s="342"/>
      <c r="EA35" s="342"/>
      <c r="EB35" s="342"/>
      <c r="EC35" s="790">
        <f t="shared" ca="1" si="25"/>
        <v>357267.86651337566</v>
      </c>
      <c r="ED35" s="543">
        <f t="shared" ca="1" si="50"/>
        <v>130818.80855918152</v>
      </c>
      <c r="EE35" s="543">
        <f t="shared" ca="1" si="51"/>
        <v>546001.94174792129</v>
      </c>
      <c r="EF35" s="14">
        <f t="shared" ca="1" si="52"/>
        <v>176108.62015002035</v>
      </c>
      <c r="EG35" s="543">
        <f t="shared" ca="1" si="53"/>
        <v>508255.1267010122</v>
      </c>
      <c r="EH35" s="543">
        <f t="shared" ca="1" si="54"/>
        <v>181159.24636335531</v>
      </c>
      <c r="EI35" s="543">
        <f t="shared" ca="1" si="55"/>
        <v>150987.26018763654</v>
      </c>
      <c r="EL35" s="645">
        <f t="shared" ca="1" si="26"/>
        <v>373350.44238305092</v>
      </c>
      <c r="EM35" s="798">
        <f t="shared" ca="1" si="27"/>
        <v>89333.294174601426</v>
      </c>
      <c r="EN35" s="892">
        <f t="shared" ca="1" si="28"/>
        <v>909915.92342229327</v>
      </c>
      <c r="EO35" s="892">
        <f t="shared" ca="1" si="29"/>
        <v>146136.72381629134</v>
      </c>
      <c r="EP35" s="892">
        <f t="shared" ca="1" si="30"/>
        <v>802602.82721444487</v>
      </c>
      <c r="EQ35" s="887">
        <f t="shared" ca="1" si="31"/>
        <v>227213.71856675955</v>
      </c>
      <c r="ER35" s="795">
        <f t="shared" ca="1" si="32"/>
        <v>429252.38483139401</v>
      </c>
      <c r="ES35" s="887"/>
      <c r="ET35" s="887"/>
      <c r="EU35" s="887"/>
      <c r="EV35" s="887"/>
    </row>
    <row r="36" spans="1:152" x14ac:dyDescent="0.25">
      <c r="A36" s="258" t="s">
        <v>3</v>
      </c>
      <c r="B36" s="9" t="s">
        <v>3</v>
      </c>
      <c r="C36" s="236" t="s">
        <v>396</v>
      </c>
      <c r="D36" s="342">
        <f t="shared" ca="1" si="56"/>
        <v>31319.148936170212</v>
      </c>
      <c r="E36" s="342">
        <f t="shared" ca="1" si="2"/>
        <v>27717.446808510638</v>
      </c>
      <c r="F36" s="342">
        <f t="shared" ca="1" si="3"/>
        <v>34920.851063829788</v>
      </c>
      <c r="G36" s="342">
        <f t="shared" ca="1" si="4"/>
        <v>38209.361702127659</v>
      </c>
      <c r="H36" s="343">
        <f t="shared" ca="1" si="33"/>
        <v>30485.03921540505</v>
      </c>
      <c r="I36" s="342">
        <f ca="1">INDEX(INDIRECT("SSW_WTPCore2_"&amp;$B36&amp;"_UnitValues"),1,MATCH("MEAN",LMH,0))</f>
        <v>26174.460418634368</v>
      </c>
      <c r="J36" s="342">
        <f ca="1">INDEX(INDIRECT("SSW_WTPCore2_"&amp;$B36&amp;"_UnitValues"),1,MATCH("LOW",LMH,0))</f>
        <v>23689.28247511456</v>
      </c>
      <c r="K36" s="342">
        <f ca="1">INDEX(INDIRECT("SSW_WTPCore2_"&amp;$B36&amp;"_UnitValues"),1,MATCH("HIGH",LMH,0))</f>
        <v>28659.638362154175</v>
      </c>
      <c r="L36" s="342">
        <f ca="1">INDEX(INDIRECT("SSW_WTPCore2_LowBill_"&amp;$B36&amp;"_UnitValues"),1,MATCH("MEAN",LMH,0))</f>
        <v>10575.624844162328</v>
      </c>
      <c r="M36" s="342">
        <f t="shared" ca="1" si="7"/>
        <v>26705.369044429881</v>
      </c>
      <c r="N36" s="342" t="str">
        <f t="shared" si="8"/>
        <v/>
      </c>
      <c r="O36" s="342" t="str">
        <f t="shared" si="9"/>
        <v/>
      </c>
      <c r="P36" s="342" t="str">
        <f t="shared" si="10"/>
        <v/>
      </c>
      <c r="Q36" s="342">
        <f t="shared" ca="1" si="36"/>
        <v>29046.089044386084</v>
      </c>
      <c r="R36" s="342">
        <f t="shared" ca="1" si="37"/>
        <v>44629.458292744872</v>
      </c>
      <c r="S36" s="342">
        <f ca="1">AVERAGE( $V36:$AJ36)</f>
        <v>45867.8631546092</v>
      </c>
      <c r="T36" s="342">
        <f ca="1">AVERAGE($AK36:$AX36)</f>
        <v>82137.4490063673</v>
      </c>
      <c r="U36" s="962">
        <f ca="1">INDEX(SSW_PC_Slider_output_WTP,MATCH($A36,PC_Slider_WTP_options,0))</f>
        <v>15828.995612035655</v>
      </c>
      <c r="V36" s="342" t="str">
        <f t="shared" ca="1" si="38"/>
        <v/>
      </c>
      <c r="W36" s="342" t="str">
        <f t="shared" ca="1" si="38"/>
        <v/>
      </c>
      <c r="X36" s="342" t="str">
        <f t="shared" ca="1" si="38"/>
        <v/>
      </c>
      <c r="Y36" s="342" t="str">
        <f t="shared" ca="1" si="38"/>
        <v/>
      </c>
      <c r="Z36" s="342" t="str">
        <f t="shared" ca="1" si="38"/>
        <v/>
      </c>
      <c r="AA36" s="342"/>
      <c r="AB36" s="342" t="str">
        <f t="shared" ca="1" si="39"/>
        <v/>
      </c>
      <c r="AC36" s="342" t="str">
        <f t="shared" ca="1" si="39"/>
        <v/>
      </c>
      <c r="AD36" s="342" t="str">
        <f t="shared" ca="1" si="39"/>
        <v/>
      </c>
      <c r="AE36" s="342" t="str">
        <f t="shared" ca="1" si="39"/>
        <v/>
      </c>
      <c r="AF36" s="342">
        <f t="shared" ca="1" si="39"/>
        <v>60368.481571660239</v>
      </c>
      <c r="AG36" s="342" t="str">
        <f t="shared" ca="1" si="39"/>
        <v/>
      </c>
      <c r="AH36" s="342">
        <f t="shared" ca="1" si="39"/>
        <v>59131.036516950277</v>
      </c>
      <c r="AI36" s="342">
        <f t="shared" ca="1" si="39"/>
        <v>27923.656272799464</v>
      </c>
      <c r="AJ36" s="342">
        <f t="shared" ca="1" si="39"/>
        <v>36048.278257026803</v>
      </c>
      <c r="AK36" s="342">
        <f t="shared" ca="1" si="12"/>
        <v>30320.027570400362</v>
      </c>
      <c r="AL36" s="342">
        <f t="shared" ca="1" si="12"/>
        <v>32606.826778361377</v>
      </c>
      <c r="AM36" s="342">
        <f t="shared" ca="1" si="12"/>
        <v>37783.965083032468</v>
      </c>
      <c r="AN36" s="342">
        <f t="shared" ca="1" si="12"/>
        <v>62388.797564540073</v>
      </c>
      <c r="AO36" s="342">
        <f t="shared" ca="1" si="12"/>
        <v>55994.117198584048</v>
      </c>
      <c r="AP36" s="342" t="str">
        <f t="shared" ca="1" si="12"/>
        <v/>
      </c>
      <c r="AQ36" s="342">
        <f t="shared" ca="1" si="12"/>
        <v>5894.3403441117389</v>
      </c>
      <c r="AR36" s="342">
        <f t="shared" ca="1" si="12"/>
        <v>424238.42320025322</v>
      </c>
      <c r="AS36" s="342" t="str">
        <f t="shared" ca="1" si="12"/>
        <v/>
      </c>
      <c r="AT36" s="342" t="str">
        <f t="shared" ca="1" si="12"/>
        <v/>
      </c>
      <c r="AU36" s="342" t="str">
        <f t="shared" ca="1" si="12"/>
        <v/>
      </c>
      <c r="AV36" s="342">
        <f t="shared" ca="1" si="12"/>
        <v>57956.242337540905</v>
      </c>
      <c r="AW36" s="342" t="str">
        <f t="shared" ca="1" si="12"/>
        <v/>
      </c>
      <c r="AX36" s="342">
        <f t="shared" ca="1" si="12"/>
        <v>32054.300980481516</v>
      </c>
      <c r="AY36" s="645">
        <f t="shared" ca="1" si="57"/>
        <v>31918.781568528757</v>
      </c>
      <c r="AZ36" s="543">
        <f t="shared" ca="1" si="40"/>
        <v>10575.624844162328</v>
      </c>
      <c r="BA36" s="543">
        <f t="shared" ca="1" si="41"/>
        <v>82137.4490063673</v>
      </c>
      <c r="BB36" s="14">
        <f t="shared" ca="1" si="42"/>
        <v>14844.256189035614</v>
      </c>
      <c r="BC36" s="543">
        <f t="shared" ca="1" si="43"/>
        <v>72093.715518799581</v>
      </c>
      <c r="BD36" s="543">
        <f ca="1">AY36-BB36</f>
        <v>17074.525379493141</v>
      </c>
      <c r="BE36" s="543">
        <f t="shared" ca="1" si="13"/>
        <v>40174.933950270824</v>
      </c>
      <c r="BF36" s="543"/>
      <c r="BG36" s="543"/>
      <c r="BH36" s="543"/>
      <c r="BI36" s="543"/>
      <c r="BJ36" s="543"/>
      <c r="BK36" s="543"/>
      <c r="BL36" s="543"/>
      <c r="BM36" s="543"/>
      <c r="BN36" s="543"/>
      <c r="BO36" s="953"/>
      <c r="BP36" s="342">
        <f t="shared" ca="1" si="59"/>
        <v>140121.48148148149</v>
      </c>
      <c r="BQ36" s="342">
        <f t="shared" ca="1" si="14"/>
        <v>115668.14814814815</v>
      </c>
      <c r="BR36" s="342">
        <f t="shared" ca="1" si="15"/>
        <v>164768.88888888888</v>
      </c>
      <c r="BS36" s="342">
        <f t="shared" ca="1" si="16"/>
        <v>63462.222222222219</v>
      </c>
      <c r="BT36" s="343">
        <f t="shared" ca="1" si="44"/>
        <v>40885.00234515479</v>
      </c>
      <c r="BU36" s="342">
        <f ca="1">INDEX(INDIRECT("CAM_WTPCore2_"&amp;$B36&amp;"_UnitValues"),1,MATCH("MEAN",LMH,0))</f>
        <v>60941.450056590147</v>
      </c>
      <c r="BV36" s="342">
        <f ca="1">INDEX(INDIRECT("CAM_WTPCore2_"&amp;$B36&amp;"_UnitValues"),1,MATCH("LOW",LMH,0))</f>
        <v>54538.414986449447</v>
      </c>
      <c r="BW36" s="342">
        <f ca="1">INDEX(INDIRECT("CAM_WTPCore2_"&amp;$B36&amp;"_UnitValues"),1,MATCH("HIGH",LMH,0))</f>
        <v>67344.48512673084</v>
      </c>
      <c r="BX36" s="342">
        <f ca="1">INDEX(INDIRECT("CAM_WTPCore2_LowBill_"&amp;$B36&amp;"_UnitValues"),1,MATCH("MEAN",LMH,0))</f>
        <v>43191.828048584292</v>
      </c>
      <c r="BY36" s="342">
        <f t="shared" ca="1" si="20"/>
        <v>50383.602359329678</v>
      </c>
      <c r="BZ36" s="342" t="str">
        <f t="shared" si="21"/>
        <v/>
      </c>
      <c r="CA36" s="342" t="str">
        <f t="shared" si="22"/>
        <v/>
      </c>
      <c r="CB36" s="342"/>
      <c r="CC36" s="342">
        <f t="shared" ca="1" si="46"/>
        <v>150393.0418101199</v>
      </c>
      <c r="CD36" s="342">
        <f t="shared" ca="1" si="47"/>
        <v>179977.98891374224</v>
      </c>
      <c r="CE36" s="342">
        <f t="shared" ca="1" si="60"/>
        <v>87376.335611595307</v>
      </c>
      <c r="CF36" s="342">
        <f t="shared" ca="1" si="61"/>
        <v>86453.117807355564</v>
      </c>
      <c r="CG36" s="342">
        <f ca="1">INDEX(CAM_PC_Slider_output_WTP,MATCH($A36,PC_Slider_WTP_options,0))</f>
        <v>59174.80951181936</v>
      </c>
      <c r="CH36" s="342" t="str">
        <f t="shared" ca="1" si="48"/>
        <v/>
      </c>
      <c r="CI36" s="342" t="str">
        <f t="shared" ca="1" si="48"/>
        <v/>
      </c>
      <c r="CJ36" s="342" t="str">
        <f t="shared" ca="1" si="48"/>
        <v/>
      </c>
      <c r="CK36" s="342" t="str">
        <f t="shared" ca="1" si="48"/>
        <v/>
      </c>
      <c r="CL36" s="342" t="str">
        <f t="shared" ca="1" si="48"/>
        <v/>
      </c>
      <c r="CM36" s="342"/>
      <c r="CN36" s="342" t="str">
        <f t="shared" ca="1" si="49"/>
        <v/>
      </c>
      <c r="CO36" s="342" t="str">
        <f t="shared" ca="1" si="49"/>
        <v/>
      </c>
      <c r="CP36" s="342" t="str">
        <f t="shared" ca="1" si="49"/>
        <v/>
      </c>
      <c r="CQ36" s="342" t="str">
        <f t="shared" ca="1" si="49"/>
        <v/>
      </c>
      <c r="CR36" s="342">
        <f t="shared" ca="1" si="49"/>
        <v>83143.217102739392</v>
      </c>
      <c r="CS36" s="342" t="str">
        <f t="shared" ca="1" si="49"/>
        <v/>
      </c>
      <c r="CT36" s="342">
        <f t="shared" ca="1" si="49"/>
        <v>148643.96816423701</v>
      </c>
      <c r="CU36" s="342">
        <f t="shared" ca="1" si="49"/>
        <v>30261.13127959847</v>
      </c>
      <c r="CV36" s="342">
        <f t="shared" ca="1" si="49"/>
        <v>87457.025899806365</v>
      </c>
      <c r="CW36" s="342">
        <f t="shared" ref="CW36:DJ41" ca="1" si="62">IFERROR(INDEX(INDIRECT("PR19_Comp"&amp;CW$23&amp;"_UnitValues_CAM"),MATCH($B36,INDIRECT("PR19_Comp"&amp;CW$23&amp;"_WTPCore_Options"),0)),"")</f>
        <v>76271.577062814962</v>
      </c>
      <c r="CX36" s="342">
        <f t="shared" ca="1" si="62"/>
        <v>73055.093155067545</v>
      </c>
      <c r="CY36" s="342">
        <f t="shared" ca="1" si="62"/>
        <v>62758.005778423649</v>
      </c>
      <c r="CZ36" s="342">
        <f t="shared" ca="1" si="62"/>
        <v>121393.98927774929</v>
      </c>
      <c r="DA36" s="342">
        <f t="shared" ca="1" si="62"/>
        <v>111425.28234121947</v>
      </c>
      <c r="DB36" s="342" t="str">
        <f t="shared" ca="1" si="62"/>
        <v/>
      </c>
      <c r="DC36" s="342">
        <f t="shared" ca="1" si="62"/>
        <v>17813.898442827438</v>
      </c>
      <c r="DD36" s="342">
        <f t="shared" ca="1" si="62"/>
        <v>124965.20318188801</v>
      </c>
      <c r="DE36" s="342" t="str">
        <f t="shared" ca="1" si="62"/>
        <v/>
      </c>
      <c r="DF36" s="342" t="str">
        <f t="shared" ca="1" si="62"/>
        <v/>
      </c>
      <c r="DG36" s="342" t="str">
        <f t="shared" ca="1" si="62"/>
        <v/>
      </c>
      <c r="DH36" s="342">
        <f t="shared" ca="1" si="62"/>
        <v>127973.59653943927</v>
      </c>
      <c r="DI36" s="342" t="str">
        <f t="shared" ca="1" si="62"/>
        <v/>
      </c>
      <c r="DJ36" s="342">
        <f t="shared" ca="1" si="62"/>
        <v>62421.414486770438</v>
      </c>
      <c r="DK36" s="342"/>
      <c r="DL36" s="342"/>
      <c r="DM36" s="342"/>
      <c r="DN36" s="342"/>
      <c r="DO36" s="342"/>
      <c r="DP36" s="342"/>
      <c r="DQ36" s="342"/>
      <c r="DR36" s="342"/>
      <c r="DS36" s="342"/>
      <c r="DT36" s="342"/>
      <c r="DU36" s="342"/>
      <c r="DV36" s="342"/>
      <c r="DW36" s="342"/>
      <c r="DX36" s="342"/>
      <c r="DY36" s="342"/>
      <c r="DZ36" s="342"/>
      <c r="EA36" s="342"/>
      <c r="EB36" s="342"/>
      <c r="EC36" s="790">
        <f t="shared" ca="1" si="25"/>
        <v>91861.563109842726</v>
      </c>
      <c r="ED36" s="543">
        <f t="shared" ca="1" si="50"/>
        <v>40885.00234515479</v>
      </c>
      <c r="EE36" s="543">
        <f t="shared" ca="1" si="51"/>
        <v>179977.98891374224</v>
      </c>
      <c r="EF36" s="14">
        <f t="shared" ca="1" si="52"/>
        <v>51080.314498092383</v>
      </c>
      <c r="EG36" s="543">
        <f t="shared" ca="1" si="53"/>
        <v>162354.70375296235</v>
      </c>
      <c r="EH36" s="543">
        <f t="shared" ca="1" si="54"/>
        <v>40781.248611750343</v>
      </c>
      <c r="EI36" s="543">
        <f t="shared" ca="1" si="55"/>
        <v>70493.140643119623</v>
      </c>
      <c r="EL36" s="645">
        <f t="shared" ca="1" si="26"/>
        <v>43415.859726526018</v>
      </c>
      <c r="EM36" s="798">
        <f t="shared" ca="1" si="27"/>
        <v>16388.990074952977</v>
      </c>
      <c r="EN36" s="892">
        <f t="shared" ca="1" si="28"/>
        <v>100903.35051129572</v>
      </c>
      <c r="EO36" s="892">
        <f t="shared" ca="1" si="29"/>
        <v>21794.364005267587</v>
      </c>
      <c r="EP36" s="892">
        <f t="shared" ca="1" si="30"/>
        <v>89405.852354341783</v>
      </c>
      <c r="EQ36" s="887">
        <f t="shared" ca="1" si="31"/>
        <v>21621.49572125843</v>
      </c>
      <c r="ER36" s="795">
        <f t="shared" ca="1" si="32"/>
        <v>45989.992627815758</v>
      </c>
      <c r="ES36" s="887"/>
      <c r="ET36" s="887"/>
      <c r="EU36" s="887"/>
      <c r="EV36" s="887"/>
    </row>
    <row r="37" spans="1:152" x14ac:dyDescent="0.25">
      <c r="A37" s="258" t="s">
        <v>324</v>
      </c>
      <c r="B37" s="9" t="s">
        <v>318</v>
      </c>
      <c r="C37" s="236" t="s">
        <v>423</v>
      </c>
      <c r="D37" s="118">
        <f t="shared" ca="1" si="56"/>
        <v>1.7719298245614032</v>
      </c>
      <c r="E37" s="342">
        <f t="shared" ca="1" si="2"/>
        <v>1.5614035087719296</v>
      </c>
      <c r="F37" s="342">
        <f t="shared" ca="1" si="3"/>
        <v>1.9649122807017545</v>
      </c>
      <c r="G37" s="342">
        <f t="shared" ca="1" si="4"/>
        <v>1.6140350877192977</v>
      </c>
      <c r="H37" s="353">
        <f t="shared" ca="1" si="33"/>
        <v>3.0647590035788905</v>
      </c>
      <c r="I37" s="342">
        <f ca="1">INDEX(INDIRECT("SSW_WTPCore2_"&amp;$B37&amp;"_UnitValues"),1,MATCH("MEAN",LMH,0))</f>
        <v>26.493731890352418</v>
      </c>
      <c r="J37" s="342">
        <f ca="1">INDEX(INDIRECT("SSW_WTPCore2_"&amp;$B37&amp;"_UnitValues"),1,MATCH("LOW",LMH,0))</f>
        <v>23.977063891715492</v>
      </c>
      <c r="K37" s="342">
        <f ca="1">INDEX(INDIRECT("SSW_WTPCore2_"&amp;$B37&amp;"_UnitValues"),1,MATCH("HIGH",LMH,0))</f>
        <v>29.010399888989348</v>
      </c>
      <c r="L37" s="342">
        <f ca="1">INDEX(INDIRECT("SSW_WTPCore2_LowBill_"&amp;$B37&amp;"_UnitValues"),1,MATCH("MEAN",LMH,0))</f>
        <v>23.049146180227552</v>
      </c>
      <c r="M37" s="342" t="str">
        <f t="shared" si="7"/>
        <v/>
      </c>
      <c r="N37" s="342" t="str">
        <f t="shared" si="8"/>
        <v/>
      </c>
      <c r="O37" s="342" t="str">
        <f t="shared" si="9"/>
        <v/>
      </c>
      <c r="P37" s="342" t="str">
        <f t="shared" si="10"/>
        <v/>
      </c>
      <c r="Q37" s="342" t="str">
        <f t="shared" si="36"/>
        <v/>
      </c>
      <c r="R37" s="344">
        <f t="shared" ca="1" si="37"/>
        <v>5.561127447643095</v>
      </c>
      <c r="S37" s="342"/>
      <c r="T37" s="118">
        <f ca="1">AVERAGE($AK37:$AX37)</f>
        <v>3.5280159685623818</v>
      </c>
      <c r="U37" s="962"/>
      <c r="V37" s="342" t="str">
        <f t="shared" ca="1" si="38"/>
        <v/>
      </c>
      <c r="W37" s="342" t="str">
        <f t="shared" ca="1" si="38"/>
        <v/>
      </c>
      <c r="X37" s="342" t="str">
        <f t="shared" ca="1" si="38"/>
        <v/>
      </c>
      <c r="Y37" s="342" t="str">
        <f t="shared" ca="1" si="38"/>
        <v/>
      </c>
      <c r="Z37" s="342" t="str">
        <f t="shared" ca="1" si="38"/>
        <v/>
      </c>
      <c r="AA37" s="342"/>
      <c r="AB37" s="342" t="str">
        <f t="shared" ca="1" si="39"/>
        <v/>
      </c>
      <c r="AC37" s="342" t="str">
        <f t="shared" ca="1" si="39"/>
        <v/>
      </c>
      <c r="AD37" s="342" t="str">
        <f t="shared" ca="1" si="39"/>
        <v/>
      </c>
      <c r="AE37" s="342" t="str">
        <f t="shared" ca="1" si="39"/>
        <v/>
      </c>
      <c r="AF37" s="342" t="str">
        <f t="shared" ca="1" si="39"/>
        <v/>
      </c>
      <c r="AG37" s="342" t="str">
        <f t="shared" ca="1" si="39"/>
        <v/>
      </c>
      <c r="AH37" s="342" t="str">
        <f t="shared" ca="1" si="39"/>
        <v/>
      </c>
      <c r="AI37" s="342" t="str">
        <f t="shared" ca="1" si="39"/>
        <v/>
      </c>
      <c r="AJ37" s="342" t="str">
        <f t="shared" ca="1" si="39"/>
        <v/>
      </c>
      <c r="AK37" s="342" t="str">
        <f t="shared" ca="1" si="12"/>
        <v/>
      </c>
      <c r="AL37" s="342" t="str">
        <f t="shared" ca="1" si="12"/>
        <v/>
      </c>
      <c r="AM37" s="342">
        <f t="shared" ca="1" si="12"/>
        <v>1.7001806683480312</v>
      </c>
      <c r="AN37" s="342">
        <f t="shared" ca="1" si="12"/>
        <v>4.1953733376093281</v>
      </c>
      <c r="AO37" s="342" t="str">
        <f t="shared" ca="1" si="12"/>
        <v/>
      </c>
      <c r="AP37" s="342" t="str">
        <f t="shared" ca="1" si="12"/>
        <v/>
      </c>
      <c r="AQ37" s="342" t="str">
        <f t="shared" ca="1" si="12"/>
        <v/>
      </c>
      <c r="AR37" s="342" t="str">
        <f t="shared" ca="1" si="12"/>
        <v/>
      </c>
      <c r="AS37" s="342" t="str">
        <f t="shared" ca="1" si="12"/>
        <v/>
      </c>
      <c r="AT37" s="342" t="str">
        <f t="shared" ca="1" si="12"/>
        <v/>
      </c>
      <c r="AU37" s="342" t="str">
        <f t="shared" ca="1" si="12"/>
        <v/>
      </c>
      <c r="AV37" s="342">
        <f t="shared" ca="1" si="12"/>
        <v>4.6884938997297851</v>
      </c>
      <c r="AW37" s="342" t="str">
        <f t="shared" ca="1" si="12"/>
        <v/>
      </c>
      <c r="AX37" s="342" t="str">
        <f t="shared" ca="1" si="12"/>
        <v/>
      </c>
      <c r="AY37" s="645">
        <f t="shared" ca="1" si="57"/>
        <v>10.690109023584879</v>
      </c>
      <c r="AZ37" s="543">
        <f t="shared" ca="1" si="40"/>
        <v>1.5614035087719296</v>
      </c>
      <c r="BA37" s="543">
        <f t="shared" ca="1" si="41"/>
        <v>29.010399888989348</v>
      </c>
      <c r="BB37" s="14">
        <f t="shared" ca="1" si="42"/>
        <v>3.3871446117345196</v>
      </c>
      <c r="BC37" s="543">
        <f t="shared" ca="1" si="43"/>
        <v>25.346341715908459</v>
      </c>
      <c r="BD37" s="543">
        <f t="shared" ca="1" si="58"/>
        <v>7.3029644118503594</v>
      </c>
      <c r="BE37" s="543">
        <f t="shared" ca="1" si="13"/>
        <v>14.656232692323579</v>
      </c>
      <c r="BF37" s="543"/>
      <c r="BG37" s="543"/>
      <c r="BH37" s="543"/>
      <c r="BI37" s="543"/>
      <c r="BJ37" s="543"/>
      <c r="BK37" s="543"/>
      <c r="BL37" s="543"/>
      <c r="BM37" s="543"/>
      <c r="BN37" s="543"/>
      <c r="BO37" s="953"/>
      <c r="BP37" s="344">
        <f t="shared" ca="1" si="59"/>
        <v>8.64</v>
      </c>
      <c r="BQ37" s="342">
        <f t="shared" ca="1" si="14"/>
        <v>7.12</v>
      </c>
      <c r="BR37" s="342">
        <f t="shared" ca="1" si="15"/>
        <v>10.120000000000001</v>
      </c>
      <c r="BS37" s="342">
        <f t="shared" ca="1" si="16"/>
        <v>3.96</v>
      </c>
      <c r="BT37" s="353">
        <f t="shared" ca="1" si="44"/>
        <v>2.1472541793312949</v>
      </c>
      <c r="BU37" s="342">
        <f ca="1">INDEX(INDIRECT("CAM_WTPCore2_"&amp;$B37&amp;"_UnitValues"),1,MATCH("MEAN",LMH,0))</f>
        <v>9.4166450083520168</v>
      </c>
      <c r="BV37" s="342">
        <f ca="1">INDEX(INDIRECT("CAM_WTPCore2_"&amp;$B37&amp;"_UnitValues"),1,MATCH("LOW",LMH,0))</f>
        <v>8.4339025430467487</v>
      </c>
      <c r="BW37" s="342">
        <f ca="1">INDEX(INDIRECT("CAM_WTPCore2_"&amp;$B37&amp;"_UnitValues"),1,MATCH("HIGH",LMH,0))</f>
        <v>10.399387473657285</v>
      </c>
      <c r="BX37" s="342">
        <f ca="1">INDEX(INDIRECT("CAM_WTPCore2_LowBill_"&amp;$B37&amp;"_UnitValues"),1,MATCH("MEAN",LMH,0))</f>
        <v>9.504174351220037</v>
      </c>
      <c r="BY37" s="342" t="str">
        <f t="shared" si="20"/>
        <v/>
      </c>
      <c r="BZ37" s="342" t="str">
        <f t="shared" si="21"/>
        <v/>
      </c>
      <c r="CA37" s="342" t="str">
        <f t="shared" si="22"/>
        <v/>
      </c>
      <c r="CB37" s="342"/>
      <c r="CC37" s="342" t="str">
        <f t="shared" si="46"/>
        <v/>
      </c>
      <c r="CD37" s="344">
        <f t="shared" ca="1" si="47"/>
        <v>1.6568526033734807</v>
      </c>
      <c r="CE37" s="342"/>
      <c r="CF37" s="342">
        <f t="shared" ca="1" si="61"/>
        <v>7.1132863561434307</v>
      </c>
      <c r="CG37" s="342"/>
      <c r="CH37" s="342" t="str">
        <f t="shared" ca="1" si="48"/>
        <v/>
      </c>
      <c r="CI37" s="342" t="str">
        <f t="shared" ca="1" si="48"/>
        <v/>
      </c>
      <c r="CJ37" s="342" t="str">
        <f t="shared" ca="1" si="48"/>
        <v/>
      </c>
      <c r="CK37" s="342" t="str">
        <f t="shared" ca="1" si="48"/>
        <v/>
      </c>
      <c r="CL37" s="342" t="str">
        <f t="shared" ca="1" si="48"/>
        <v/>
      </c>
      <c r="CM37" s="342"/>
      <c r="CN37" s="342" t="str">
        <f t="shared" ca="1" si="49"/>
        <v/>
      </c>
      <c r="CO37" s="342" t="str">
        <f t="shared" ca="1" si="49"/>
        <v/>
      </c>
      <c r="CP37" s="342" t="str">
        <f t="shared" ca="1" si="49"/>
        <v/>
      </c>
      <c r="CQ37" s="342" t="str">
        <f t="shared" ca="1" si="49"/>
        <v/>
      </c>
      <c r="CR37" s="342" t="str">
        <f t="shared" ca="1" si="49"/>
        <v/>
      </c>
      <c r="CS37" s="342" t="str">
        <f t="shared" ca="1" si="49"/>
        <v/>
      </c>
      <c r="CT37" s="342" t="str">
        <f t="shared" ca="1" si="49"/>
        <v/>
      </c>
      <c r="CU37" s="342" t="str">
        <f t="shared" ca="1" si="49"/>
        <v/>
      </c>
      <c r="CV37" s="342" t="str">
        <f t="shared" ca="1" si="49"/>
        <v/>
      </c>
      <c r="CW37" s="342" t="str">
        <f t="shared" ca="1" si="62"/>
        <v/>
      </c>
      <c r="CX37" s="342" t="str">
        <f t="shared" ca="1" si="62"/>
        <v/>
      </c>
      <c r="CY37" s="342">
        <f t="shared" ca="1" si="62"/>
        <v>2.8239478830257903</v>
      </c>
      <c r="CZ37" s="342">
        <f t="shared" ca="1" si="62"/>
        <v>8.1632140038449599</v>
      </c>
      <c r="DA37" s="342" t="str">
        <f t="shared" ca="1" si="62"/>
        <v/>
      </c>
      <c r="DB37" s="342" t="str">
        <f t="shared" ca="1" si="62"/>
        <v/>
      </c>
      <c r="DC37" s="342" t="str">
        <f t="shared" ca="1" si="62"/>
        <v/>
      </c>
      <c r="DD37" s="342" t="str">
        <f t="shared" ca="1" si="62"/>
        <v/>
      </c>
      <c r="DE37" s="342" t="str">
        <f t="shared" ca="1" si="62"/>
        <v/>
      </c>
      <c r="DF37" s="342" t="str">
        <f t="shared" ca="1" si="62"/>
        <v/>
      </c>
      <c r="DG37" s="342" t="str">
        <f t="shared" ca="1" si="62"/>
        <v/>
      </c>
      <c r="DH37" s="342">
        <f t="shared" ca="1" si="62"/>
        <v>10.352697181559545</v>
      </c>
      <c r="DI37" s="342" t="str">
        <f t="shared" ca="1" si="62"/>
        <v/>
      </c>
      <c r="DJ37" s="342" t="str">
        <f t="shared" ca="1" si="62"/>
        <v/>
      </c>
      <c r="DK37" s="342"/>
      <c r="DL37" s="342"/>
      <c r="DM37" s="342"/>
      <c r="DN37" s="342"/>
      <c r="DO37" s="342"/>
      <c r="DP37" s="342"/>
      <c r="DQ37" s="342"/>
      <c r="DR37" s="342"/>
      <c r="DS37" s="342"/>
      <c r="DT37" s="342"/>
      <c r="DU37" s="342"/>
      <c r="DV37" s="342"/>
      <c r="DW37" s="342"/>
      <c r="DX37" s="342"/>
      <c r="DY37" s="342"/>
      <c r="DZ37" s="342"/>
      <c r="EA37" s="342"/>
      <c r="EB37" s="342"/>
      <c r="EC37" s="790">
        <f t="shared" ca="1" si="25"/>
        <v>7.1076022792989635</v>
      </c>
      <c r="ED37" s="543">
        <f t="shared" ca="1" si="50"/>
        <v>1.6568526033734807</v>
      </c>
      <c r="EE37" s="543">
        <f t="shared" ca="1" si="51"/>
        <v>10.399387473657285</v>
      </c>
      <c r="EF37" s="14">
        <f t="shared" ca="1" si="52"/>
        <v>2.7470025385585775</v>
      </c>
      <c r="EG37" s="543">
        <f t="shared" ca="1" si="53"/>
        <v>9.7410304347856211</v>
      </c>
      <c r="EH37" s="543">
        <f t="shared" ca="1" si="54"/>
        <v>4.360599740740386</v>
      </c>
      <c r="EI37" s="543">
        <f t="shared" ca="1" si="55"/>
        <v>2.6334281554866577</v>
      </c>
      <c r="EL37" s="645">
        <f t="shared" ca="1" si="26"/>
        <v>10.002981082879966</v>
      </c>
      <c r="EM37" s="798">
        <f t="shared" ca="1" si="27"/>
        <v>1.5797107289663705</v>
      </c>
      <c r="EN37" s="892">
        <f t="shared" ca="1" si="28"/>
        <v>25.440791358376607</v>
      </c>
      <c r="EO37" s="892">
        <f t="shared" ca="1" si="29"/>
        <v>3.2643647997490897</v>
      </c>
      <c r="EP37" s="892">
        <f t="shared" ca="1" si="30"/>
        <v>22.353229303277285</v>
      </c>
      <c r="EQ37" s="887">
        <f t="shared" ca="1" si="31"/>
        <v>6.7386162831308773</v>
      </c>
      <c r="ER37" s="795">
        <f t="shared" ca="1" si="32"/>
        <v>12.350248220397317</v>
      </c>
      <c r="ES37" s="887"/>
      <c r="ET37" s="887"/>
      <c r="EU37" s="887"/>
      <c r="EV37" s="887"/>
    </row>
    <row r="38" spans="1:152" x14ac:dyDescent="0.25">
      <c r="A38" s="9" t="s">
        <v>373</v>
      </c>
      <c r="B38" s="9" t="s">
        <v>402</v>
      </c>
      <c r="C38" s="236" t="s">
        <v>423</v>
      </c>
      <c r="D38" s="344">
        <f t="shared" ca="1" si="56"/>
        <v>0.44199999999999995</v>
      </c>
      <c r="E38" s="342">
        <f t="shared" ca="1" si="2"/>
        <v>0.4</v>
      </c>
      <c r="F38" s="342">
        <f t="shared" ca="1" si="3"/>
        <v>0.48</v>
      </c>
      <c r="G38" s="118">
        <f t="shared" ca="1" si="4"/>
        <v>0.40200000000000002</v>
      </c>
      <c r="H38" s="353">
        <f t="shared" ca="1" si="33"/>
        <v>0.24191753695291163</v>
      </c>
      <c r="I38" s="342"/>
      <c r="J38" s="342"/>
      <c r="K38" s="342"/>
      <c r="L38" s="342"/>
      <c r="M38" s="342" t="str">
        <f t="shared" si="7"/>
        <v/>
      </c>
      <c r="N38" s="342" t="str">
        <f t="shared" si="8"/>
        <v/>
      </c>
      <c r="O38" s="342" t="str">
        <f t="shared" si="9"/>
        <v/>
      </c>
      <c r="P38" s="342" t="str">
        <f t="shared" si="10"/>
        <v/>
      </c>
      <c r="Q38" s="344">
        <f t="shared" ca="1" si="36"/>
        <v>0.42288809069532801</v>
      </c>
      <c r="R38" s="344">
        <f t="shared" ca="1" si="37"/>
        <v>0.88494403629728691</v>
      </c>
      <c r="S38" s="342"/>
      <c r="T38" s="342"/>
      <c r="U38" s="962"/>
      <c r="V38" s="342" t="str">
        <f t="shared" ca="1" si="38"/>
        <v/>
      </c>
      <c r="W38" s="342" t="str">
        <f t="shared" ca="1" si="38"/>
        <v/>
      </c>
      <c r="X38" s="342" t="str">
        <f t="shared" ca="1" si="38"/>
        <v/>
      </c>
      <c r="Y38" s="342" t="str">
        <f t="shared" ca="1" si="38"/>
        <v/>
      </c>
      <c r="Z38" s="342" t="str">
        <f t="shared" ca="1" si="38"/>
        <v/>
      </c>
      <c r="AA38" s="342"/>
      <c r="AB38" s="342" t="str">
        <f t="shared" ca="1" si="39"/>
        <v/>
      </c>
      <c r="AC38" s="342" t="str">
        <f t="shared" ca="1" si="39"/>
        <v/>
      </c>
      <c r="AD38" s="342" t="str">
        <f t="shared" ca="1" si="39"/>
        <v/>
      </c>
      <c r="AE38" s="342" t="str">
        <f t="shared" ca="1" si="39"/>
        <v/>
      </c>
      <c r="AF38" s="342" t="str">
        <f t="shared" ca="1" si="39"/>
        <v/>
      </c>
      <c r="AG38" s="342" t="str">
        <f t="shared" ca="1" si="39"/>
        <v/>
      </c>
      <c r="AH38" s="342" t="str">
        <f t="shared" ca="1" si="39"/>
        <v/>
      </c>
      <c r="AI38" s="342" t="str">
        <f t="shared" ca="1" si="39"/>
        <v/>
      </c>
      <c r="AJ38" s="342" t="str">
        <f t="shared" ca="1" si="39"/>
        <v/>
      </c>
      <c r="AK38" s="342" t="str">
        <f t="shared" ca="1" si="12"/>
        <v/>
      </c>
      <c r="AL38" s="342" t="str">
        <f t="shared" ca="1" si="12"/>
        <v/>
      </c>
      <c r="AM38" s="342" t="str">
        <f t="shared" ca="1" si="12"/>
        <v/>
      </c>
      <c r="AN38" s="342" t="str">
        <f t="shared" ca="1" si="12"/>
        <v/>
      </c>
      <c r="AO38" s="342" t="str">
        <f t="shared" ca="1" si="12"/>
        <v/>
      </c>
      <c r="AP38" s="342" t="str">
        <f t="shared" ca="1" si="12"/>
        <v/>
      </c>
      <c r="AQ38" s="342" t="str">
        <f t="shared" ca="1" si="12"/>
        <v/>
      </c>
      <c r="AR38" s="342" t="str">
        <f t="shared" ca="1" si="12"/>
        <v/>
      </c>
      <c r="AS38" s="342" t="str">
        <f t="shared" ca="1" si="12"/>
        <v/>
      </c>
      <c r="AT38" s="342" t="str">
        <f t="shared" ca="1" si="12"/>
        <v/>
      </c>
      <c r="AU38" s="342" t="str">
        <f t="shared" ca="1" si="12"/>
        <v/>
      </c>
      <c r="AV38" s="342" t="str">
        <f t="shared" ca="1" si="12"/>
        <v/>
      </c>
      <c r="AW38" s="342" t="str">
        <f t="shared" ca="1" si="12"/>
        <v/>
      </c>
      <c r="AX38" s="342" t="str">
        <f t="shared" ca="1" si="12"/>
        <v/>
      </c>
      <c r="AY38" s="893">
        <f t="shared" ca="1" si="57"/>
        <v>0.44495840011230475</v>
      </c>
      <c r="AZ38" s="14">
        <f t="shared" ca="1" si="40"/>
        <v>0.24191753695291163</v>
      </c>
      <c r="BA38" s="543">
        <f t="shared" ca="1" si="41"/>
        <v>0.88494403629728691</v>
      </c>
      <c r="BB38" s="14">
        <f t="shared" ca="1" si="42"/>
        <v>0.28252570958479029</v>
      </c>
      <c r="BC38" s="543">
        <f t="shared" ca="1" si="43"/>
        <v>0.79694690906029053</v>
      </c>
      <c r="BD38" s="543">
        <f t="shared" ca="1" si="58"/>
        <v>0.16243269052751447</v>
      </c>
      <c r="BE38" s="543">
        <f t="shared" ca="1" si="13"/>
        <v>0.35198850894798578</v>
      </c>
      <c r="BF38" s="543"/>
      <c r="BG38" s="543"/>
      <c r="BH38" s="543"/>
      <c r="BI38" s="543"/>
      <c r="BJ38" s="543"/>
      <c r="BK38" s="543"/>
      <c r="BL38" s="543"/>
      <c r="BM38" s="543"/>
      <c r="BN38" s="543"/>
      <c r="BO38" s="953"/>
      <c r="BP38" s="344">
        <f t="shared" ca="1" si="59"/>
        <v>2.8979999999999997</v>
      </c>
      <c r="BQ38" s="342">
        <f t="shared" ca="1" si="14"/>
        <v>2.5300000000000002</v>
      </c>
      <c r="BR38" s="342">
        <f t="shared" ca="1" si="15"/>
        <v>3.27</v>
      </c>
      <c r="BS38" s="342">
        <f t="shared" ca="1" si="16"/>
        <v>3.8879999999999999</v>
      </c>
      <c r="BT38" s="353">
        <f t="shared" ca="1" si="44"/>
        <v>0.33191412726834152</v>
      </c>
      <c r="BU38" s="342"/>
      <c r="BV38" s="342"/>
      <c r="BW38" s="342"/>
      <c r="BX38" s="342"/>
      <c r="BY38" s="342" t="str">
        <f t="shared" si="20"/>
        <v/>
      </c>
      <c r="BZ38" s="342" t="str">
        <f t="shared" si="21"/>
        <v/>
      </c>
      <c r="CA38" s="342" t="str">
        <f t="shared" si="22"/>
        <v/>
      </c>
      <c r="CB38" s="342"/>
      <c r="CC38" s="344">
        <f t="shared" ca="1" si="46"/>
        <v>0.32879665437162053</v>
      </c>
      <c r="CD38" s="344">
        <f t="shared" ca="1" si="47"/>
        <v>0.647248916217667</v>
      </c>
      <c r="CE38" s="342"/>
      <c r="CF38" s="342"/>
      <c r="CG38" s="342"/>
      <c r="CH38" s="342" t="str">
        <f t="shared" ca="1" si="48"/>
        <v/>
      </c>
      <c r="CI38" s="342" t="str">
        <f t="shared" ca="1" si="48"/>
        <v/>
      </c>
      <c r="CJ38" s="342" t="str">
        <f t="shared" ca="1" si="48"/>
        <v/>
      </c>
      <c r="CK38" s="342" t="str">
        <f t="shared" ca="1" si="48"/>
        <v/>
      </c>
      <c r="CL38" s="342" t="str">
        <f t="shared" ca="1" si="48"/>
        <v/>
      </c>
      <c r="CM38" s="342"/>
      <c r="CN38" s="342" t="str">
        <f t="shared" ca="1" si="49"/>
        <v/>
      </c>
      <c r="CO38" s="342" t="str">
        <f t="shared" ca="1" si="49"/>
        <v/>
      </c>
      <c r="CP38" s="342" t="str">
        <f t="shared" ca="1" si="49"/>
        <v/>
      </c>
      <c r="CQ38" s="342" t="str">
        <f t="shared" ca="1" si="49"/>
        <v/>
      </c>
      <c r="CR38" s="342" t="str">
        <f t="shared" ca="1" si="49"/>
        <v/>
      </c>
      <c r="CS38" s="342" t="str">
        <f t="shared" ca="1" si="49"/>
        <v/>
      </c>
      <c r="CT38" s="342" t="str">
        <f t="shared" ca="1" si="49"/>
        <v/>
      </c>
      <c r="CU38" s="342" t="str">
        <f t="shared" ca="1" si="49"/>
        <v/>
      </c>
      <c r="CV38" s="342" t="str">
        <f t="shared" ca="1" si="49"/>
        <v/>
      </c>
      <c r="CW38" s="342" t="str">
        <f t="shared" ca="1" si="62"/>
        <v/>
      </c>
      <c r="CX38" s="342" t="str">
        <f t="shared" ca="1" si="62"/>
        <v/>
      </c>
      <c r="CY38" s="342" t="str">
        <f t="shared" ca="1" si="62"/>
        <v/>
      </c>
      <c r="CZ38" s="342" t="str">
        <f t="shared" ca="1" si="62"/>
        <v/>
      </c>
      <c r="DA38" s="342" t="str">
        <f t="shared" ca="1" si="62"/>
        <v/>
      </c>
      <c r="DB38" s="342" t="str">
        <f t="shared" ca="1" si="62"/>
        <v/>
      </c>
      <c r="DC38" s="342" t="str">
        <f t="shared" ca="1" si="62"/>
        <v/>
      </c>
      <c r="DD38" s="342" t="str">
        <f t="shared" ca="1" si="62"/>
        <v/>
      </c>
      <c r="DE38" s="342" t="str">
        <f t="shared" ca="1" si="62"/>
        <v/>
      </c>
      <c r="DF38" s="342" t="str">
        <f t="shared" ca="1" si="62"/>
        <v/>
      </c>
      <c r="DG38" s="342" t="str">
        <f t="shared" ca="1" si="62"/>
        <v/>
      </c>
      <c r="DH38" s="342" t="str">
        <f t="shared" ca="1" si="62"/>
        <v/>
      </c>
      <c r="DI38" s="342" t="str">
        <f t="shared" ca="1" si="62"/>
        <v/>
      </c>
      <c r="DJ38" s="342" t="str">
        <f t="shared" ca="1" si="62"/>
        <v/>
      </c>
      <c r="DK38" s="342"/>
      <c r="DL38" s="342"/>
      <c r="DM38" s="342"/>
      <c r="DN38" s="342"/>
      <c r="DO38" s="342"/>
      <c r="DP38" s="342"/>
      <c r="DQ38" s="342"/>
      <c r="DR38" s="342"/>
      <c r="DS38" s="342"/>
      <c r="DT38" s="342"/>
      <c r="DU38" s="342"/>
      <c r="DV38" s="342"/>
      <c r="DW38" s="342"/>
      <c r="DX38" s="342"/>
      <c r="DY38" s="342"/>
      <c r="DZ38" s="342"/>
      <c r="EA38" s="342"/>
      <c r="EB38" s="342"/>
      <c r="EC38" s="790">
        <f t="shared" ca="1" si="25"/>
        <v>1.6539842281407462</v>
      </c>
      <c r="ED38" s="543">
        <f t="shared" ca="1" si="50"/>
        <v>0.32879665437162053</v>
      </c>
      <c r="EE38" s="543">
        <f t="shared" ca="1" si="51"/>
        <v>3.8879999999999999</v>
      </c>
      <c r="EF38" s="14">
        <f t="shared" ca="1" si="52"/>
        <v>0.59383416912544562</v>
      </c>
      <c r="EG38" s="543">
        <f t="shared" ca="1" si="53"/>
        <v>3.4411968456281494</v>
      </c>
      <c r="EH38" s="543">
        <f t="shared" ca="1" si="54"/>
        <v>1.0601500590153006</v>
      </c>
      <c r="EI38" s="543">
        <f t="shared" ca="1" si="55"/>
        <v>1.7872126174874032</v>
      </c>
      <c r="EL38" s="645">
        <f t="shared" ca="1" si="26"/>
        <v>0.67685061602991214</v>
      </c>
      <c r="EM38" s="798">
        <f t="shared" ca="1" si="27"/>
        <v>0.25858102799515303</v>
      </c>
      <c r="EN38" s="892">
        <f t="shared" ca="1" si="28"/>
        <v>1.4609328082519801</v>
      </c>
      <c r="EO38" s="892">
        <f t="shared" ca="1" si="29"/>
        <v>0.34223494560210482</v>
      </c>
      <c r="EP38" s="892">
        <f t="shared" ca="1" si="30"/>
        <v>1.3041163698075666</v>
      </c>
      <c r="EQ38" s="887">
        <f t="shared" ca="1" si="31"/>
        <v>0.33461567042780727</v>
      </c>
      <c r="ER38" s="795">
        <f t="shared" ca="1" si="32"/>
        <v>0.62726575377765437</v>
      </c>
      <c r="ES38" s="887"/>
      <c r="ET38" s="887"/>
      <c r="EU38" s="887"/>
      <c r="EV38" s="887"/>
    </row>
    <row r="39" spans="1:152" x14ac:dyDescent="0.25">
      <c r="A39" s="258" t="s">
        <v>88</v>
      </c>
      <c r="B39" s="9" t="s">
        <v>315</v>
      </c>
      <c r="C39" s="236" t="s">
        <v>397</v>
      </c>
      <c r="D39" s="342">
        <f t="shared" ca="1" si="56"/>
        <v>10488</v>
      </c>
      <c r="E39" s="342">
        <f t="shared" ca="1" si="2"/>
        <v>9384</v>
      </c>
      <c r="F39" s="342">
        <f t="shared" ca="1" si="3"/>
        <v>11776</v>
      </c>
      <c r="G39" s="342">
        <f t="shared" ca="1" si="4"/>
        <v>11224</v>
      </c>
      <c r="H39" s="343">
        <f t="shared" ca="1" si="33"/>
        <v>23814.188973744589</v>
      </c>
      <c r="I39" s="342">
        <f ca="1">INDEX(INDIRECT("SSW_WTPCore2_"&amp;$B39&amp;"_UnitValues"),1,MATCH("MEAN",LMH,0))</f>
        <v>4903.6066795211782</v>
      </c>
      <c r="J39" s="342">
        <f ca="1">INDEX(INDIRECT("SSW_WTPCore2_"&amp;$B39&amp;"_UnitValues"),1,MATCH("LOW",LMH,0))</f>
        <v>4435.9921572816347</v>
      </c>
      <c r="K39" s="342">
        <f ca="1">INDEX(INDIRECT("SSW_WTPCore2_"&amp;$B39&amp;"_UnitValues"),1,MATCH("HIGH",LMH,0))</f>
        <v>5371.2212017607208</v>
      </c>
      <c r="L39" s="342">
        <f ca="1">INDEX(INDIRECT("SSW_WTPCore2_LowBill_"&amp;$B39&amp;"_UnitValues"),1,MATCH("MEAN",LMH,0))</f>
        <v>3790.594513526878</v>
      </c>
      <c r="M39" s="342">
        <f t="shared" ca="1" si="7"/>
        <v>8962.4547475690797</v>
      </c>
      <c r="N39" s="342" t="str">
        <f t="shared" si="8"/>
        <v/>
      </c>
      <c r="O39" s="342" t="str">
        <f t="shared" si="9"/>
        <v/>
      </c>
      <c r="P39" s="342" t="str">
        <f t="shared" si="10"/>
        <v/>
      </c>
      <c r="Q39" s="342" t="str">
        <f t="shared" si="36"/>
        <v/>
      </c>
      <c r="R39" s="342" t="str">
        <f t="shared" si="37"/>
        <v/>
      </c>
      <c r="S39" s="342"/>
      <c r="T39" s="342">
        <f ca="1">AVERAGE($AK39:$AX39)</f>
        <v>13235.3210147993</v>
      </c>
      <c r="U39" s="962">
        <f ca="1">INDEX(SSW_PC_Slider_output_WTP,MATCH($A39,PC_Slider_WTP_options,0))</f>
        <v>1395.4108944129</v>
      </c>
      <c r="V39" s="342" t="str">
        <f t="shared" ca="1" si="38"/>
        <v/>
      </c>
      <c r="W39" s="342" t="str">
        <f t="shared" ca="1" si="38"/>
        <v/>
      </c>
      <c r="X39" s="342" t="str">
        <f t="shared" ca="1" si="38"/>
        <v/>
      </c>
      <c r="Y39" s="342" t="str">
        <f t="shared" ca="1" si="38"/>
        <v/>
      </c>
      <c r="Z39" s="342" t="str">
        <f t="shared" ca="1" si="38"/>
        <v/>
      </c>
      <c r="AA39" s="342"/>
      <c r="AB39" s="342" t="str">
        <f t="shared" ca="1" si="39"/>
        <v/>
      </c>
      <c r="AC39" s="342" t="str">
        <f t="shared" ca="1" si="39"/>
        <v/>
      </c>
      <c r="AD39" s="342" t="str">
        <f t="shared" ca="1" si="39"/>
        <v/>
      </c>
      <c r="AE39" s="342" t="str">
        <f t="shared" ca="1" si="39"/>
        <v/>
      </c>
      <c r="AF39" s="342" t="str">
        <f t="shared" ca="1" si="39"/>
        <v/>
      </c>
      <c r="AG39" s="342" t="str">
        <f t="shared" ca="1" si="39"/>
        <v/>
      </c>
      <c r="AH39" s="342" t="str">
        <f t="shared" ca="1" si="39"/>
        <v/>
      </c>
      <c r="AI39" s="342" t="str">
        <f t="shared" ca="1" si="39"/>
        <v/>
      </c>
      <c r="AJ39" s="342" t="str">
        <f t="shared" ca="1" si="39"/>
        <v/>
      </c>
      <c r="AK39" s="342" t="str">
        <f t="shared" ref="AK39:AO41" ca="1" si="63">IFERROR(INDEX(INDIRECT("PR19_Comp"&amp;AK$23&amp;"_UnitValues"),MATCH($B39,INDIRECT("PR19_Comp"&amp;AK$23&amp;"_WTPCore_Options"),0)),"")</f>
        <v/>
      </c>
      <c r="AL39" s="342" t="str">
        <f t="shared" ca="1" si="63"/>
        <v/>
      </c>
      <c r="AM39" s="342">
        <f t="shared" ca="1" si="63"/>
        <v>9847.4464310717958</v>
      </c>
      <c r="AN39" s="342">
        <f t="shared" ca="1" si="63"/>
        <v>7014.064881434565</v>
      </c>
      <c r="AO39" s="342">
        <f t="shared" ca="1" si="63"/>
        <v>1745.6821195458886</v>
      </c>
      <c r="AP39" s="342"/>
      <c r="AQ39" s="342" t="str">
        <f t="shared" ref="AQ39:AX41" ca="1" si="64">IFERROR(INDEX(INDIRECT("PR19_Comp"&amp;AQ$23&amp;"_UnitValues"),MATCH($B39,INDIRECT("PR19_Comp"&amp;AQ$23&amp;"_WTPCore_Options"),0)),"")</f>
        <v/>
      </c>
      <c r="AR39" s="342">
        <f t="shared" ca="1" si="64"/>
        <v>34334.090627144949</v>
      </c>
      <c r="AS39" s="342" t="str">
        <f t="shared" ca="1" si="64"/>
        <v/>
      </c>
      <c r="AT39" s="342" t="str">
        <f t="shared" ca="1" si="64"/>
        <v/>
      </c>
      <c r="AU39" s="342" t="str">
        <f t="shared" ca="1" si="64"/>
        <v/>
      </c>
      <c r="AV39" s="342" t="str">
        <f t="shared" ca="1" si="64"/>
        <v/>
      </c>
      <c r="AW39" s="342" t="str">
        <f t="shared" ca="1" si="64"/>
        <v/>
      </c>
      <c r="AX39" s="342" t="str">
        <f t="shared" ca="1" si="64"/>
        <v/>
      </c>
      <c r="AY39" s="645">
        <f t="shared" ca="1" si="57"/>
        <v>9584.5287297691484</v>
      </c>
      <c r="AZ39" s="543">
        <f t="shared" ca="1" si="40"/>
        <v>1395.4108944129</v>
      </c>
      <c r="BA39" s="543">
        <f t="shared" ca="1" si="41"/>
        <v>23814.188973744589</v>
      </c>
      <c r="BB39" s="14">
        <f t="shared" ca="1" si="42"/>
        <v>3033.23446148415</v>
      </c>
      <c r="BC39" s="543">
        <f t="shared" ca="1" si="43"/>
        <v>20968.256924949503</v>
      </c>
      <c r="BD39" s="543">
        <f t="shared" ca="1" si="58"/>
        <v>6551.2942682849989</v>
      </c>
      <c r="BE39" s="543">
        <f t="shared" ca="1" si="13"/>
        <v>11383.728195180354</v>
      </c>
      <c r="BF39" s="543"/>
      <c r="BG39" s="543"/>
      <c r="BH39" s="543"/>
      <c r="BI39" s="543"/>
      <c r="BJ39" s="543"/>
      <c r="BK39" s="543"/>
      <c r="BL39" s="543"/>
      <c r="BM39" s="543"/>
      <c r="BN39" s="543"/>
      <c r="BO39" s="953"/>
      <c r="BP39" s="342">
        <f t="shared" ca="1" si="59"/>
        <v>14803.000000000004</v>
      </c>
      <c r="BQ39" s="342">
        <f t="shared" ca="1" si="14"/>
        <v>12182.999999999998</v>
      </c>
      <c r="BR39" s="342">
        <f t="shared" ca="1" si="15"/>
        <v>17423</v>
      </c>
      <c r="BS39" s="342">
        <f t="shared" ca="1" si="16"/>
        <v>6943</v>
      </c>
      <c r="BT39" s="343">
        <f t="shared" ca="1" si="44"/>
        <v>35231.798622039343</v>
      </c>
      <c r="BU39" s="342">
        <f ca="1">INDEX(INDIRECT("CAM_WTPCore2_"&amp;$B39&amp;"_UnitValues"),1,MATCH("MEAN",LMH,0))</f>
        <v>2727.836734528471</v>
      </c>
      <c r="BV39" s="342">
        <f ca="1">INDEX(INDIRECT("CAM_WTPCore2_"&amp;$B39&amp;"_UnitValues"),1,MATCH("LOW",LMH,0))</f>
        <v>2442.4083700184879</v>
      </c>
      <c r="BW39" s="342">
        <f ca="1">INDEX(INDIRECT("CAM_WTPCore2_"&amp;$B39&amp;"_UnitValues"),1,MATCH("HIGH",LMH,0))</f>
        <v>3013.2650990384541</v>
      </c>
      <c r="BX39" s="342">
        <f ca="1">INDEX(INDIRECT("CAM_WTPCore2_LowBill_"&amp;$B39&amp;"_UnitValues"),1,MATCH("MEAN",LMH,0))</f>
        <v>3770.1933406620033</v>
      </c>
      <c r="BY39" s="342">
        <f t="shared" ca="1" si="20"/>
        <v>14171.071943964789</v>
      </c>
      <c r="BZ39" s="342" t="str">
        <f t="shared" si="21"/>
        <v/>
      </c>
      <c r="CA39" s="342" t="str">
        <f t="shared" si="22"/>
        <v/>
      </c>
      <c r="CB39" s="342"/>
      <c r="CC39" s="342" t="str">
        <f t="shared" si="46"/>
        <v/>
      </c>
      <c r="CD39" s="342" t="str">
        <f t="shared" si="47"/>
        <v/>
      </c>
      <c r="CE39" s="342"/>
      <c r="CF39" s="342">
        <f t="shared" ca="1" si="61"/>
        <v>8718.2717971501042</v>
      </c>
      <c r="CG39" s="342">
        <f ca="1">INDEX(CAM_PC_Slider_output_WTP,MATCH($A39,PC_Slider_WTP_options,0))</f>
        <v>1349.8047682693043</v>
      </c>
      <c r="CH39" s="342" t="str">
        <f t="shared" ca="1" si="48"/>
        <v/>
      </c>
      <c r="CI39" s="342" t="str">
        <f t="shared" ca="1" si="48"/>
        <v/>
      </c>
      <c r="CJ39" s="342" t="str">
        <f t="shared" ca="1" si="48"/>
        <v/>
      </c>
      <c r="CK39" s="342" t="str">
        <f t="shared" ca="1" si="48"/>
        <v/>
      </c>
      <c r="CL39" s="342" t="str">
        <f t="shared" ca="1" si="48"/>
        <v/>
      </c>
      <c r="CM39" s="342"/>
      <c r="CN39" s="342" t="str">
        <f t="shared" ca="1" si="49"/>
        <v/>
      </c>
      <c r="CO39" s="342" t="str">
        <f t="shared" ca="1" si="49"/>
        <v/>
      </c>
      <c r="CP39" s="342" t="str">
        <f t="shared" ca="1" si="49"/>
        <v/>
      </c>
      <c r="CQ39" s="342" t="str">
        <f t="shared" ca="1" si="49"/>
        <v/>
      </c>
      <c r="CR39" s="342" t="str">
        <f t="shared" ca="1" si="49"/>
        <v/>
      </c>
      <c r="CS39" s="342" t="str">
        <f t="shared" ca="1" si="49"/>
        <v/>
      </c>
      <c r="CT39" s="342" t="str">
        <f t="shared" ca="1" si="49"/>
        <v/>
      </c>
      <c r="CU39" s="342" t="str">
        <f t="shared" ca="1" si="49"/>
        <v/>
      </c>
      <c r="CV39" s="342" t="str">
        <f t="shared" ca="1" si="49"/>
        <v/>
      </c>
      <c r="CW39" s="342" t="str">
        <f t="shared" ca="1" si="62"/>
        <v/>
      </c>
      <c r="CX39" s="342" t="str">
        <f t="shared" ca="1" si="62"/>
        <v/>
      </c>
      <c r="CY39" s="342">
        <f t="shared" ca="1" si="62"/>
        <v>16356.306138485375</v>
      </c>
      <c r="CZ39" s="342">
        <f t="shared" ca="1" si="62"/>
        <v>13647.727640999652</v>
      </c>
      <c r="DA39" s="342">
        <f t="shared" ca="1" si="62"/>
        <v>3473.8135500658959</v>
      </c>
      <c r="DB39" s="342">
        <f t="shared" ca="1" si="62"/>
        <v>-6.2166087711093873E-2</v>
      </c>
      <c r="DC39" s="342" t="str">
        <f t="shared" ca="1" si="62"/>
        <v/>
      </c>
      <c r="DD39" s="342">
        <f t="shared" ca="1" si="62"/>
        <v>10113.573822287304</v>
      </c>
      <c r="DE39" s="342" t="str">
        <f t="shared" ca="1" si="62"/>
        <v/>
      </c>
      <c r="DF39" s="342" t="str">
        <f t="shared" ca="1" si="62"/>
        <v/>
      </c>
      <c r="DG39" s="342" t="str">
        <f t="shared" ca="1" si="62"/>
        <v/>
      </c>
      <c r="DH39" s="342" t="str">
        <f t="shared" ca="1" si="62"/>
        <v/>
      </c>
      <c r="DI39" s="342" t="str">
        <f t="shared" ca="1" si="62"/>
        <v/>
      </c>
      <c r="DJ39" s="342" t="str">
        <f t="shared" ca="1" si="62"/>
        <v/>
      </c>
      <c r="DK39" s="342"/>
      <c r="DL39" s="342"/>
      <c r="DM39" s="342"/>
      <c r="DN39" s="342"/>
      <c r="DO39" s="342"/>
      <c r="DP39" s="342"/>
      <c r="DQ39" s="342"/>
      <c r="DR39" s="342"/>
      <c r="DS39" s="342"/>
      <c r="DT39" s="342"/>
      <c r="DU39" s="342"/>
      <c r="DV39" s="342"/>
      <c r="DW39" s="342"/>
      <c r="DX39" s="342"/>
      <c r="DY39" s="342"/>
      <c r="DZ39" s="342"/>
      <c r="EA39" s="342"/>
      <c r="EB39" s="342"/>
      <c r="EC39" s="790">
        <f t="shared" ca="1" si="25"/>
        <v>11869.706961417576</v>
      </c>
      <c r="ED39" s="543">
        <f t="shared" ca="1" si="50"/>
        <v>1349.8047682693043</v>
      </c>
      <c r="EE39" s="543">
        <f t="shared" ca="1" si="51"/>
        <v>35231.798622039343</v>
      </c>
      <c r="EF39" s="14">
        <f t="shared" ca="1" si="52"/>
        <v>3453.7852068989587</v>
      </c>
      <c r="EG39" s="543">
        <f t="shared" ca="1" si="53"/>
        <v>30559.380289914992</v>
      </c>
      <c r="EH39" s="543">
        <f t="shared" ca="1" si="54"/>
        <v>8415.9217545186184</v>
      </c>
      <c r="EI39" s="543">
        <f t="shared" ca="1" si="55"/>
        <v>18689.673328497418</v>
      </c>
      <c r="EL39" s="645">
        <f t="shared" ca="1" si="26"/>
        <v>10022.827922076534</v>
      </c>
      <c r="EM39" s="798">
        <f t="shared" ca="1" si="27"/>
        <v>1386.6635993546115</v>
      </c>
      <c r="EN39" s="892">
        <f t="shared" ca="1" si="28"/>
        <v>26004.096534398486</v>
      </c>
      <c r="EO39" s="892">
        <f t="shared" ca="1" si="29"/>
        <v>3113.896463898996</v>
      </c>
      <c r="EP39" s="892">
        <f t="shared" ca="1" si="30"/>
        <v>22807.842811934101</v>
      </c>
      <c r="EQ39" s="887">
        <f t="shared" ca="1" si="31"/>
        <v>6908.9314581775388</v>
      </c>
      <c r="ER39" s="795">
        <f t="shared" ca="1" si="32"/>
        <v>12785.014889857564</v>
      </c>
      <c r="ES39" s="887"/>
      <c r="ET39" s="887"/>
      <c r="EU39" s="887"/>
      <c r="EV39" s="887"/>
    </row>
    <row r="40" spans="1:152" x14ac:dyDescent="0.25">
      <c r="A40" s="258" t="s">
        <v>89</v>
      </c>
      <c r="B40" s="9" t="s">
        <v>320</v>
      </c>
      <c r="C40" s="236" t="s">
        <v>397</v>
      </c>
      <c r="D40" s="342">
        <f t="shared" ca="1" si="56"/>
        <v>1435.2</v>
      </c>
      <c r="E40" s="342">
        <f t="shared" ca="1" si="2"/>
        <v>1242</v>
      </c>
      <c r="F40" s="342">
        <f t="shared" ca="1" si="3"/>
        <v>1600.8000000000002</v>
      </c>
      <c r="G40" s="342">
        <f t="shared" ca="1" si="4"/>
        <v>1435.2</v>
      </c>
      <c r="H40" s="343">
        <f t="shared" ca="1" si="33"/>
        <v>6055.5822621002308</v>
      </c>
      <c r="I40" s="342">
        <f ca="1">INDEX(INDIRECT("SSW_WTPCore2_"&amp;$B40&amp;"_UnitValues"),1,MATCH("MEAN",LMH,0))</f>
        <v>7224.0770803574251</v>
      </c>
      <c r="J40" s="342">
        <f ca="1">INDEX(INDIRECT("SSW_WTPCore2_"&amp;$B40&amp;"_UnitValues"),1,MATCH("LOW",LMH,0))</f>
        <v>6538.7488029202768</v>
      </c>
      <c r="K40" s="342">
        <f ca="1">INDEX(INDIRECT("SSW_WTPCore2_"&amp;$B40&amp;"_UnitValues"),1,MATCH("HIGH",LMH,0))</f>
        <v>7909.4053577945733</v>
      </c>
      <c r="L40" s="342">
        <f ca="1">INDEX(INDIRECT("SSW_WTPCore2_LowBill_"&amp;$B40&amp;"_UnitValues"),1,MATCH("MEAN",LMH,0))</f>
        <v>4308.0266952067414</v>
      </c>
      <c r="M40" s="342" t="str">
        <f t="shared" si="7"/>
        <v/>
      </c>
      <c r="N40" s="342" t="str">
        <f t="shared" si="8"/>
        <v/>
      </c>
      <c r="O40" s="342" t="str">
        <f t="shared" si="9"/>
        <v/>
      </c>
      <c r="P40" s="342" t="str">
        <f t="shared" si="10"/>
        <v/>
      </c>
      <c r="Q40" s="342" t="str">
        <f t="shared" si="36"/>
        <v/>
      </c>
      <c r="R40" s="342" t="str">
        <f t="shared" si="37"/>
        <v/>
      </c>
      <c r="S40" s="342"/>
      <c r="T40" s="342"/>
      <c r="U40" s="962"/>
      <c r="V40" s="342" t="str">
        <f t="shared" ca="1" si="38"/>
        <v/>
      </c>
      <c r="W40" s="342" t="str">
        <f t="shared" ca="1" si="38"/>
        <v/>
      </c>
      <c r="X40" s="342" t="str">
        <f t="shared" ca="1" si="38"/>
        <v/>
      </c>
      <c r="Y40" s="342" t="str">
        <f t="shared" ca="1" si="38"/>
        <v/>
      </c>
      <c r="Z40" s="342" t="str">
        <f t="shared" ca="1" si="38"/>
        <v/>
      </c>
      <c r="AA40" s="342"/>
      <c r="AB40" s="342" t="str">
        <f t="shared" ca="1" si="39"/>
        <v/>
      </c>
      <c r="AC40" s="342" t="str">
        <f t="shared" ca="1" si="39"/>
        <v/>
      </c>
      <c r="AD40" s="342" t="str">
        <f t="shared" ca="1" si="39"/>
        <v/>
      </c>
      <c r="AE40" s="342" t="str">
        <f t="shared" ca="1" si="39"/>
        <v/>
      </c>
      <c r="AF40" s="342" t="str">
        <f t="shared" ca="1" si="39"/>
        <v/>
      </c>
      <c r="AG40" s="342" t="str">
        <f t="shared" ca="1" si="39"/>
        <v/>
      </c>
      <c r="AH40" s="342" t="str">
        <f t="shared" ca="1" si="39"/>
        <v/>
      </c>
      <c r="AI40" s="342" t="str">
        <f t="shared" ca="1" si="39"/>
        <v/>
      </c>
      <c r="AJ40" s="342" t="str">
        <f t="shared" ca="1" si="39"/>
        <v/>
      </c>
      <c r="AK40" s="342" t="str">
        <f t="shared" ca="1" si="63"/>
        <v/>
      </c>
      <c r="AL40" s="342" t="str">
        <f t="shared" ca="1" si="63"/>
        <v/>
      </c>
      <c r="AM40" s="342" t="str">
        <f t="shared" ca="1" si="63"/>
        <v/>
      </c>
      <c r="AN40" s="342" t="str">
        <f t="shared" ca="1" si="63"/>
        <v/>
      </c>
      <c r="AO40" s="342" t="str">
        <f t="shared" ca="1" si="63"/>
        <v/>
      </c>
      <c r="AP40" s="342" t="str">
        <f ca="1">IFERROR(INDEX(INDIRECT("PR19_Comp"&amp;AP$23&amp;"_UnitValues"),MATCH($B40,INDIRECT("PR19_Comp"&amp;AP$23&amp;"_WTPCore_Options"),0)),"")</f>
        <v/>
      </c>
      <c r="AQ40" s="342" t="str">
        <f t="shared" ca="1" si="64"/>
        <v/>
      </c>
      <c r="AR40" s="342" t="str">
        <f t="shared" ca="1" si="64"/>
        <v/>
      </c>
      <c r="AS40" s="342" t="str">
        <f t="shared" ca="1" si="64"/>
        <v/>
      </c>
      <c r="AT40" s="342" t="str">
        <f t="shared" ca="1" si="64"/>
        <v/>
      </c>
      <c r="AU40" s="342" t="str">
        <f t="shared" ca="1" si="64"/>
        <v/>
      </c>
      <c r="AV40" s="342" t="str">
        <f t="shared" ca="1" si="64"/>
        <v/>
      </c>
      <c r="AW40" s="342" t="str">
        <f t="shared" ca="1" si="64"/>
        <v/>
      </c>
      <c r="AX40" s="342" t="str">
        <f t="shared" ca="1" si="64"/>
        <v/>
      </c>
      <c r="AY40" s="645">
        <f t="shared" ca="1" si="57"/>
        <v>4674.8272845630163</v>
      </c>
      <c r="AZ40" s="543">
        <f t="shared" ca="1" si="40"/>
        <v>1242</v>
      </c>
      <c r="BA40" s="543">
        <f t="shared" ca="1" si="41"/>
        <v>7909.4053577945733</v>
      </c>
      <c r="BB40" s="14">
        <f t="shared" ca="1" si="42"/>
        <v>1928.5654569126032</v>
      </c>
      <c r="BC40" s="543">
        <f t="shared" ca="1" si="43"/>
        <v>7262.4897431482623</v>
      </c>
      <c r="BD40" s="543">
        <f t="shared" ca="1" si="58"/>
        <v>2746.2618276504131</v>
      </c>
      <c r="BE40" s="543">
        <f t="shared" ca="1" si="13"/>
        <v>2587.662458585246</v>
      </c>
      <c r="BF40" s="543"/>
      <c r="BG40" s="543"/>
      <c r="BH40" s="543"/>
      <c r="BI40" s="543"/>
      <c r="BJ40" s="543"/>
      <c r="BK40" s="543"/>
      <c r="BL40" s="543"/>
      <c r="BM40" s="543"/>
      <c r="BN40" s="543"/>
      <c r="BO40" s="953"/>
      <c r="BP40" s="342">
        <f t="shared" ca="1" si="59"/>
        <v>1912.6</v>
      </c>
      <c r="BQ40" s="342">
        <f t="shared" ca="1" si="14"/>
        <v>1572</v>
      </c>
      <c r="BR40" s="342">
        <f t="shared" ca="1" si="15"/>
        <v>2240.1</v>
      </c>
      <c r="BS40" s="342">
        <f t="shared" ca="1" si="16"/>
        <v>668.1</v>
      </c>
      <c r="BT40" s="343">
        <f t="shared" ca="1" si="44"/>
        <v>3332.9416128009325</v>
      </c>
      <c r="BU40" s="342">
        <f ca="1">INDEX(INDIRECT("CAM_WTPCore2_"&amp;$B40&amp;"_UnitValues"),1,MATCH("MEAN",LMH,0))</f>
        <v>1749.1316971465267</v>
      </c>
      <c r="BV40" s="342">
        <f ca="1">INDEX(INDIRECT("CAM_WTPCore2_"&amp;$B40&amp;"_UnitValues"),1,MATCH("LOW",LMH,0))</f>
        <v>1566.3960676765239</v>
      </c>
      <c r="BW40" s="342">
        <f ca="1">INDEX(INDIRECT("CAM_WTPCore2_"&amp;$B40&amp;"_UnitValues"),1,MATCH("HIGH",LMH,0))</f>
        <v>1931.8673266165297</v>
      </c>
      <c r="BX40" s="342">
        <f ca="1">INDEX(INDIRECT("CAM_WTPCore2_LowBill_"&amp;$B40&amp;"_UnitValues"),1,MATCH("MEAN",LMH,0))</f>
        <v>1474.5976723446449</v>
      </c>
      <c r="BY40" s="342" t="str">
        <f t="shared" si="20"/>
        <v/>
      </c>
      <c r="BZ40" s="342" t="str">
        <f t="shared" si="21"/>
        <v/>
      </c>
      <c r="CA40" s="342" t="str">
        <f t="shared" si="22"/>
        <v/>
      </c>
      <c r="CB40" s="342"/>
      <c r="CC40" s="342" t="str">
        <f t="shared" si="46"/>
        <v/>
      </c>
      <c r="CD40" s="342" t="str">
        <f t="shared" si="47"/>
        <v/>
      </c>
      <c r="CE40" s="342"/>
      <c r="CF40" s="342"/>
      <c r="CG40" s="342"/>
      <c r="CH40" s="342" t="str">
        <f t="shared" ca="1" si="48"/>
        <v/>
      </c>
      <c r="CI40" s="342" t="str">
        <f t="shared" ca="1" si="48"/>
        <v/>
      </c>
      <c r="CJ40" s="342" t="str">
        <f t="shared" ca="1" si="48"/>
        <v/>
      </c>
      <c r="CK40" s="342" t="str">
        <f t="shared" ca="1" si="48"/>
        <v/>
      </c>
      <c r="CL40" s="342" t="str">
        <f t="shared" ca="1" si="48"/>
        <v/>
      </c>
      <c r="CM40" s="342"/>
      <c r="CN40" s="342" t="str">
        <f t="shared" ca="1" si="49"/>
        <v/>
      </c>
      <c r="CO40" s="342" t="str">
        <f t="shared" ca="1" si="49"/>
        <v/>
      </c>
      <c r="CP40" s="342" t="str">
        <f t="shared" ca="1" si="49"/>
        <v/>
      </c>
      <c r="CQ40" s="342" t="str">
        <f t="shared" ca="1" si="49"/>
        <v/>
      </c>
      <c r="CR40" s="342" t="str">
        <f t="shared" ca="1" si="49"/>
        <v/>
      </c>
      <c r="CS40" s="342" t="str">
        <f t="shared" ca="1" si="49"/>
        <v/>
      </c>
      <c r="CT40" s="342" t="str">
        <f t="shared" ca="1" si="49"/>
        <v/>
      </c>
      <c r="CU40" s="342" t="str">
        <f t="shared" ca="1" si="49"/>
        <v/>
      </c>
      <c r="CV40" s="342" t="str">
        <f t="shared" ca="1" si="49"/>
        <v/>
      </c>
      <c r="CW40" s="342" t="str">
        <f t="shared" ca="1" si="62"/>
        <v/>
      </c>
      <c r="CX40" s="342" t="str">
        <f t="shared" ca="1" si="62"/>
        <v/>
      </c>
      <c r="CY40" s="342" t="str">
        <f t="shared" ca="1" si="62"/>
        <v/>
      </c>
      <c r="CZ40" s="342" t="str">
        <f t="shared" ca="1" si="62"/>
        <v/>
      </c>
      <c r="DA40" s="342" t="str">
        <f t="shared" ca="1" si="62"/>
        <v/>
      </c>
      <c r="DB40" s="342" t="str">
        <f t="shared" ca="1" si="62"/>
        <v/>
      </c>
      <c r="DC40" s="342" t="str">
        <f t="shared" ca="1" si="62"/>
        <v/>
      </c>
      <c r="DD40" s="342" t="str">
        <f t="shared" ca="1" si="62"/>
        <v/>
      </c>
      <c r="DE40" s="342" t="str">
        <f t="shared" ca="1" si="62"/>
        <v/>
      </c>
      <c r="DF40" s="342" t="str">
        <f t="shared" ca="1" si="62"/>
        <v/>
      </c>
      <c r="DG40" s="342" t="str">
        <f t="shared" ca="1" si="62"/>
        <v/>
      </c>
      <c r="DH40" s="342" t="str">
        <f t="shared" ca="1" si="62"/>
        <v/>
      </c>
      <c r="DI40" s="342" t="str">
        <f t="shared" ca="1" si="62"/>
        <v/>
      </c>
      <c r="DJ40" s="342" t="str">
        <f t="shared" ca="1" si="62"/>
        <v/>
      </c>
      <c r="DK40" s="342"/>
      <c r="DL40" s="342"/>
      <c r="DM40" s="342"/>
      <c r="DN40" s="342"/>
      <c r="DO40" s="342"/>
      <c r="DP40" s="342"/>
      <c r="DQ40" s="342"/>
      <c r="DR40" s="342"/>
      <c r="DS40" s="342"/>
      <c r="DT40" s="342"/>
      <c r="DU40" s="342"/>
      <c r="DV40" s="342"/>
      <c r="DW40" s="342"/>
      <c r="DX40" s="342"/>
      <c r="DY40" s="342"/>
      <c r="DZ40" s="342"/>
      <c r="EA40" s="342"/>
      <c r="EB40" s="342"/>
      <c r="EC40" s="790">
        <f t="shared" ca="1" si="25"/>
        <v>2131.2810014187971</v>
      </c>
      <c r="ED40" s="543">
        <f t="shared" ca="1" si="50"/>
        <v>668.1</v>
      </c>
      <c r="EE40" s="543">
        <f t="shared" ca="1" si="51"/>
        <v>3332.9416128009325</v>
      </c>
      <c r="EF40" s="14">
        <f t="shared" ca="1" si="52"/>
        <v>960.73620028375944</v>
      </c>
      <c r="EG40" s="543">
        <f t="shared" ca="1" si="53"/>
        <v>3092.6094905245054</v>
      </c>
      <c r="EH40" s="543">
        <f t="shared" ca="1" si="54"/>
        <v>1170.5448011350377</v>
      </c>
      <c r="EI40" s="543">
        <f t="shared" ca="1" si="55"/>
        <v>961.32848910570829</v>
      </c>
      <c r="EL40" s="645">
        <f t="shared" ca="1" si="26"/>
        <v>4186.9728730082688</v>
      </c>
      <c r="EM40" s="798">
        <f t="shared" ca="1" si="27"/>
        <v>1131.925475841874</v>
      </c>
      <c r="EN40" s="892">
        <f t="shared" ca="1" si="28"/>
        <v>7031.6355911852515</v>
      </c>
      <c r="EO40" s="892">
        <f t="shared" ca="1" si="29"/>
        <v>1742.934955275153</v>
      </c>
      <c r="EP40" s="892">
        <f t="shared" ca="1" si="30"/>
        <v>6462.703047549855</v>
      </c>
      <c r="EQ40" s="887">
        <f t="shared" ca="1" si="31"/>
        <v>2444.0379177331156</v>
      </c>
      <c r="ER40" s="795">
        <f t="shared" ca="1" si="32"/>
        <v>2275.7301745415866</v>
      </c>
      <c r="ES40" s="887"/>
      <c r="ET40" s="887"/>
      <c r="EU40" s="887"/>
      <c r="EV40" s="887"/>
    </row>
    <row r="41" spans="1:152" ht="15.75" thickBot="1" x14ac:dyDescent="0.3">
      <c r="A41" s="258" t="s">
        <v>111</v>
      </c>
      <c r="B41" s="9" t="s">
        <v>271</v>
      </c>
      <c r="C41" s="236" t="s">
        <v>398</v>
      </c>
      <c r="D41" s="342">
        <f ca="1">INDEX(INDIRECT("SSW_WTPCore_DCE_"&amp;$B41&amp;"_UnitValues"),MATCH("COMBINED-HH",WTPCore_Group,0),MATCH("MEAN",LMH,0))</f>
        <v>786.41095890410963</v>
      </c>
      <c r="E41" s="342">
        <f t="shared" ca="1" si="2"/>
        <v>695.67123287671222</v>
      </c>
      <c r="F41" s="342">
        <f t="shared" ca="1" si="3"/>
        <v>877.15068493150704</v>
      </c>
      <c r="G41" s="342"/>
      <c r="H41" s="343">
        <f t="shared" ca="1" si="33"/>
        <v>638.18896918362577</v>
      </c>
      <c r="I41" s="342"/>
      <c r="J41" s="342"/>
      <c r="K41" s="342"/>
      <c r="L41" s="342"/>
      <c r="M41" s="342">
        <f t="shared" ca="1" si="7"/>
        <v>386.9897038569444</v>
      </c>
      <c r="N41" s="342" t="str">
        <f t="shared" si="8"/>
        <v/>
      </c>
      <c r="O41" s="342" t="str">
        <f t="shared" si="9"/>
        <v/>
      </c>
      <c r="P41" s="342" t="str">
        <f t="shared" si="10"/>
        <v/>
      </c>
      <c r="Q41" s="342" t="str">
        <f t="shared" si="36"/>
        <v/>
      </c>
      <c r="R41" s="342" t="str">
        <f t="shared" si="37"/>
        <v/>
      </c>
      <c r="S41" s="342"/>
      <c r="T41" s="342">
        <f ca="1">AVERAGE($AK41:$AX41)</f>
        <v>339.69294707005673</v>
      </c>
      <c r="U41" s="962"/>
      <c r="V41" s="342" t="str">
        <f t="shared" ca="1" si="38"/>
        <v/>
      </c>
      <c r="W41" s="342" t="str">
        <f t="shared" ca="1" si="38"/>
        <v/>
      </c>
      <c r="X41" s="342" t="str">
        <f t="shared" ca="1" si="38"/>
        <v/>
      </c>
      <c r="Y41" s="342" t="str">
        <f t="shared" ca="1" si="38"/>
        <v/>
      </c>
      <c r="Z41" s="342" t="str">
        <f t="shared" ca="1" si="38"/>
        <v/>
      </c>
      <c r="AA41" s="342"/>
      <c r="AB41" s="342" t="str">
        <f t="shared" ca="1" si="39"/>
        <v/>
      </c>
      <c r="AC41" s="342" t="str">
        <f t="shared" ca="1" si="39"/>
        <v/>
      </c>
      <c r="AD41" s="342" t="str">
        <f t="shared" ca="1" si="39"/>
        <v/>
      </c>
      <c r="AE41" s="342" t="str">
        <f t="shared" ca="1" si="39"/>
        <v/>
      </c>
      <c r="AF41" s="342" t="str">
        <f t="shared" ca="1" si="39"/>
        <v/>
      </c>
      <c r="AG41" s="342" t="str">
        <f t="shared" ca="1" si="39"/>
        <v/>
      </c>
      <c r="AH41" s="342" t="str">
        <f t="shared" ca="1" si="39"/>
        <v/>
      </c>
      <c r="AI41" s="342" t="str">
        <f t="shared" ca="1" si="39"/>
        <v/>
      </c>
      <c r="AJ41" s="342" t="str">
        <f t="shared" ca="1" si="39"/>
        <v/>
      </c>
      <c r="AK41" s="342" t="str">
        <f t="shared" ca="1" si="63"/>
        <v/>
      </c>
      <c r="AL41" s="342" t="str">
        <f t="shared" ca="1" si="63"/>
        <v/>
      </c>
      <c r="AM41" s="342">
        <f t="shared" ca="1" si="63"/>
        <v>713.2257903719991</v>
      </c>
      <c r="AN41" s="342">
        <f t="shared" ca="1" si="63"/>
        <v>249.9243831118699</v>
      </c>
      <c r="AO41" s="342" t="str">
        <f t="shared" ca="1" si="63"/>
        <v/>
      </c>
      <c r="AP41" s="342" t="str">
        <f ca="1">IFERROR(INDEX(INDIRECT("PR19_Comp"&amp;AP$23&amp;"_UnitValues"),MATCH($B41,INDIRECT("PR19_Comp"&amp;AP$23&amp;"_WTPCore_Options"),0)),"")</f>
        <v/>
      </c>
      <c r="AQ41" s="342" t="str">
        <f t="shared" ca="1" si="64"/>
        <v/>
      </c>
      <c r="AR41" s="342" t="str">
        <f t="shared" ca="1" si="64"/>
        <v/>
      </c>
      <c r="AS41" s="342" t="str">
        <f t="shared" ca="1" si="64"/>
        <v/>
      </c>
      <c r="AT41" s="342">
        <f t="shared" ca="1" si="64"/>
        <v>55.928667726301221</v>
      </c>
      <c r="AU41" s="342" t="str">
        <f t="shared" ca="1" si="64"/>
        <v/>
      </c>
      <c r="AV41" s="342" t="str">
        <f t="shared" ca="1" si="64"/>
        <v/>
      </c>
      <c r="AW41" s="342" t="str">
        <f t="shared" ca="1" si="64"/>
        <v/>
      </c>
      <c r="AX41" s="342" t="str">
        <f t="shared" ca="1" si="64"/>
        <v/>
      </c>
      <c r="AY41" s="646">
        <f t="shared" ca="1" si="57"/>
        <v>643.58805311383639</v>
      </c>
      <c r="AZ41" s="543">
        <f t="shared" ca="1" si="40"/>
        <v>339.69294707005673</v>
      </c>
      <c r="BA41" s="543">
        <f t="shared" ca="1" si="41"/>
        <v>877.15068493150704</v>
      </c>
      <c r="BB41" s="14">
        <f t="shared" ca="1" si="42"/>
        <v>400.47196827881271</v>
      </c>
      <c r="BC41" s="543">
        <f t="shared" ca="1" si="43"/>
        <v>830.43815856797301</v>
      </c>
      <c r="BD41" s="543">
        <f t="shared" ca="1" si="58"/>
        <v>243.11608483502368</v>
      </c>
      <c r="BE41" s="543">
        <f t="shared" ca="1" si="13"/>
        <v>186.85010545413661</v>
      </c>
      <c r="BF41" s="543"/>
      <c r="BG41" s="543"/>
      <c r="BH41" s="543"/>
      <c r="BI41" s="543"/>
      <c r="BJ41" s="543"/>
      <c r="BK41" s="543"/>
      <c r="BL41" s="543"/>
      <c r="BM41" s="543"/>
      <c r="BN41" s="543"/>
      <c r="BO41" s="953"/>
      <c r="BP41" s="342">
        <f t="shared" ca="1" si="59"/>
        <v>387.61643835616439</v>
      </c>
      <c r="BQ41" s="342">
        <f t="shared" ca="1" si="14"/>
        <v>339.16438356164389</v>
      </c>
      <c r="BR41" s="342">
        <f t="shared" ca="1" si="15"/>
        <v>430.6849315068493</v>
      </c>
      <c r="BS41" s="342"/>
      <c r="BT41" s="343">
        <f t="shared" ca="1" si="44"/>
        <v>260.94257092981854</v>
      </c>
      <c r="BU41" s="342"/>
      <c r="BV41" s="342"/>
      <c r="BW41" s="342"/>
      <c r="BX41" s="342"/>
      <c r="BY41" s="342">
        <f t="shared" ca="1" si="20"/>
        <v>40.367512301788949</v>
      </c>
      <c r="BZ41" s="342" t="str">
        <f t="shared" si="21"/>
        <v/>
      </c>
      <c r="CA41" s="342" t="str">
        <f t="shared" si="22"/>
        <v/>
      </c>
      <c r="CB41" s="342"/>
      <c r="CC41" s="342" t="str">
        <f t="shared" si="46"/>
        <v/>
      </c>
      <c r="CD41" s="342" t="str">
        <f t="shared" si="47"/>
        <v/>
      </c>
      <c r="CE41" s="342"/>
      <c r="CF41" s="342">
        <f t="shared" ca="1" si="61"/>
        <v>579.02531657079192</v>
      </c>
      <c r="CG41" s="342"/>
      <c r="CH41" s="342" t="str">
        <f t="shared" ca="1" si="48"/>
        <v/>
      </c>
      <c r="CI41" s="342" t="str">
        <f t="shared" ca="1" si="48"/>
        <v/>
      </c>
      <c r="CJ41" s="342" t="str">
        <f t="shared" ca="1" si="48"/>
        <v/>
      </c>
      <c r="CK41" s="342" t="str">
        <f t="shared" ca="1" si="48"/>
        <v/>
      </c>
      <c r="CL41" s="342" t="str">
        <f t="shared" ca="1" si="48"/>
        <v/>
      </c>
      <c r="CM41" s="342"/>
      <c r="CN41" s="342" t="str">
        <f t="shared" ca="1" si="49"/>
        <v/>
      </c>
      <c r="CO41" s="342" t="str">
        <f t="shared" ca="1" si="49"/>
        <v/>
      </c>
      <c r="CP41" s="342" t="str">
        <f t="shared" ca="1" si="49"/>
        <v/>
      </c>
      <c r="CQ41" s="342" t="str">
        <f t="shared" ca="1" si="49"/>
        <v/>
      </c>
      <c r="CR41" s="342" t="str">
        <f t="shared" ca="1" si="49"/>
        <v/>
      </c>
      <c r="CS41" s="342" t="str">
        <f t="shared" ca="1" si="49"/>
        <v/>
      </c>
      <c r="CT41" s="342" t="str">
        <f t="shared" ca="1" si="49"/>
        <v/>
      </c>
      <c r="CU41" s="342" t="str">
        <f t="shared" ca="1" si="49"/>
        <v/>
      </c>
      <c r="CV41" s="342" t="str">
        <f t="shared" ca="1" si="49"/>
        <v/>
      </c>
      <c r="CW41" s="342" t="str">
        <f t="shared" ca="1" si="62"/>
        <v/>
      </c>
      <c r="CX41" s="342" t="str">
        <f t="shared" ca="1" si="62"/>
        <v/>
      </c>
      <c r="CY41" s="342">
        <f t="shared" ca="1" si="62"/>
        <v>1184.6461369293193</v>
      </c>
      <c r="CZ41" s="342">
        <f t="shared" ca="1" si="62"/>
        <v>486.29431994333549</v>
      </c>
      <c r="DA41" s="342" t="str">
        <f t="shared" ca="1" si="62"/>
        <v/>
      </c>
      <c r="DB41" s="342" t="str">
        <f t="shared" ca="1" si="62"/>
        <v/>
      </c>
      <c r="DC41" s="342" t="str">
        <f t="shared" ca="1" si="62"/>
        <v/>
      </c>
      <c r="DD41" s="342" t="str">
        <f t="shared" ca="1" si="62"/>
        <v/>
      </c>
      <c r="DE41" s="342" t="str">
        <f t="shared" ca="1" si="62"/>
        <v/>
      </c>
      <c r="DF41" s="342">
        <f t="shared" ca="1" si="62"/>
        <v>66.135492839721209</v>
      </c>
      <c r="DG41" s="342" t="str">
        <f t="shared" ca="1" si="62"/>
        <v/>
      </c>
      <c r="DH41" s="342" t="str">
        <f t="shared" ca="1" si="62"/>
        <v/>
      </c>
      <c r="DI41" s="342" t="str">
        <f t="shared" ca="1" si="62"/>
        <v/>
      </c>
      <c r="DJ41" s="342" t="str">
        <f t="shared" ca="1" si="62"/>
        <v/>
      </c>
      <c r="DK41" s="342"/>
      <c r="DL41" s="342"/>
      <c r="DM41" s="342"/>
      <c r="DN41" s="342"/>
      <c r="DO41" s="342"/>
      <c r="DP41" s="342"/>
      <c r="DQ41" s="342"/>
      <c r="DR41" s="342"/>
      <c r="DS41" s="342"/>
      <c r="DT41" s="342"/>
      <c r="DU41" s="342"/>
      <c r="DV41" s="342"/>
      <c r="DW41" s="342"/>
      <c r="DX41" s="342"/>
      <c r="DY41" s="342"/>
      <c r="DZ41" s="342"/>
      <c r="EA41" s="342"/>
      <c r="EB41" s="342"/>
      <c r="EC41" s="791">
        <f t="shared" ca="1" si="25"/>
        <v>336.46796551960944</v>
      </c>
      <c r="ED41" s="543">
        <f t="shared" ca="1" si="50"/>
        <v>40.367512301788949</v>
      </c>
      <c r="EE41" s="543">
        <f t="shared" ca="1" si="51"/>
        <v>579.02531657079192</v>
      </c>
      <c r="EF41" s="14">
        <f t="shared" ca="1" si="52"/>
        <v>99.587602945353055</v>
      </c>
      <c r="EG41" s="543">
        <f t="shared" ca="1" si="53"/>
        <v>530.51384636055548</v>
      </c>
      <c r="EH41" s="543">
        <f t="shared" ca="1" si="54"/>
        <v>236.88036257425637</v>
      </c>
      <c r="EI41" s="543">
        <f t="shared" ca="1" si="55"/>
        <v>194.04588084094604</v>
      </c>
      <c r="EL41" s="646">
        <f t="shared" ca="1" si="26"/>
        <v>584.68215051523646</v>
      </c>
      <c r="EM41" s="799">
        <f t="shared" ca="1" si="27"/>
        <v>282.28206573090142</v>
      </c>
      <c r="EN41" s="894">
        <f t="shared" ca="1" si="28"/>
        <v>819.9699773835514</v>
      </c>
      <c r="EO41" s="894">
        <f t="shared" ca="1" si="29"/>
        <v>342.76208268776844</v>
      </c>
      <c r="EP41" s="894">
        <f t="shared" ca="1" si="30"/>
        <v>772.91241200988861</v>
      </c>
      <c r="EQ41" s="891">
        <f t="shared" ca="1" si="31"/>
        <v>241.92006782746805</v>
      </c>
      <c r="ER41" s="796">
        <f t="shared" ca="1" si="32"/>
        <v>188.23026149465201</v>
      </c>
      <c r="ES41" s="887"/>
      <c r="ET41" s="887"/>
      <c r="EU41" s="887"/>
      <c r="EV41" s="887"/>
    </row>
    <row r="42" spans="1:152" x14ac:dyDescent="0.25">
      <c r="A42" s="60"/>
      <c r="B42" s="60"/>
      <c r="C42" s="60"/>
      <c r="D42" s="60"/>
      <c r="E42" s="60"/>
      <c r="F42" s="60"/>
      <c r="G42" s="60"/>
      <c r="H42" s="339"/>
      <c r="I42" s="339"/>
      <c r="J42" s="339"/>
      <c r="K42" s="339"/>
      <c r="L42" s="339"/>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P42" s="60"/>
      <c r="BQ42" s="60"/>
      <c r="BR42" s="60"/>
      <c r="BS42" s="60"/>
      <c r="BT42" s="60"/>
      <c r="BU42" s="339"/>
      <c r="BV42" s="339"/>
      <c r="BW42" s="339"/>
      <c r="BX42" s="339"/>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L42" s="778"/>
      <c r="EM42" s="60"/>
      <c r="EN42" s="60"/>
      <c r="EO42" s="60"/>
      <c r="EP42" s="60"/>
      <c r="EQ42" s="60"/>
    </row>
    <row r="43" spans="1:152" x14ac:dyDescent="0.25">
      <c r="C43" s="156"/>
      <c r="U43" s="9"/>
      <c r="AA43" s="588" t="s">
        <v>501</v>
      </c>
      <c r="AP43" s="588" t="s">
        <v>501</v>
      </c>
      <c r="AY43" s="64"/>
      <c r="AZ43" s="64"/>
      <c r="BA43" s="64"/>
      <c r="BB43" s="64"/>
      <c r="BC43" s="64"/>
      <c r="BD43" s="64"/>
      <c r="BP43" s="9"/>
      <c r="BQ43" s="9"/>
      <c r="BR43" s="9"/>
      <c r="BS43" s="9"/>
      <c r="BT43" s="9"/>
      <c r="BU43" s="9"/>
      <c r="BV43" s="9"/>
      <c r="BW43" s="9"/>
      <c r="BX43" s="9"/>
      <c r="BY43" s="9"/>
      <c r="BZ43" s="9"/>
      <c r="CA43" s="9"/>
      <c r="CB43" s="162" t="s">
        <v>477</v>
      </c>
      <c r="CC43" s="9"/>
      <c r="CH43" s="9"/>
      <c r="CI43" s="9"/>
      <c r="CJ43" s="9"/>
      <c r="CK43" s="9"/>
      <c r="CL43" s="9"/>
      <c r="CM43" s="588" t="s">
        <v>501</v>
      </c>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L43" s="779"/>
    </row>
    <row r="44" spans="1:152" x14ac:dyDescent="0.25">
      <c r="C44" s="156"/>
      <c r="U44" s="9"/>
      <c r="AA44" s="575"/>
      <c r="AY44" s="64"/>
      <c r="AZ44" s="64"/>
      <c r="BA44" s="64"/>
      <c r="BB44" s="64"/>
      <c r="BC44" s="64"/>
      <c r="BD44" s="64"/>
      <c r="BP44" s="9"/>
      <c r="BQ44" s="9"/>
      <c r="BR44" s="9"/>
      <c r="BS44" s="9"/>
      <c r="BT44" s="9"/>
      <c r="BU44" s="9"/>
      <c r="BV44" s="9"/>
      <c r="BW44" s="9"/>
      <c r="BX44" s="9"/>
      <c r="BY44" s="9"/>
      <c r="BZ44" s="9"/>
      <c r="CA44" s="9"/>
      <c r="CB44" s="162"/>
      <c r="CC44" s="9"/>
      <c r="CH44" s="9"/>
      <c r="CI44" s="9"/>
      <c r="CJ44" s="9"/>
      <c r="CK44" s="9"/>
      <c r="CL44" s="9"/>
      <c r="CM44" s="575"/>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L44" s="779"/>
    </row>
    <row r="45" spans="1:152" ht="19.5" x14ac:dyDescent="0.3">
      <c r="A45" s="112" t="s">
        <v>508</v>
      </c>
      <c r="B45" s="180"/>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253"/>
      <c r="AZ45" s="253"/>
      <c r="BA45" s="253"/>
      <c r="BB45" s="253"/>
      <c r="BC45" s="253"/>
      <c r="BD45" s="253"/>
      <c r="BE45" s="253"/>
      <c r="BF45" s="253"/>
      <c r="BG45" s="253"/>
      <c r="BH45" s="253"/>
      <c r="BI45" s="253"/>
      <c r="BJ45" s="253"/>
      <c r="BK45" s="253"/>
      <c r="BL45" s="253"/>
      <c r="BM45" s="253"/>
      <c r="BN45" s="253"/>
      <c r="BO45" s="950"/>
      <c r="BP45" s="129"/>
      <c r="BQ45" s="129"/>
      <c r="BR45" s="129"/>
      <c r="BS45" s="129"/>
      <c r="BT45" s="129"/>
      <c r="BU45" s="129"/>
      <c r="BV45" s="129"/>
      <c r="BW45" s="129"/>
      <c r="BX45" s="129"/>
      <c r="BY45" s="129"/>
      <c r="BZ45" s="129"/>
      <c r="CA45" s="129"/>
      <c r="CB45" s="129"/>
      <c r="CC45" s="129"/>
      <c r="CD45" s="273"/>
      <c r="CE45" s="273"/>
      <c r="CF45" s="273"/>
      <c r="CG45" s="273"/>
      <c r="CH45" s="129"/>
      <c r="CI45" s="129"/>
      <c r="CJ45" s="129"/>
      <c r="CK45" s="129"/>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c r="EB45" s="129"/>
      <c r="EC45" s="60"/>
      <c r="ED45" s="253"/>
      <c r="EE45" s="253"/>
      <c r="EF45" s="253"/>
      <c r="EG45" s="253"/>
      <c r="EH45" s="253"/>
      <c r="EI45" s="253"/>
      <c r="EL45" s="778"/>
      <c r="EM45" s="60"/>
      <c r="EN45" s="60"/>
      <c r="EO45" s="60"/>
      <c r="EP45" s="60"/>
      <c r="EQ45" s="60"/>
      <c r="ER45" s="60"/>
      <c r="ES45" s="60"/>
      <c r="ET45" s="60"/>
      <c r="EU45" s="60"/>
      <c r="EV45" s="60"/>
    </row>
    <row r="46" spans="1:152" ht="20.25" thickBot="1" x14ac:dyDescent="0.35">
      <c r="A46" s="112"/>
      <c r="B46" s="180"/>
      <c r="C46" s="180"/>
      <c r="D46" s="180"/>
      <c r="E46" s="180"/>
      <c r="F46" s="180"/>
      <c r="G46" s="180"/>
      <c r="H46" s="180"/>
      <c r="I46" s="180"/>
      <c r="J46" s="180"/>
      <c r="K46" s="180"/>
      <c r="L46" s="180"/>
      <c r="M46" s="180"/>
      <c r="N46" s="180"/>
      <c r="O46" s="180"/>
      <c r="P46" s="338"/>
      <c r="Q46" s="180"/>
      <c r="R46" s="180"/>
      <c r="S46" s="180"/>
      <c r="T46" s="180"/>
      <c r="U46" s="129"/>
      <c r="V46" s="944" t="s">
        <v>1049</v>
      </c>
      <c r="W46" s="944"/>
      <c r="X46" s="944"/>
      <c r="Y46" s="944"/>
      <c r="Z46" s="944"/>
      <c r="AA46" s="944"/>
      <c r="AB46" s="944"/>
      <c r="AC46" s="944"/>
      <c r="AD46" s="944"/>
      <c r="AE46" s="944"/>
      <c r="AF46" s="944"/>
      <c r="AG46" s="944"/>
      <c r="AH46" s="944"/>
      <c r="AI46" s="944"/>
      <c r="AJ46" s="947"/>
      <c r="AK46" s="947" t="s">
        <v>1048</v>
      </c>
      <c r="AL46" s="947"/>
      <c r="AM46" s="947"/>
      <c r="AN46" s="947"/>
      <c r="AO46" s="947"/>
      <c r="AP46" s="947"/>
      <c r="AQ46" s="947"/>
      <c r="AR46" s="947"/>
      <c r="AS46" s="947"/>
      <c r="AT46" s="947"/>
      <c r="AU46" s="947"/>
      <c r="AV46" s="947"/>
      <c r="AW46" s="947"/>
      <c r="AX46" s="947"/>
      <c r="AY46" s="180"/>
      <c r="AZ46" s="180"/>
      <c r="BA46" s="180"/>
      <c r="BB46" s="180"/>
      <c r="BC46" s="180"/>
      <c r="BD46" s="180"/>
      <c r="BE46" s="180"/>
      <c r="BF46" s="180"/>
      <c r="BG46" s="180"/>
      <c r="BH46" s="180"/>
      <c r="BI46" s="180"/>
      <c r="BJ46" s="180"/>
      <c r="BK46" s="180"/>
      <c r="BL46" s="180"/>
      <c r="BM46" s="180"/>
      <c r="BN46" s="180"/>
      <c r="BO46" s="951"/>
      <c r="BP46" s="180"/>
      <c r="BQ46" s="180"/>
      <c r="BR46" s="180"/>
      <c r="BS46" s="180"/>
      <c r="BT46" s="180"/>
      <c r="BU46" s="180"/>
      <c r="BV46" s="180"/>
      <c r="BW46" s="180"/>
      <c r="BX46" s="180"/>
      <c r="BY46" s="180"/>
      <c r="BZ46" s="180"/>
      <c r="CA46" s="180"/>
      <c r="CB46" s="180"/>
      <c r="CC46" s="180"/>
      <c r="CD46" s="180"/>
      <c r="CE46" s="180"/>
      <c r="CF46" s="180"/>
      <c r="CG46" s="180"/>
      <c r="CH46" s="944" t="s">
        <v>1050</v>
      </c>
      <c r="CI46" s="944"/>
      <c r="CJ46" s="944"/>
      <c r="CK46" s="944"/>
      <c r="CL46" s="944"/>
      <c r="CM46" s="944"/>
      <c r="CN46" s="944"/>
      <c r="CO46" s="944"/>
      <c r="CP46" s="944"/>
      <c r="CQ46" s="944"/>
      <c r="CR46" s="944"/>
      <c r="CS46" s="944"/>
      <c r="CT46" s="944"/>
      <c r="CU46" s="944"/>
      <c r="CV46" s="944"/>
      <c r="CW46" s="944" t="s">
        <v>1048</v>
      </c>
      <c r="CX46" s="944"/>
      <c r="CY46" s="944"/>
      <c r="CZ46" s="944"/>
      <c r="DA46" s="944"/>
      <c r="DB46" s="944"/>
      <c r="DC46" s="944"/>
      <c r="DD46" s="944"/>
      <c r="DE46" s="944"/>
      <c r="DF46" s="944"/>
      <c r="DG46" s="944"/>
      <c r="DH46" s="944"/>
      <c r="DI46" s="944"/>
      <c r="DJ46" s="944"/>
      <c r="DK46" s="944"/>
      <c r="DL46" s="944"/>
      <c r="DM46" s="944"/>
      <c r="DN46" s="944"/>
      <c r="DO46" s="944"/>
      <c r="DP46" s="944"/>
      <c r="DQ46" s="944"/>
      <c r="DR46" s="944"/>
      <c r="DS46" s="944"/>
      <c r="DT46" s="944"/>
      <c r="DU46" s="944"/>
      <c r="DV46" s="944"/>
      <c r="DW46" s="944"/>
      <c r="DX46" s="944"/>
      <c r="DY46" s="944"/>
      <c r="DZ46" s="944"/>
      <c r="EA46" s="944"/>
      <c r="EB46" s="944"/>
      <c r="EC46" s="60"/>
      <c r="ED46" s="180"/>
      <c r="EE46" s="180"/>
      <c r="EF46" s="180"/>
      <c r="EG46" s="180"/>
      <c r="EH46" s="180"/>
      <c r="EI46" s="180"/>
      <c r="EL46" s="778"/>
      <c r="EM46" s="60"/>
      <c r="EN46" s="60"/>
      <c r="EO46" s="60"/>
      <c r="EP46" s="60"/>
      <c r="EQ46" s="60"/>
      <c r="ER46" s="60"/>
      <c r="ES46" s="60"/>
      <c r="ET46" s="60"/>
      <c r="EU46" s="60"/>
      <c r="EV46" s="60"/>
    </row>
    <row r="47" spans="1:152" s="349" customFormat="1" ht="54.75" customHeight="1" x14ac:dyDescent="0.25">
      <c r="A47" s="66"/>
      <c r="B47" s="66"/>
      <c r="C47" s="347"/>
      <c r="D47" s="347" t="s">
        <v>307</v>
      </c>
      <c r="E47" s="788" t="s">
        <v>976</v>
      </c>
      <c r="F47" s="788" t="s">
        <v>977</v>
      </c>
      <c r="G47" s="788" t="s">
        <v>1047</v>
      </c>
      <c r="H47" s="788" t="s">
        <v>1044</v>
      </c>
      <c r="I47" s="788" t="s">
        <v>972</v>
      </c>
      <c r="J47" s="788" t="s">
        <v>978</v>
      </c>
      <c r="K47" s="788" t="s">
        <v>979</v>
      </c>
      <c r="L47" s="784" t="s">
        <v>984</v>
      </c>
      <c r="M47" s="347" t="s">
        <v>446</v>
      </c>
      <c r="N47" s="347" t="s">
        <v>445</v>
      </c>
      <c r="O47" s="347" t="s">
        <v>447</v>
      </c>
      <c r="P47" s="347" t="s">
        <v>448</v>
      </c>
      <c r="Q47" s="348" t="s">
        <v>243</v>
      </c>
      <c r="R47" s="348" t="s">
        <v>244</v>
      </c>
      <c r="S47" s="348" t="s">
        <v>877</v>
      </c>
      <c r="T47" s="348" t="s">
        <v>876</v>
      </c>
      <c r="U47" s="959" t="s">
        <v>964</v>
      </c>
      <c r="V47" s="941" t="s">
        <v>172</v>
      </c>
      <c r="W47" s="941" t="s">
        <v>178</v>
      </c>
      <c r="X47" s="941" t="s">
        <v>173</v>
      </c>
      <c r="Y47" s="941" t="s">
        <v>175</v>
      </c>
      <c r="Z47" s="941" t="s">
        <v>164</v>
      </c>
      <c r="AA47" s="942" t="s">
        <v>166</v>
      </c>
      <c r="AB47" s="941" t="s">
        <v>167</v>
      </c>
      <c r="AC47" s="941" t="s">
        <v>170</v>
      </c>
      <c r="AD47" s="941" t="s">
        <v>179</v>
      </c>
      <c r="AE47" s="941" t="s">
        <v>174</v>
      </c>
      <c r="AF47" s="941" t="s">
        <v>171</v>
      </c>
      <c r="AG47" s="941" t="s">
        <v>168</v>
      </c>
      <c r="AH47" s="941" t="s">
        <v>165</v>
      </c>
      <c r="AI47" s="941" t="s">
        <v>40</v>
      </c>
      <c r="AJ47" s="941" t="s">
        <v>169</v>
      </c>
      <c r="AK47" s="941" t="s">
        <v>172</v>
      </c>
      <c r="AL47" s="941" t="s">
        <v>178</v>
      </c>
      <c r="AM47" s="941" t="s">
        <v>173</v>
      </c>
      <c r="AN47" s="941" t="s">
        <v>175</v>
      </c>
      <c r="AO47" s="941" t="s">
        <v>164</v>
      </c>
      <c r="AP47" s="941" t="s">
        <v>166</v>
      </c>
      <c r="AQ47" s="941" t="s">
        <v>167</v>
      </c>
      <c r="AR47" s="941" t="s">
        <v>179</v>
      </c>
      <c r="AS47" s="941" t="s">
        <v>174</v>
      </c>
      <c r="AT47" s="941" t="s">
        <v>168</v>
      </c>
      <c r="AU47" s="941" t="s">
        <v>165</v>
      </c>
      <c r="AV47" s="941" t="s">
        <v>602</v>
      </c>
      <c r="AW47" s="941" t="s">
        <v>556</v>
      </c>
      <c r="AX47" s="941" t="s">
        <v>516</v>
      </c>
      <c r="AY47" s="786" t="s">
        <v>334</v>
      </c>
      <c r="AZ47" s="316" t="s">
        <v>436</v>
      </c>
      <c r="BA47" s="316" t="s">
        <v>437</v>
      </c>
      <c r="BB47" s="316" t="s">
        <v>981</v>
      </c>
      <c r="BC47" s="316" t="s">
        <v>982</v>
      </c>
      <c r="BD47" s="316" t="s">
        <v>438</v>
      </c>
      <c r="BE47" s="316" t="s">
        <v>439</v>
      </c>
      <c r="BF47" s="316"/>
      <c r="BG47" s="316"/>
      <c r="BH47" s="316"/>
      <c r="BI47" s="316"/>
      <c r="BJ47" s="316"/>
      <c r="BK47" s="316"/>
      <c r="BL47" s="316"/>
      <c r="BM47" s="316"/>
      <c r="BN47" s="316"/>
      <c r="BO47" s="952"/>
      <c r="BP47" s="347" t="s">
        <v>307</v>
      </c>
      <c r="BQ47" s="784" t="s">
        <v>976</v>
      </c>
      <c r="BR47" s="347" t="s">
        <v>977</v>
      </c>
      <c r="BS47" s="788" t="s">
        <v>1047</v>
      </c>
      <c r="BT47" s="784" t="s">
        <v>1044</v>
      </c>
      <c r="BU47" s="885" t="s">
        <v>975</v>
      </c>
      <c r="BV47" s="347" t="s">
        <v>978</v>
      </c>
      <c r="BW47" s="347" t="s">
        <v>979</v>
      </c>
      <c r="BX47" s="784" t="s">
        <v>984</v>
      </c>
      <c r="BY47" s="347" t="s">
        <v>446</v>
      </c>
      <c r="BZ47" s="347" t="s">
        <v>445</v>
      </c>
      <c r="CA47" s="347" t="s">
        <v>447</v>
      </c>
      <c r="CB47" s="539" t="s">
        <v>448</v>
      </c>
      <c r="CC47" s="348" t="s">
        <v>243</v>
      </c>
      <c r="CD47" s="787" t="s">
        <v>244</v>
      </c>
      <c r="CE47" s="348" t="s">
        <v>877</v>
      </c>
      <c r="CF47" s="348" t="s">
        <v>876</v>
      </c>
      <c r="CG47" s="959" t="s">
        <v>964</v>
      </c>
      <c r="CH47" s="941" t="s">
        <v>172</v>
      </c>
      <c r="CI47" s="941" t="s">
        <v>178</v>
      </c>
      <c r="CJ47" s="941" t="s">
        <v>173</v>
      </c>
      <c r="CK47" s="941" t="s">
        <v>175</v>
      </c>
      <c r="CL47" s="941" t="s">
        <v>164</v>
      </c>
      <c r="CM47" s="942" t="s">
        <v>166</v>
      </c>
      <c r="CN47" s="941" t="s">
        <v>167</v>
      </c>
      <c r="CO47" s="941" t="s">
        <v>170</v>
      </c>
      <c r="CP47" s="941" t="s">
        <v>179</v>
      </c>
      <c r="CQ47" s="941" t="s">
        <v>174</v>
      </c>
      <c r="CR47" s="941" t="s">
        <v>171</v>
      </c>
      <c r="CS47" s="941" t="s">
        <v>168</v>
      </c>
      <c r="CT47" s="941" t="s">
        <v>165</v>
      </c>
      <c r="CU47" s="941" t="s">
        <v>40</v>
      </c>
      <c r="CV47" s="941" t="s">
        <v>169</v>
      </c>
      <c r="CW47" s="941" t="s">
        <v>172</v>
      </c>
      <c r="CX47" s="941" t="s">
        <v>178</v>
      </c>
      <c r="CY47" s="941" t="s">
        <v>173</v>
      </c>
      <c r="CZ47" s="941" t="s">
        <v>175</v>
      </c>
      <c r="DA47" s="941" t="s">
        <v>164</v>
      </c>
      <c r="DB47" s="941" t="s">
        <v>166</v>
      </c>
      <c r="DC47" s="941" t="s">
        <v>167</v>
      </c>
      <c r="DD47" s="941" t="s">
        <v>179</v>
      </c>
      <c r="DE47" s="941" t="s">
        <v>174</v>
      </c>
      <c r="DF47" s="941" t="s">
        <v>168</v>
      </c>
      <c r="DG47" s="941" t="s">
        <v>165</v>
      </c>
      <c r="DH47" s="941" t="s">
        <v>602</v>
      </c>
      <c r="DI47" s="941" t="s">
        <v>556</v>
      </c>
      <c r="DJ47" s="941" t="s">
        <v>516</v>
      </c>
      <c r="DK47" s="941"/>
      <c r="DL47" s="941"/>
      <c r="DM47" s="941"/>
      <c r="DN47" s="941"/>
      <c r="DO47" s="941"/>
      <c r="DP47" s="941"/>
      <c r="DQ47" s="941"/>
      <c r="DR47" s="941"/>
      <c r="DS47" s="941"/>
      <c r="DT47" s="941"/>
      <c r="DU47" s="941"/>
      <c r="DV47" s="941"/>
      <c r="DW47" s="941"/>
      <c r="DX47" s="941"/>
      <c r="DY47" s="941"/>
      <c r="DZ47" s="941"/>
      <c r="EA47" s="941"/>
      <c r="EB47" s="941"/>
      <c r="EC47" s="540" t="s">
        <v>334</v>
      </c>
      <c r="ED47" s="316" t="s">
        <v>436</v>
      </c>
      <c r="EE47" s="316" t="s">
        <v>437</v>
      </c>
      <c r="EF47" s="316" t="s">
        <v>981</v>
      </c>
      <c r="EG47" s="316" t="s">
        <v>982</v>
      </c>
      <c r="EH47" s="316" t="s">
        <v>438</v>
      </c>
      <c r="EI47" s="316" t="s">
        <v>439</v>
      </c>
      <c r="EJ47" s="958"/>
      <c r="EL47" s="786" t="s">
        <v>1053</v>
      </c>
      <c r="EM47" s="797" t="s">
        <v>1016</v>
      </c>
      <c r="EN47" s="889" t="s">
        <v>1017</v>
      </c>
      <c r="EO47" s="889" t="s">
        <v>1018</v>
      </c>
      <c r="EP47" s="889" t="s">
        <v>1019</v>
      </c>
      <c r="EQ47" s="890" t="s">
        <v>1009</v>
      </c>
      <c r="ER47" s="800" t="s">
        <v>1010</v>
      </c>
      <c r="ES47" s="388"/>
      <c r="ET47" s="388"/>
      <c r="EU47" s="388"/>
      <c r="EV47" s="388"/>
    </row>
    <row r="48" spans="1:152" x14ac:dyDescent="0.25">
      <c r="A48" s="66"/>
      <c r="B48" s="66"/>
      <c r="C48" s="263" t="s">
        <v>247</v>
      </c>
      <c r="D48" s="345">
        <f>VLOOKUP(D$23,$A$4:$C$15,3,0)</f>
        <v>1</v>
      </c>
      <c r="E48" s="345">
        <v>0</v>
      </c>
      <c r="F48" s="345">
        <v>0</v>
      </c>
      <c r="G48" s="345">
        <v>0</v>
      </c>
      <c r="H48" s="345">
        <f>VLOOKUP(H$23,$A$4:$C$15,3,0)</f>
        <v>0.5</v>
      </c>
      <c r="I48" s="345">
        <f>VLOOKUP(I$23,$A$4:$C$18,3,0)</f>
        <v>1</v>
      </c>
      <c r="J48" s="345">
        <v>0</v>
      </c>
      <c r="K48" s="345">
        <v>0</v>
      </c>
      <c r="L48" s="345">
        <v>0</v>
      </c>
      <c r="M48" s="345">
        <f t="shared" ref="M48:R48" si="65">VLOOKUP(M$23,$A$4:$C$15,3,0)</f>
        <v>0.25</v>
      </c>
      <c r="N48" s="345">
        <f t="shared" si="65"/>
        <v>0.25</v>
      </c>
      <c r="O48" s="345">
        <f t="shared" si="65"/>
        <v>0.25</v>
      </c>
      <c r="P48" s="345">
        <f t="shared" si="65"/>
        <v>0.25</v>
      </c>
      <c r="Q48" s="345">
        <f t="shared" si="65"/>
        <v>0.25</v>
      </c>
      <c r="R48" s="345">
        <f t="shared" si="65"/>
        <v>0.25</v>
      </c>
      <c r="S48" s="345">
        <f>VLOOKUP($S$23,$A$4:$C$18,3,0)</f>
        <v>0.1</v>
      </c>
      <c r="T48" s="345">
        <f>VLOOKUP($T$23,$A$4:$C$18,3,0)</f>
        <v>0.25</v>
      </c>
      <c r="U48" s="345"/>
      <c r="V48" s="346">
        <v>0</v>
      </c>
      <c r="W48" s="346">
        <v>0</v>
      </c>
      <c r="X48" s="346">
        <v>0</v>
      </c>
      <c r="Y48" s="346">
        <v>0</v>
      </c>
      <c r="Z48" s="346">
        <v>0</v>
      </c>
      <c r="AA48" s="346">
        <v>0</v>
      </c>
      <c r="AB48" s="346">
        <v>0</v>
      </c>
      <c r="AC48" s="346">
        <v>0</v>
      </c>
      <c r="AD48" s="346">
        <v>0</v>
      </c>
      <c r="AE48" s="346">
        <v>0</v>
      </c>
      <c r="AF48" s="346">
        <v>0</v>
      </c>
      <c r="AG48" s="346">
        <v>0</v>
      </c>
      <c r="AH48" s="346">
        <v>0</v>
      </c>
      <c r="AI48" s="346">
        <v>0</v>
      </c>
      <c r="AJ48" s="346">
        <v>0</v>
      </c>
      <c r="AK48" s="346">
        <v>0</v>
      </c>
      <c r="AL48" s="346">
        <v>0</v>
      </c>
      <c r="AM48" s="346">
        <v>0</v>
      </c>
      <c r="AN48" s="346">
        <v>0</v>
      </c>
      <c r="AO48" s="346">
        <v>0</v>
      </c>
      <c r="AP48" s="346">
        <v>0</v>
      </c>
      <c r="AQ48" s="346">
        <v>0</v>
      </c>
      <c r="AR48" s="346">
        <v>0</v>
      </c>
      <c r="AS48" s="346">
        <v>0</v>
      </c>
      <c r="AT48" s="346">
        <v>0</v>
      </c>
      <c r="AU48" s="346">
        <v>0</v>
      </c>
      <c r="AV48" s="346">
        <v>0</v>
      </c>
      <c r="AW48" s="346">
        <v>0</v>
      </c>
      <c r="AX48" s="346">
        <v>0</v>
      </c>
      <c r="AY48" s="572"/>
      <c r="AZ48" s="64"/>
      <c r="BA48" s="64"/>
      <c r="BB48" s="64"/>
      <c r="BC48" s="64"/>
      <c r="BD48" s="64"/>
      <c r="BP48" s="345">
        <f>VLOOKUP(BP$23,$A$4:$C$15,3,0)</f>
        <v>1</v>
      </c>
      <c r="BQ48" s="345">
        <v>0</v>
      </c>
      <c r="BR48" s="345">
        <v>0</v>
      </c>
      <c r="BS48" s="345">
        <v>0</v>
      </c>
      <c r="BT48" s="345">
        <f>VLOOKUP(BT$23,$A$4:$C$15,3,0)</f>
        <v>0.5</v>
      </c>
      <c r="BU48" s="886">
        <f>VLOOKUP(BU$47,$A$4:$C$18,3,0)</f>
        <v>0</v>
      </c>
      <c r="BV48" s="345">
        <v>0</v>
      </c>
      <c r="BW48" s="345">
        <v>0</v>
      </c>
      <c r="BX48" s="345">
        <v>0</v>
      </c>
      <c r="BY48" s="345">
        <f>VLOOKUP(BY$23,$A$4:$C$15,3,0)</f>
        <v>0.25</v>
      </c>
      <c r="BZ48" s="345">
        <f>VLOOKUP(BZ$23,$A$4:$C$15,3,0)</f>
        <v>0.25</v>
      </c>
      <c r="CA48" s="345">
        <f>VLOOKUP(CA$23,$A$4:$C$15,3,0)</f>
        <v>0.25</v>
      </c>
      <c r="CB48" s="345"/>
      <c r="CC48" s="345">
        <f>VLOOKUP(CC47,$A$4:$C$15,3,0)</f>
        <v>0.25</v>
      </c>
      <c r="CD48" s="345">
        <f>VLOOKUP(CD47,$A$4:$C$18,3,0)</f>
        <v>0.25</v>
      </c>
      <c r="CE48" s="345">
        <f>VLOOKUP($S$23,$A$4:$C$18,3,0)</f>
        <v>0.1</v>
      </c>
      <c r="CF48" s="345">
        <f>VLOOKUP($T$23,$A$4:$C$18,3,0)</f>
        <v>0.25</v>
      </c>
      <c r="CG48" s="345"/>
      <c r="CH48" s="345">
        <v>0</v>
      </c>
      <c r="CI48" s="345">
        <v>0</v>
      </c>
      <c r="CJ48" s="345">
        <v>0</v>
      </c>
      <c r="CK48" s="345">
        <v>0</v>
      </c>
      <c r="CL48" s="345">
        <v>0</v>
      </c>
      <c r="CM48" s="345">
        <v>0</v>
      </c>
      <c r="CN48" s="345">
        <v>0</v>
      </c>
      <c r="CO48" s="345">
        <v>0</v>
      </c>
      <c r="CP48" s="345">
        <v>0</v>
      </c>
      <c r="CQ48" s="345">
        <v>0</v>
      </c>
      <c r="CR48" s="345">
        <v>0</v>
      </c>
      <c r="CS48" s="345">
        <v>0</v>
      </c>
      <c r="CT48" s="345">
        <v>0</v>
      </c>
      <c r="CU48" s="345">
        <v>0</v>
      </c>
      <c r="CV48" s="345">
        <v>0</v>
      </c>
      <c r="CW48" s="345">
        <v>0</v>
      </c>
      <c r="CX48" s="345">
        <v>0</v>
      </c>
      <c r="CY48" s="345">
        <v>0</v>
      </c>
      <c r="CZ48" s="345">
        <v>0</v>
      </c>
      <c r="DA48" s="345">
        <v>0</v>
      </c>
      <c r="DB48" s="345">
        <v>0</v>
      </c>
      <c r="DC48" s="345">
        <v>0</v>
      </c>
      <c r="DD48" s="345">
        <v>0</v>
      </c>
      <c r="DE48" s="345">
        <v>0</v>
      </c>
      <c r="DF48" s="345">
        <v>0</v>
      </c>
      <c r="DG48" s="345">
        <v>0</v>
      </c>
      <c r="DH48" s="345">
        <v>0</v>
      </c>
      <c r="DI48" s="345">
        <v>0</v>
      </c>
      <c r="DJ48" s="345">
        <v>0</v>
      </c>
      <c r="DK48" s="345"/>
      <c r="DL48" s="345"/>
      <c r="DM48" s="345"/>
      <c r="DN48" s="345"/>
      <c r="DO48" s="345"/>
      <c r="DP48" s="345"/>
      <c r="DQ48" s="345"/>
      <c r="DR48" s="345"/>
      <c r="DS48" s="345"/>
      <c r="DT48" s="345"/>
      <c r="DU48" s="345"/>
      <c r="DV48" s="345"/>
      <c r="DW48" s="345"/>
      <c r="DX48" s="345"/>
      <c r="DY48" s="345"/>
      <c r="DZ48" s="345"/>
      <c r="EA48" s="345"/>
      <c r="EB48" s="345"/>
      <c r="EC48" s="541"/>
      <c r="EL48" s="541"/>
      <c r="EM48" s="793"/>
      <c r="EN48" s="128"/>
      <c r="EO48" s="128"/>
      <c r="EP48" s="128"/>
      <c r="EQ48" s="128"/>
      <c r="ER48" s="794"/>
      <c r="ES48" s="128"/>
      <c r="ET48" s="128"/>
      <c r="EU48" s="128"/>
      <c r="EV48" s="128"/>
    </row>
    <row r="49" spans="1:152" x14ac:dyDescent="0.25">
      <c r="A49" s="66" t="s">
        <v>317</v>
      </c>
      <c r="B49" s="66" t="s">
        <v>450</v>
      </c>
      <c r="C49" s="66" t="s">
        <v>368</v>
      </c>
      <c r="D49" s="64"/>
      <c r="E49" s="64"/>
      <c r="F49" s="64"/>
      <c r="G49" s="64"/>
      <c r="H49" s="64"/>
      <c r="I49" s="64"/>
      <c r="J49" s="64"/>
      <c r="K49" s="64"/>
      <c r="L49" s="64"/>
      <c r="M49" s="64"/>
      <c r="N49" s="64"/>
      <c r="O49" s="64"/>
      <c r="P49" s="64"/>
      <c r="Q49" s="64"/>
      <c r="R49" s="64"/>
      <c r="S49" s="64"/>
      <c r="T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64"/>
      <c r="AX49" s="64"/>
      <c r="AY49" s="542"/>
      <c r="AZ49" s="64"/>
      <c r="BA49" s="64"/>
      <c r="BB49" s="64"/>
      <c r="BC49" s="64"/>
      <c r="BD49" s="64"/>
      <c r="EC49" s="542"/>
      <c r="EL49" s="542"/>
      <c r="EM49" s="793"/>
      <c r="EN49" s="128"/>
      <c r="EO49" s="128"/>
      <c r="EP49" s="128"/>
      <c r="EQ49" s="128"/>
      <c r="ER49" s="794"/>
      <c r="ES49" s="128"/>
      <c r="ET49" s="128"/>
      <c r="EU49" s="128"/>
      <c r="EV49" s="128"/>
    </row>
    <row r="50" spans="1:152" x14ac:dyDescent="0.25">
      <c r="A50" s="258" t="s">
        <v>370</v>
      </c>
      <c r="B50" s="9" t="s">
        <v>399</v>
      </c>
      <c r="C50" s="236" t="s">
        <v>369</v>
      </c>
      <c r="D50" s="342">
        <f ca="1">INDEX(INDIRECT("SSW_WTPCore_DCE_"&amp;$B50&amp;"_UnitValues"),MATCH("COMBINED-NHH",WTPCore_Group,0),MATCH("MEAN",LMH,0))</f>
        <v>800.37595925297103</v>
      </c>
      <c r="E50" s="342">
        <f t="shared" ref="E50:E60" ca="1" si="66">INDEX(INDIRECT("SSW_WTPCore_DCE_"&amp;$B50&amp;"_UnitValues"),MATCH("COMBINED-NHH",WTPCore_Group,0),MATCH("LOW",LMH,0))</f>
        <v>666.97996604414254</v>
      </c>
      <c r="F50" s="342">
        <f t="shared" ref="F50:F60" ca="1" si="67">INDEX(INDIRECT("SSW_WTPCore_DCE_"&amp;$B50&amp;"_UnitValues"),MATCH("COMBINED-NHH",WTPCore_Group,0),MATCH("HIGH",LMH,0))</f>
        <v>933.77195246179951</v>
      </c>
      <c r="G50" s="342">
        <f t="shared" ref="G50:G60" ca="1" si="68">INDEX(INDIRECT("SSW_WTPCore_DCE_"&amp;$B26&amp;"_UnitValues"),3,MATCH("MEAN",LMH,0))</f>
        <v>1534.0539219015279</v>
      </c>
      <c r="H50" s="343">
        <f ca="1">INDEX(SSW_WTPMaxdiff_WTP_NHH_Unitvalues,MATCH($B50,WTPMaxdiff_WTP_options,0))</f>
        <v>522.26832331451192</v>
      </c>
      <c r="I50" s="342">
        <f ca="1">INDEX(INDIRECT("SSW_WTPCore2_"&amp;$B50&amp;"_UnitValues"),2,MATCH("MEAN",LMH,0))</f>
        <v>56.784428229127826</v>
      </c>
      <c r="J50" s="342">
        <f t="shared" ref="J50:J58" ca="1" si="69">INDEX(INDIRECT("SSW_WTPCore2_"&amp;$B50&amp;"_UnitValues"),2,MATCH("LOW",LMH,0))</f>
        <v>48.432035822640131</v>
      </c>
      <c r="K50" s="342">
        <f t="shared" ref="K50:K58" ca="1" si="70">INDEX(INDIRECT("SSW_WTPCore2_"&amp;$B50&amp;"_UnitValues"),2,MATCH("HIGH",LMH,0))</f>
        <v>65.136820635615521</v>
      </c>
      <c r="L50" s="342"/>
      <c r="M50" s="342"/>
      <c r="N50" s="342"/>
      <c r="O50" s="342"/>
      <c r="P50" s="342" t="str">
        <f t="shared" ref="P50:P65" si="71">IFERROR(INDEX(SSW_PR14_WTPCore_NHH_UnitValues,MATCH($B50,SSW_PR14_WTPCore_Options,0)),"")</f>
        <v/>
      </c>
      <c r="Q50" s="342"/>
      <c r="R50" s="342"/>
      <c r="S50" s="342"/>
      <c r="T50" s="342">
        <f ca="1">AVERAGE($AK50:$AX50)</f>
        <v>464.42202189180642</v>
      </c>
      <c r="U50" s="342"/>
      <c r="V50" s="342" t="str">
        <f t="shared" ref="V50:AC54" ca="1" si="72">IFERROR(INDEX(INDIRECT("PR14_Comp"&amp;V$23&amp;"_NHH_UnitValues"),MATCH($B50,INDIRECT("PR14_Comp"&amp;V$23&amp;"_WTPCore_Options"),0)),"")</f>
        <v/>
      </c>
      <c r="W50" s="342" t="str">
        <f t="shared" ca="1" si="72"/>
        <v/>
      </c>
      <c r="X50" s="342" t="str">
        <f t="shared" ca="1" si="72"/>
        <v/>
      </c>
      <c r="Y50" s="342" t="str">
        <f t="shared" ca="1" si="72"/>
        <v/>
      </c>
      <c r="Z50" s="342" t="str">
        <f t="shared" ca="1" si="72"/>
        <v/>
      </c>
      <c r="AA50" s="342" t="str">
        <f t="shared" ca="1" si="72"/>
        <v/>
      </c>
      <c r="AB50" s="342" t="str">
        <f t="shared" ca="1" si="72"/>
        <v/>
      </c>
      <c r="AC50" s="342" t="str">
        <f t="shared" ca="1" si="72"/>
        <v/>
      </c>
      <c r="AD50" s="342"/>
      <c r="AE50" s="342" t="str">
        <f t="shared" ref="AE50:AJ59" ca="1" si="73">IFERROR(INDEX(INDIRECT("PR14_Comp"&amp;AE$23&amp;"_NHH_UnitValues"),MATCH($B50,INDIRECT("PR14_Comp"&amp;AE$23&amp;"_WTPCore_Options"),0)),"")</f>
        <v/>
      </c>
      <c r="AF50" s="342" t="str">
        <f t="shared" ca="1" si="73"/>
        <v/>
      </c>
      <c r="AG50" s="342" t="str">
        <f t="shared" ca="1" si="73"/>
        <v/>
      </c>
      <c r="AH50" s="342" t="str">
        <f t="shared" ca="1" si="73"/>
        <v/>
      </c>
      <c r="AI50" s="342" t="str">
        <f t="shared" ca="1" si="73"/>
        <v/>
      </c>
      <c r="AJ50" s="342" t="str">
        <f t="shared" ca="1" si="73"/>
        <v/>
      </c>
      <c r="AK50" s="342" t="str">
        <f t="shared" ref="AK50:AO60" ca="1" si="74">IFERROR(INDEX(INDIRECT("PR19_Comp"&amp;AK$47&amp;"_UnitValues_NHH"),MATCH($B50,INDIRECT("PR19_Comp"&amp;AK$47&amp;"_WTPCore_Options"),0)),"")</f>
        <v/>
      </c>
      <c r="AL50" s="342" t="str">
        <f t="shared" ca="1" si="74"/>
        <v/>
      </c>
      <c r="AM50" s="342">
        <f t="shared" ca="1" si="74"/>
        <v>280.84914571325095</v>
      </c>
      <c r="AN50" s="342">
        <f t="shared" ca="1" si="74"/>
        <v>507.87824146392762</v>
      </c>
      <c r="AO50" s="342" t="str">
        <f t="shared" ca="1" si="74"/>
        <v/>
      </c>
      <c r="AP50" s="342"/>
      <c r="AQ50" s="342" t="str">
        <f t="shared" ref="AQ50:AX60" ca="1" si="75">IFERROR(INDEX(INDIRECT("PR19_Comp"&amp;AQ$47&amp;"_UnitValues_NHH"),MATCH($B50,INDIRECT("PR19_Comp"&amp;AQ$47&amp;"_WTPCore_Options"),0)),"")</f>
        <v/>
      </c>
      <c r="AR50" s="342" t="str">
        <f t="shared" ca="1" si="75"/>
        <v/>
      </c>
      <c r="AS50" s="342" t="str">
        <f t="shared" ca="1" si="75"/>
        <v/>
      </c>
      <c r="AT50" s="342" t="str">
        <f t="shared" ca="1" si="75"/>
        <v/>
      </c>
      <c r="AU50" s="342" t="str">
        <f t="shared" ca="1" si="75"/>
        <v/>
      </c>
      <c r="AV50" s="342" t="str">
        <f t="shared" ca="1" si="75"/>
        <v/>
      </c>
      <c r="AW50" s="342">
        <f t="shared" ca="1" si="75"/>
        <v>604.53867849824076</v>
      </c>
      <c r="AX50" s="342" t="str">
        <f t="shared" ca="1" si="75"/>
        <v/>
      </c>
      <c r="AY50" s="645">
        <f ca="1">SUMPRODUCT($D$48:$U$48,D50:U50)/SUMIF($D50:$U50,"&gt;0",$D$48:$U$48)</f>
        <v>448.87274713174776</v>
      </c>
      <c r="AZ50" s="543">
        <f ca="1">MIN($D50:$U50)</f>
        <v>48.432035822640131</v>
      </c>
      <c r="BA50" s="543">
        <f ca="1">MAX($D50:$U50)</f>
        <v>1534.0539219015279</v>
      </c>
      <c r="BB50" s="14">
        <f ca="1">0.8*AZ50+0.2*AY50</f>
        <v>128.52017808446166</v>
      </c>
      <c r="BC50" s="543">
        <f ca="1">0.8*BA50+0.2*AY50</f>
        <v>1317.017686947572</v>
      </c>
      <c r="BD50" s="543">
        <f ca="1">AY50-BB50</f>
        <v>320.35256904728612</v>
      </c>
      <c r="BE50" s="543">
        <f t="shared" ref="BE50:BE60" ca="1" si="76">BC50-AY50</f>
        <v>868.14493981582427</v>
      </c>
      <c r="BF50" s="543"/>
      <c r="BG50" s="543"/>
      <c r="BH50" s="543"/>
      <c r="BI50" s="543"/>
      <c r="BJ50" s="543"/>
      <c r="BK50" s="543"/>
      <c r="BL50" s="543"/>
      <c r="BM50" s="543"/>
      <c r="BN50" s="543"/>
      <c r="BO50" s="953"/>
      <c r="BP50" s="342">
        <f ca="1">INDEX(INDIRECT("CAM_WTPCore_"&amp;$B50&amp;"_UnitValues"),MATCH("COMBINED-NHH",WTPCore_Group,0),MATCH("MEAN",LMH,0))</f>
        <v>784.34042553191466</v>
      </c>
      <c r="BQ50" s="342">
        <f t="shared" ref="BQ50:BQ60" ca="1" si="77">INDEX(INDIRECT("CAM_WTPCore_"&amp;$B50&amp;"_UnitValues"),MATCH("COMBINED-NHH",WTPCore_Group,0),MATCH("LOW",LMH,0))</f>
        <v>522.89361702127644</v>
      </c>
      <c r="BR50" s="342">
        <f t="shared" ref="BR50:BR60" ca="1" si="78">INDEX(INDIRECT("CAM_WTPCore_"&amp;$B50&amp;"_UnitValues"),MATCH("COMBINED-NHH",WTPCore_Group,0),MATCH("HIGH",LMH,0))</f>
        <v>1045.7872340425529</v>
      </c>
      <c r="BS50" s="342">
        <f t="shared" ref="BS50:BS60" ca="1" si="79">INDEX(INDIRECT("CAM_WTPCore_"&amp;$B50&amp;"_UnitValues"),3,MATCH("MEAN",LMH,0))</f>
        <v>9499.2340425531893</v>
      </c>
      <c r="BT50" s="343">
        <f ca="1">INDEX(CAM_WTPMaxdiff_WTP_NHH_Unitvalues,MATCH($B50,WTPMaxdiff_WTP_options,0))</f>
        <v>2906.1240392935943</v>
      </c>
      <c r="BU50" s="342">
        <f ca="1">INDEX(INDIRECT("CAM_WTPCore2_"&amp;$B50&amp;"_UnitValues"),2,MATCH("MEAN",LMH,0))</f>
        <v>146.33957182198631</v>
      </c>
      <c r="BV50" s="342">
        <f t="shared" ref="BV50:BV58" ca="1" si="80">INDEX(INDIRECT("CAM_WTPCore2_"&amp;$B50&amp;"_UnitValues"),2,MATCH("LOW",LMH,0))</f>
        <v>0</v>
      </c>
      <c r="BW50" s="342">
        <f t="shared" ref="BW50:BW58" ca="1" si="81">INDEX(INDIRECT("CAM_WTPCore2_"&amp;$B50&amp;"_UnitValues"),2,MATCH("HIGH",LMH,0))</f>
        <v>5054.1098633464289</v>
      </c>
      <c r="BX50" s="342"/>
      <c r="BY50" s="342"/>
      <c r="BZ50" s="342"/>
      <c r="CA50" s="342"/>
      <c r="CB50" s="342"/>
      <c r="CC50" s="342"/>
      <c r="CD50" s="342"/>
      <c r="CE50" s="342"/>
      <c r="CF50" s="342">
        <f t="shared" ref="CF50:CF65" ca="1" si="82">AVERAGE($CW50:$DJ50)</f>
        <v>1663.9180636415065</v>
      </c>
      <c r="CG50" s="342"/>
      <c r="CH50" s="342" t="str">
        <f t="shared" ref="CH50:CO54" ca="1" si="83">IFERROR(INDEX(INDIRECT("PR14_Comp"&amp;CH$23&amp;"_NHH_UnitValues_CAM"),MATCH($B50,INDIRECT("PR14_Comp"&amp;CH$23&amp;"_WTPCore_Options"),0)),"")</f>
        <v/>
      </c>
      <c r="CI50" s="342" t="str">
        <f t="shared" ca="1" si="83"/>
        <v/>
      </c>
      <c r="CJ50" s="342" t="str">
        <f t="shared" ca="1" si="83"/>
        <v/>
      </c>
      <c r="CK50" s="342" t="str">
        <f t="shared" ca="1" si="83"/>
        <v/>
      </c>
      <c r="CL50" s="342" t="str">
        <f t="shared" ca="1" si="83"/>
        <v/>
      </c>
      <c r="CM50" s="342" t="str">
        <f t="shared" ca="1" si="83"/>
        <v/>
      </c>
      <c r="CN50" s="342" t="str">
        <f t="shared" ca="1" si="83"/>
        <v/>
      </c>
      <c r="CO50" s="342" t="str">
        <f t="shared" ca="1" si="83"/>
        <v/>
      </c>
      <c r="CP50" s="342"/>
      <c r="CQ50" s="342" t="str">
        <f t="shared" ref="CQ50:CV59" ca="1" si="84">IFERROR(INDEX(INDIRECT("PR14_Comp"&amp;CQ$23&amp;"_NHH_UnitValues_CAM"),MATCH($B50,INDIRECT("PR14_Comp"&amp;CQ$23&amp;"_WTPCore_Options"),0)),"")</f>
        <v/>
      </c>
      <c r="CR50" s="342" t="str">
        <f t="shared" ca="1" si="84"/>
        <v/>
      </c>
      <c r="CS50" s="342" t="str">
        <f t="shared" ca="1" si="84"/>
        <v/>
      </c>
      <c r="CT50" s="342" t="str">
        <f t="shared" ca="1" si="84"/>
        <v/>
      </c>
      <c r="CU50" s="342" t="str">
        <f t="shared" ca="1" si="84"/>
        <v/>
      </c>
      <c r="CV50" s="342" t="str">
        <f t="shared" ca="1" si="84"/>
        <v/>
      </c>
      <c r="CW50" s="342" t="str">
        <f t="shared" ref="CW50:DA60" ca="1" si="85">IFERROR(INDEX(INDIRECT("PR19_Comp"&amp;CW$47&amp;"_UnitValues_NHH_CAM"),MATCH($B50,INDIRECT("PR19_Comp"&amp;CW$47&amp;"_WTPCore_Options"),0)),"")</f>
        <v/>
      </c>
      <c r="CX50" s="342" t="str">
        <f t="shared" ca="1" si="85"/>
        <v/>
      </c>
      <c r="CY50" s="342">
        <f t="shared" ca="1" si="85"/>
        <v>286.64884950917155</v>
      </c>
      <c r="CZ50" s="342">
        <f t="shared" ca="1" si="85"/>
        <v>3175.0887016382803</v>
      </c>
      <c r="DA50" s="342" t="str">
        <f t="shared" ca="1" si="85"/>
        <v/>
      </c>
      <c r="DB50" s="342"/>
      <c r="DC50" s="342" t="str">
        <f t="shared" ref="DC50:DJ60" ca="1" si="86">IFERROR(INDEX(INDIRECT("PR19_Comp"&amp;DC$47&amp;"_UnitValues_NHH_CAM"),MATCH($B50,INDIRECT("PR19_Comp"&amp;DC$47&amp;"_WTPCore_Options"),0)),"")</f>
        <v/>
      </c>
      <c r="DD50" s="342" t="str">
        <f t="shared" ca="1" si="86"/>
        <v/>
      </c>
      <c r="DE50" s="342" t="str">
        <f t="shared" ca="1" si="86"/>
        <v/>
      </c>
      <c r="DF50" s="342" t="str">
        <f t="shared" ca="1" si="86"/>
        <v/>
      </c>
      <c r="DG50" s="342" t="str">
        <f t="shared" ca="1" si="86"/>
        <v/>
      </c>
      <c r="DH50" s="342" t="str">
        <f t="shared" ca="1" si="86"/>
        <v/>
      </c>
      <c r="DI50" s="342">
        <f t="shared" ca="1" si="86"/>
        <v>1530.0166397770674</v>
      </c>
      <c r="DJ50" s="342" t="str">
        <f t="shared" ca="1" si="86"/>
        <v/>
      </c>
      <c r="DK50" s="342"/>
      <c r="DL50" s="342"/>
      <c r="DM50" s="342"/>
      <c r="DN50" s="342"/>
      <c r="DO50" s="342"/>
      <c r="DP50" s="342"/>
      <c r="DQ50" s="342"/>
      <c r="DR50" s="342"/>
      <c r="DS50" s="342"/>
      <c r="DT50" s="342"/>
      <c r="DU50" s="342"/>
      <c r="DV50" s="342"/>
      <c r="DW50" s="342"/>
      <c r="DX50" s="342"/>
      <c r="DY50" s="342"/>
      <c r="DZ50" s="342"/>
      <c r="EA50" s="342"/>
      <c r="EB50" s="342"/>
      <c r="EC50" s="893">
        <f ca="1">SUMPRODUCT($BP$48:$CG$48,BP50:CG50)/SUMIF($BP50:$CG50,"&gt;0",$BP$48:$CG$48)</f>
        <v>1516.218263479479</v>
      </c>
      <c r="ED50" s="543">
        <f ca="1">MIN($BP50:$CG50)</f>
        <v>0</v>
      </c>
      <c r="EE50" s="543">
        <f ca="1">MAX($BP50:$CG50)</f>
        <v>9499.2340425531893</v>
      </c>
      <c r="EF50" s="14">
        <f ca="1">0.8*ED50+0.2*EC50</f>
        <v>303.24365269589583</v>
      </c>
      <c r="EG50" s="543">
        <f ca="1">0.8*EE50+0.2*EC50</f>
        <v>7902.6308867384469</v>
      </c>
      <c r="EH50" s="543">
        <f ca="1">EC50-EF50</f>
        <v>1212.9746107835831</v>
      </c>
      <c r="EI50" s="543">
        <f ca="1">EG50-EC50</f>
        <v>6386.4126232589679</v>
      </c>
      <c r="EL50" s="645">
        <f t="shared" ref="EL50:EL60" ca="1" si="87">(AY50*NHHProps_SSW+EC50*NHHProps_CAM)/NHHProps_All</f>
        <v>675.96753784403097</v>
      </c>
      <c r="EM50" s="798">
        <f t="shared" ref="EM50:EM60" ca="1" si="88">(AZ50*NHHProps_SSW+ED50*NHHProps_CAM)/NHHProps_All</f>
        <v>38.127347349737974</v>
      </c>
      <c r="EN50" s="892">
        <f t="shared" ref="EN50:EN60" ca="1" si="89">(BA50*NHHProps_SSW+EE50*NHHProps_CAM)/NHHProps_All</f>
        <v>3228.7730965082646</v>
      </c>
      <c r="EO50" s="892">
        <f t="shared" ref="EO50:EO60" ca="1" si="90">(BB50*HHProps_SSW+EF50*HHProps_CAM)/HHProps_All</f>
        <v>162.03229400554201</v>
      </c>
      <c r="EP50" s="892">
        <f t="shared" ref="EP50:EP60" ca="1" si="91">(BC50*HHProps_SSW+EG50*HHProps_CAM)/HHProps_All</f>
        <v>2580.144083979204</v>
      </c>
      <c r="EQ50" s="887">
        <f t="shared" ref="EQ50:EQ60" ca="1" si="92">(BD50*HHProps_SSW+EH50*HHProps_CAM)/HHProps_All</f>
        <v>491.55826080051435</v>
      </c>
      <c r="ER50" s="795">
        <f t="shared" ref="ER50:ER60" ca="1" si="93">(BE50*HHProps_SSW+EI50*HHProps_CAM)/HHProps_All</f>
        <v>1926.5535291731474</v>
      </c>
      <c r="ES50" s="887"/>
      <c r="ET50" s="887"/>
      <c r="EU50" s="887"/>
      <c r="EV50" s="887"/>
    </row>
    <row r="51" spans="1:152" x14ac:dyDescent="0.25">
      <c r="A51" s="258" t="s">
        <v>25</v>
      </c>
      <c r="B51" s="9" t="s">
        <v>266</v>
      </c>
      <c r="C51" s="236" t="s">
        <v>369</v>
      </c>
      <c r="D51" s="342">
        <f t="shared" ref="D51:D65" ca="1" si="94">INDEX(INDIRECT("SSW_WTPCore_DCE_"&amp;$B51&amp;"_UnitValues"),MATCH("COMBINED-NHH",WTPCore_Group,0),MATCH("MEAN",LMH,0))</f>
        <v>44.321585387272407</v>
      </c>
      <c r="E51" s="342">
        <f t="shared" ca="1" si="66"/>
        <v>44.321585387272407</v>
      </c>
      <c r="F51" s="342">
        <f t="shared" ca="1" si="67"/>
        <v>53.185902464726887</v>
      </c>
      <c r="G51" s="342">
        <f t="shared" ca="1" si="68"/>
        <v>52.107809847198645</v>
      </c>
      <c r="H51" s="343">
        <f t="shared" ref="H51:H60" ca="1" si="95">INDEX(SSW_WTPMaxdiff_WTP_NHH_Unitvalues,MATCH($B51,WTPMaxdiff_WTP_options,0))</f>
        <v>69.186360765169724</v>
      </c>
      <c r="I51" s="342">
        <f t="shared" ref="I51:I58" ca="1" si="96">INDEX(INDIRECT("SSW_WTPCore2_"&amp;$B51&amp;"_UnitValues"),2,MATCH("MEAN",LMH,0))</f>
        <v>207.13203782671931</v>
      </c>
      <c r="J51" s="342">
        <f t="shared" ca="1" si="69"/>
        <v>176.69853077634474</v>
      </c>
      <c r="K51" s="342">
        <f t="shared" ca="1" si="70"/>
        <v>237.56554487709386</v>
      </c>
      <c r="L51" s="342"/>
      <c r="M51" s="342"/>
      <c r="N51" s="342"/>
      <c r="O51" s="342"/>
      <c r="P51" s="342">
        <f t="shared" ca="1" si="71"/>
        <v>118.66225503052048</v>
      </c>
      <c r="Q51" s="342"/>
      <c r="R51" s="342"/>
      <c r="S51" s="342">
        <f ca="1">AVERAGE( $V51:$AJ51)</f>
        <v>134.95804761465288</v>
      </c>
      <c r="T51" s="342">
        <f ca="1">AVERAGE($AK51:$AX51)</f>
        <v>95.341906085695584</v>
      </c>
      <c r="U51" s="342"/>
      <c r="V51" s="342" t="str">
        <f t="shared" ca="1" si="72"/>
        <v/>
      </c>
      <c r="W51" s="342" t="str">
        <f t="shared" ca="1" si="72"/>
        <v/>
      </c>
      <c r="X51" s="342">
        <f t="shared" ca="1" si="72"/>
        <v>100.64090633642502</v>
      </c>
      <c r="Y51" s="342">
        <f t="shared" ca="1" si="72"/>
        <v>142.5305110552392</v>
      </c>
      <c r="Z51" s="342">
        <f t="shared" ca="1" si="72"/>
        <v>75.828074267423972</v>
      </c>
      <c r="AA51" s="342" t="str">
        <f t="shared" ca="1" si="72"/>
        <v/>
      </c>
      <c r="AB51" s="342">
        <f t="shared" ca="1" si="72"/>
        <v>148.62579772012</v>
      </c>
      <c r="AC51" s="342" t="str">
        <f t="shared" ca="1" si="72"/>
        <v/>
      </c>
      <c r="AD51" s="342" t="str">
        <f ca="1">IFERROR(INDEX(INDIRECT("PR14_Comp"&amp;AD$23&amp;"_NHH_UnitValues"),MATCH($B51,INDIRECT("PR14_Comp"&amp;AD$23&amp;"_WTPCore_Options"),0)),"")</f>
        <v/>
      </c>
      <c r="AE51" s="342">
        <f t="shared" ca="1" si="73"/>
        <v>164.31416303251544</v>
      </c>
      <c r="AF51" s="342" t="str">
        <f t="shared" ca="1" si="73"/>
        <v/>
      </c>
      <c r="AG51" s="342">
        <f t="shared" ca="1" si="73"/>
        <v>113.35285434429817</v>
      </c>
      <c r="AH51" s="342">
        <f t="shared" ca="1" si="73"/>
        <v>122.71837765287952</v>
      </c>
      <c r="AI51" s="342" t="str">
        <f t="shared" ca="1" si="73"/>
        <v/>
      </c>
      <c r="AJ51" s="342">
        <f t="shared" ca="1" si="73"/>
        <v>211.65369650832176</v>
      </c>
      <c r="AK51" s="342">
        <f t="shared" ca="1" si="74"/>
        <v>125.86350871263507</v>
      </c>
      <c r="AL51" s="342" t="str">
        <f t="shared" ca="1" si="74"/>
        <v/>
      </c>
      <c r="AM51" s="342">
        <f t="shared" ca="1" si="74"/>
        <v>40.222743504143473</v>
      </c>
      <c r="AN51" s="342">
        <f t="shared" ca="1" si="74"/>
        <v>185.22301587891073</v>
      </c>
      <c r="AO51" s="342" t="str">
        <f t="shared" ca="1" si="74"/>
        <v/>
      </c>
      <c r="AP51" s="342"/>
      <c r="AQ51" s="342" t="str">
        <f t="shared" ca="1" si="75"/>
        <v/>
      </c>
      <c r="AR51" s="342" t="str">
        <f t="shared" ca="1" si="75"/>
        <v/>
      </c>
      <c r="AS51" s="342" t="str">
        <f t="shared" ca="1" si="75"/>
        <v/>
      </c>
      <c r="AT51" s="342">
        <f t="shared" ca="1" si="75"/>
        <v>51.680914469717386</v>
      </c>
      <c r="AU51" s="342">
        <f t="shared" ca="1" si="75"/>
        <v>73.719347863071306</v>
      </c>
      <c r="AV51" s="342" t="str">
        <f t="shared" ca="1" si="75"/>
        <v/>
      </c>
      <c r="AW51" s="342" t="str">
        <f t="shared" ca="1" si="75"/>
        <v/>
      </c>
      <c r="AX51" s="342" t="str">
        <f t="shared" ca="1" si="75"/>
        <v/>
      </c>
      <c r="AY51" s="645">
        <f t="shared" ref="AY51:AY65" ca="1" si="97">SUMPRODUCT($D$48:$U$48,D51:U51)/SUMIF($D51:$U51,"&gt;0",$D$48:$U$48)</f>
        <v>113.8850479474503</v>
      </c>
      <c r="AZ51" s="543">
        <f t="shared" ref="AZ51:AZ65" ca="1" si="98">MIN($D51:$U51)</f>
        <v>44.321585387272407</v>
      </c>
      <c r="BA51" s="543">
        <f t="shared" ref="BA51:BA65" ca="1" si="99">MAX($D51:$U51)</f>
        <v>237.56554487709386</v>
      </c>
      <c r="BB51" s="14">
        <f t="shared" ref="BB51:BB65" ca="1" si="100">0.8*AZ51+0.2*AY51</f>
        <v>58.23427789930799</v>
      </c>
      <c r="BC51" s="543">
        <f t="shared" ref="BC51:BC65" ca="1" si="101">0.8*BA51+0.2*AY51</f>
        <v>212.82944549116516</v>
      </c>
      <c r="BD51" s="543">
        <f t="shared" ref="BD51:BD65" ca="1" si="102">AY51-BB51</f>
        <v>55.650770048142313</v>
      </c>
      <c r="BE51" s="543">
        <f t="shared" ca="1" si="76"/>
        <v>98.944397543714857</v>
      </c>
      <c r="BF51" s="543"/>
      <c r="BG51" s="543"/>
      <c r="BH51" s="543"/>
      <c r="BI51" s="543"/>
      <c r="BJ51" s="543"/>
      <c r="BK51" s="543"/>
      <c r="BL51" s="543"/>
      <c r="BM51" s="543"/>
      <c r="BN51" s="543"/>
      <c r="BO51" s="953"/>
      <c r="BP51" s="342">
        <f t="shared" ref="BP51:BP65" ca="1" si="103">INDEX(INDIRECT("CAM_WTPCore_"&amp;$B51&amp;"_UnitValues"),MATCH("COMBINED-NHH",WTPCore_Group,0),MATCH("MEAN",LMH,0))</f>
        <v>290.49645390070918</v>
      </c>
      <c r="BQ51" s="342">
        <f t="shared" ca="1" si="77"/>
        <v>217.87234042553189</v>
      </c>
      <c r="BR51" s="342">
        <f t="shared" ca="1" si="78"/>
        <v>326.80851063829778</v>
      </c>
      <c r="BS51" s="342">
        <f t="shared" ca="1" si="79"/>
        <v>1752.5106382978724</v>
      </c>
      <c r="BT51" s="343">
        <f t="shared" ref="BT51:BT60" ca="1" si="104">INDEX(CAM_WTPMaxdiff_WTP_NHH_Unitvalues,MATCH($B51,WTPMaxdiff_WTP_options,0))</f>
        <v>1564.4402601574698</v>
      </c>
      <c r="BU51" s="342">
        <f t="shared" ref="BU51:BU58" ca="1" si="105">INDEX(INDIRECT("CAM_WTPCore2_"&amp;$B51&amp;"_UnitValues"),2,MATCH("MEAN",LMH,0))</f>
        <v>3003.7798612861075</v>
      </c>
      <c r="BV51" s="342">
        <f t="shared" ca="1" si="80"/>
        <v>2961.3068598220516</v>
      </c>
      <c r="BW51" s="342">
        <f t="shared" ca="1" si="81"/>
        <v>3046.2528627501629</v>
      </c>
      <c r="BX51" s="342"/>
      <c r="BY51" s="342"/>
      <c r="BZ51" s="342"/>
      <c r="CA51" s="342"/>
      <c r="CB51" s="342"/>
      <c r="CC51" s="342" t="str">
        <f t="shared" ref="CC51:CC59" si="106">IFERROR(INDEX(CAM_WRMP_Online_UnitValues,MATCH($A51,WRMP_Online_WTPAtts,0)),"")</f>
        <v/>
      </c>
      <c r="CD51" s="342" t="str">
        <f t="shared" ref="CD51:CD59" si="107">IFERROR(INDEX(CAM_WRMP_Workshop_UnitValues,MATCH($A51,WRMP_Workshop_WTPAtts,0)),"")</f>
        <v/>
      </c>
      <c r="CE51" s="342">
        <f ca="1">AVERAGE($CH51:$CV51)</f>
        <v>991.44746136180504</v>
      </c>
      <c r="CF51" s="342">
        <f t="shared" ca="1" si="82"/>
        <v>482.08031748002361</v>
      </c>
      <c r="CG51" s="342"/>
      <c r="CH51" s="342" t="str">
        <f t="shared" ca="1" si="83"/>
        <v/>
      </c>
      <c r="CI51" s="342" t="str">
        <f t="shared" ca="1" si="83"/>
        <v/>
      </c>
      <c r="CJ51" s="342">
        <f t="shared" ca="1" si="83"/>
        <v>906.67937184725076</v>
      </c>
      <c r="CK51" s="342">
        <f t="shared" ca="1" si="83"/>
        <v>1852.1670367859608</v>
      </c>
      <c r="CL51" s="342">
        <f t="shared" ca="1" si="83"/>
        <v>228.74375221283185</v>
      </c>
      <c r="CM51" s="342" t="str">
        <f t="shared" ca="1" si="83"/>
        <v/>
      </c>
      <c r="CN51" s="342">
        <f t="shared" ca="1" si="83"/>
        <v>1751.3307570126572</v>
      </c>
      <c r="CO51" s="342" t="str">
        <f t="shared" ca="1" si="83"/>
        <v/>
      </c>
      <c r="CP51" s="342"/>
      <c r="CQ51" s="342">
        <f t="shared" ca="1" si="84"/>
        <v>1507.1160172685343</v>
      </c>
      <c r="CR51" s="342" t="str">
        <f t="shared" ca="1" si="84"/>
        <v/>
      </c>
      <c r="CS51" s="342">
        <f t="shared" ca="1" si="84"/>
        <v>869.08366402100239</v>
      </c>
      <c r="CT51" s="342">
        <f t="shared" ca="1" si="84"/>
        <v>816.39607287155729</v>
      </c>
      <c r="CU51" s="342" t="str">
        <f t="shared" ca="1" si="84"/>
        <v/>
      </c>
      <c r="CV51" s="342">
        <f t="shared" ca="1" si="84"/>
        <v>6.3018874645689005E-2</v>
      </c>
      <c r="CW51" s="342">
        <f t="shared" ca="1" si="85"/>
        <v>659.37354356007484</v>
      </c>
      <c r="CX51" s="342" t="str">
        <f t="shared" ca="1" si="85"/>
        <v/>
      </c>
      <c r="CY51" s="342">
        <f t="shared" ca="1" si="85"/>
        <v>171.49243525209653</v>
      </c>
      <c r="CZ51" s="342">
        <f t="shared" ca="1" si="85"/>
        <v>1157.9537317947243</v>
      </c>
      <c r="DA51" s="342" t="str">
        <f t="shared" ca="1" si="85"/>
        <v/>
      </c>
      <c r="DB51" s="342"/>
      <c r="DC51" s="342" t="str">
        <f t="shared" ca="1" si="86"/>
        <v/>
      </c>
      <c r="DD51" s="342" t="str">
        <f t="shared" ca="1" si="86"/>
        <v/>
      </c>
      <c r="DE51" s="342" t="str">
        <f t="shared" ca="1" si="86"/>
        <v/>
      </c>
      <c r="DF51" s="342">
        <f t="shared" ca="1" si="86"/>
        <v>154.31876037911638</v>
      </c>
      <c r="DG51" s="342">
        <f t="shared" ca="1" si="86"/>
        <v>267.26311641410587</v>
      </c>
      <c r="DH51" s="342" t="str">
        <f t="shared" ca="1" si="86"/>
        <v/>
      </c>
      <c r="DI51" s="342" t="str">
        <f t="shared" ca="1" si="86"/>
        <v/>
      </c>
      <c r="DJ51" s="342" t="str">
        <f t="shared" ca="1" si="86"/>
        <v/>
      </c>
      <c r="DK51" s="342"/>
      <c r="DL51" s="342"/>
      <c r="DM51" s="342"/>
      <c r="DN51" s="342"/>
      <c r="DO51" s="342"/>
      <c r="DP51" s="342"/>
      <c r="DQ51" s="342"/>
      <c r="DR51" s="342"/>
      <c r="DS51" s="342"/>
      <c r="DT51" s="342"/>
      <c r="DU51" s="342"/>
      <c r="DV51" s="342"/>
      <c r="DW51" s="342"/>
      <c r="DX51" s="342"/>
      <c r="DY51" s="342"/>
      <c r="DZ51" s="342"/>
      <c r="EA51" s="342"/>
      <c r="EB51" s="342"/>
      <c r="EC51" s="645">
        <f t="shared" ref="EC51:EC60" ca="1" si="108">SUMPRODUCT($BP$48:$CG$48,BP51:CG51)/SUMIF($BP51:$CG51,"&gt;0",$BP$48:$CG$48)</f>
        <v>698.5845456679084</v>
      </c>
      <c r="ED51" s="543">
        <f t="shared" ref="ED51:ED65" ca="1" si="109">MIN($BP51:$CG51)</f>
        <v>217.87234042553189</v>
      </c>
      <c r="EE51" s="543">
        <f t="shared" ref="EE51:EE65" ca="1" si="110">MAX($BP51:$CG51)</f>
        <v>3046.2528627501629</v>
      </c>
      <c r="EF51" s="14">
        <f t="shared" ref="EF51:EF65" ca="1" si="111">0.8*ED51+0.2*EC51</f>
        <v>314.01478147400724</v>
      </c>
      <c r="EG51" s="543">
        <f t="shared" ref="EG51:EG65" ca="1" si="112">0.8*EE51+0.2*EC51</f>
        <v>2576.7191993337124</v>
      </c>
      <c r="EH51" s="543">
        <f t="shared" ref="EH51:EH60" ca="1" si="113">EC51-EF51</f>
        <v>384.56976419390116</v>
      </c>
      <c r="EI51" s="543">
        <f t="shared" ref="EI51:EI60" ca="1" si="114">EG51-EC51</f>
        <v>1878.1346536658039</v>
      </c>
      <c r="EL51" s="645">
        <f t="shared" ca="1" si="87"/>
        <v>238.28919639861164</v>
      </c>
      <c r="EM51" s="798">
        <f t="shared" ca="1" si="88"/>
        <v>81.247277948604207</v>
      </c>
      <c r="EN51" s="892">
        <f t="shared" ca="1" si="89"/>
        <v>835.15859123306598</v>
      </c>
      <c r="EO51" s="892">
        <f t="shared" ca="1" si="90"/>
        <v>107.29320318230302</v>
      </c>
      <c r="EP51" s="892">
        <f t="shared" ca="1" si="91"/>
        <v>666.22557690166832</v>
      </c>
      <c r="EQ51" s="887">
        <f t="shared" ca="1" si="92"/>
        <v>118.73772207317073</v>
      </c>
      <c r="ER51" s="795">
        <f t="shared" ca="1" si="93"/>
        <v>440.19465164619459</v>
      </c>
      <c r="ES51" s="887"/>
      <c r="ET51" s="887"/>
      <c r="EU51" s="887"/>
      <c r="EV51" s="887"/>
    </row>
    <row r="52" spans="1:152" x14ac:dyDescent="0.25">
      <c r="A52" s="258" t="s">
        <v>117</v>
      </c>
      <c r="B52" s="9" t="s">
        <v>265</v>
      </c>
      <c r="C52" s="236" t="s">
        <v>369</v>
      </c>
      <c r="D52" s="342">
        <f t="shared" ca="1" si="94"/>
        <v>70.914536619635854</v>
      </c>
      <c r="E52" s="342">
        <f t="shared" ca="1" si="66"/>
        <v>53.185902464726887</v>
      </c>
      <c r="F52" s="342">
        <f t="shared" ca="1" si="67"/>
        <v>79.778853697090327</v>
      </c>
      <c r="G52" s="342">
        <f t="shared" ca="1" si="68"/>
        <v>350.16448217317492</v>
      </c>
      <c r="H52" s="343">
        <f t="shared" ca="1" si="95"/>
        <v>412.98935349055165</v>
      </c>
      <c r="I52" s="342">
        <f t="shared" ca="1" si="96"/>
        <v>184.66986976717914</v>
      </c>
      <c r="J52" s="342">
        <f t="shared" ca="1" si="69"/>
        <v>157.52103994656585</v>
      </c>
      <c r="K52" s="342">
        <f t="shared" ca="1" si="70"/>
        <v>211.81869958779242</v>
      </c>
      <c r="L52" s="342"/>
      <c r="M52" s="342"/>
      <c r="N52" s="342"/>
      <c r="O52" s="342"/>
      <c r="P52" s="342">
        <f t="shared" ca="1" si="71"/>
        <v>129.73739883336907</v>
      </c>
      <c r="Q52" s="342"/>
      <c r="R52" s="342"/>
      <c r="S52" s="342">
        <f t="shared" ref="S52:S60" ca="1" si="115">AVERAGE( $V52:$AJ52)</f>
        <v>202.78386685394906</v>
      </c>
      <c r="T52" s="342">
        <f t="shared" ref="T52:T65" ca="1" si="116">AVERAGE($AK52:$AX52)</f>
        <v>298.80167699686126</v>
      </c>
      <c r="U52" s="342"/>
      <c r="V52" s="342">
        <f t="shared" ca="1" si="72"/>
        <v>255.97096880259215</v>
      </c>
      <c r="W52" s="342" t="str">
        <f t="shared" ca="1" si="72"/>
        <v/>
      </c>
      <c r="X52" s="342">
        <f t="shared" ca="1" si="72"/>
        <v>366.15260464875706</v>
      </c>
      <c r="Y52" s="342">
        <f t="shared" ca="1" si="72"/>
        <v>141.51097950262664</v>
      </c>
      <c r="Z52" s="342" t="str">
        <f t="shared" ca="1" si="72"/>
        <v/>
      </c>
      <c r="AA52" s="342" t="str">
        <f t="shared" ca="1" si="72"/>
        <v/>
      </c>
      <c r="AB52" s="342">
        <f t="shared" ca="1" si="72"/>
        <v>191.50125826057865</v>
      </c>
      <c r="AC52" s="342" t="str">
        <f t="shared" ca="1" si="72"/>
        <v/>
      </c>
      <c r="AD52" s="342" t="str">
        <f ca="1">IFERROR(INDEX(INDIRECT("PR14_Comp"&amp;AD$23&amp;"_NHH_UnitValues"),MATCH($B52,INDIRECT("PR14_Comp"&amp;AD$23&amp;"_WTPCore_Options"),0)),"")</f>
        <v/>
      </c>
      <c r="AE52" s="342" t="str">
        <f t="shared" ca="1" si="73"/>
        <v/>
      </c>
      <c r="AF52" s="342" t="str">
        <f t="shared" ca="1" si="73"/>
        <v/>
      </c>
      <c r="AG52" s="342">
        <f t="shared" ca="1" si="73"/>
        <v>244.78602558692214</v>
      </c>
      <c r="AH52" s="342">
        <f t="shared" ca="1" si="73"/>
        <v>76.698986033049692</v>
      </c>
      <c r="AI52" s="342" t="str">
        <f t="shared" ca="1" si="73"/>
        <v/>
      </c>
      <c r="AJ52" s="342">
        <f t="shared" ca="1" si="73"/>
        <v>142.8662451431172</v>
      </c>
      <c r="AK52" s="342" t="str">
        <f t="shared" ca="1" si="74"/>
        <v/>
      </c>
      <c r="AL52" s="342" t="str">
        <f t="shared" ca="1" si="74"/>
        <v/>
      </c>
      <c r="AM52" s="342">
        <f t="shared" ca="1" si="74"/>
        <v>117.45208175872422</v>
      </c>
      <c r="AN52" s="342">
        <f t="shared" ca="1" si="74"/>
        <v>287.45612417616519</v>
      </c>
      <c r="AO52" s="342" t="str">
        <f t="shared" ca="1" si="74"/>
        <v/>
      </c>
      <c r="AP52" s="342"/>
      <c r="AQ52" s="342">
        <f t="shared" ca="1" si="75"/>
        <v>961.91131946887026</v>
      </c>
      <c r="AR52" s="342" t="str">
        <f t="shared" ca="1" si="75"/>
        <v/>
      </c>
      <c r="AS52" s="342">
        <f t="shared" ca="1" si="75"/>
        <v>181.18671000930973</v>
      </c>
      <c r="AT52" s="342">
        <f t="shared" ca="1" si="75"/>
        <v>117.70950491119771</v>
      </c>
      <c r="AU52" s="342">
        <f t="shared" ca="1" si="75"/>
        <v>127.09432165690049</v>
      </c>
      <c r="AV52" s="342" t="str">
        <f t="shared" ca="1" si="75"/>
        <v/>
      </c>
      <c r="AW52" s="342" t="str">
        <f t="shared" ca="1" si="75"/>
        <v/>
      </c>
      <c r="AX52" s="342" t="str">
        <f t="shared" ca="1" si="75"/>
        <v/>
      </c>
      <c r="AY52" s="645">
        <f t="shared" ca="1" si="97"/>
        <v>190.15878670162689</v>
      </c>
      <c r="AZ52" s="543">
        <f t="shared" ca="1" si="98"/>
        <v>53.185902464726887</v>
      </c>
      <c r="BA52" s="543">
        <f t="shared" ca="1" si="99"/>
        <v>412.98935349055165</v>
      </c>
      <c r="BB52" s="14">
        <f t="shared" ca="1" si="100"/>
        <v>80.580479312106888</v>
      </c>
      <c r="BC52" s="543">
        <f t="shared" ca="1" si="101"/>
        <v>368.42324013276675</v>
      </c>
      <c r="BD52" s="543">
        <f t="shared" ca="1" si="102"/>
        <v>109.57830738952001</v>
      </c>
      <c r="BE52" s="543">
        <f t="shared" ca="1" si="76"/>
        <v>178.26445343113986</v>
      </c>
      <c r="BF52" s="543"/>
      <c r="BG52" s="543"/>
      <c r="BH52" s="543"/>
      <c r="BI52" s="543"/>
      <c r="BJ52" s="543"/>
      <c r="BK52" s="543"/>
      <c r="BL52" s="543"/>
      <c r="BM52" s="543"/>
      <c r="BN52" s="543"/>
      <c r="BO52" s="953"/>
      <c r="BP52" s="342">
        <f t="shared" ca="1" si="103"/>
        <v>181.56028368794324</v>
      </c>
      <c r="BQ52" s="342">
        <f t="shared" ca="1" si="77"/>
        <v>145.24822695035459</v>
      </c>
      <c r="BR52" s="342">
        <f t="shared" ca="1" si="78"/>
        <v>181.56028368794324</v>
      </c>
      <c r="BS52" s="342">
        <f t="shared" ca="1" si="79"/>
        <v>1864.018912529551</v>
      </c>
      <c r="BT52" s="343">
        <f t="shared" ca="1" si="104"/>
        <v>2754.0372883720047</v>
      </c>
      <c r="BU52" s="342">
        <f t="shared" ca="1" si="105"/>
        <v>4536.682431842446</v>
      </c>
      <c r="BV52" s="342">
        <f t="shared" ca="1" si="80"/>
        <v>4500.9957697684013</v>
      </c>
      <c r="BW52" s="342">
        <f t="shared" ca="1" si="81"/>
        <v>124577.93766392799</v>
      </c>
      <c r="BX52" s="342"/>
      <c r="BY52" s="342"/>
      <c r="BZ52" s="342"/>
      <c r="CA52" s="342"/>
      <c r="CB52" s="342"/>
      <c r="CC52" s="342" t="str">
        <f t="shared" si="106"/>
        <v/>
      </c>
      <c r="CD52" s="342" t="str">
        <f t="shared" si="107"/>
        <v/>
      </c>
      <c r="CE52" s="342">
        <f t="shared" ref="CE52:CE60" ca="1" si="117">AVERAGE($CH52:$CV52)</f>
        <v>1733.6259336177989</v>
      </c>
      <c r="CF52" s="342">
        <f t="shared" ca="1" si="82"/>
        <v>1821.9422844400433</v>
      </c>
      <c r="CG52" s="342"/>
      <c r="CH52" s="342">
        <f t="shared" ca="1" si="83"/>
        <v>2354.1408258041974</v>
      </c>
      <c r="CI52" s="342" t="str">
        <f t="shared" ca="1" si="83"/>
        <v/>
      </c>
      <c r="CJ52" s="342">
        <f t="shared" ca="1" si="83"/>
        <v>3298.6886313742871</v>
      </c>
      <c r="CK52" s="342">
        <f t="shared" ca="1" si="83"/>
        <v>1838.9183455357033</v>
      </c>
      <c r="CL52" s="342" t="str">
        <f t="shared" ca="1" si="83"/>
        <v/>
      </c>
      <c r="CM52" s="342" t="str">
        <f t="shared" ca="1" si="83"/>
        <v/>
      </c>
      <c r="CN52" s="342">
        <f t="shared" ca="1" si="83"/>
        <v>2256.5533624918839</v>
      </c>
      <c r="CO52" s="342" t="str">
        <f t="shared" ca="1" si="83"/>
        <v/>
      </c>
      <c r="CP52" s="342"/>
      <c r="CQ52" s="342" t="str">
        <f t="shared" ca="1" si="84"/>
        <v/>
      </c>
      <c r="CR52" s="342" t="str">
        <f t="shared" ca="1" si="84"/>
        <v/>
      </c>
      <c r="CS52" s="342">
        <f t="shared" ca="1" si="84"/>
        <v>1876.7902868334097</v>
      </c>
      <c r="CT52" s="342">
        <f t="shared" ca="1" si="84"/>
        <v>510.24754554472327</v>
      </c>
      <c r="CU52" s="342" t="str">
        <f t="shared" ca="1" si="84"/>
        <v/>
      </c>
      <c r="CV52" s="342">
        <f t="shared" ca="1" si="84"/>
        <v>4.253774038584008E-2</v>
      </c>
      <c r="CW52" s="342" t="str">
        <f t="shared" ca="1" si="85"/>
        <v/>
      </c>
      <c r="CX52" s="342" t="str">
        <f t="shared" ca="1" si="85"/>
        <v/>
      </c>
      <c r="CY52" s="342">
        <f t="shared" ca="1" si="85"/>
        <v>500.76503419407629</v>
      </c>
      <c r="CZ52" s="342">
        <f t="shared" ca="1" si="85"/>
        <v>1797.0816970966803</v>
      </c>
      <c r="DA52" s="342" t="str">
        <f t="shared" ca="1" si="85"/>
        <v/>
      </c>
      <c r="DB52" s="342"/>
      <c r="DC52" s="342">
        <f t="shared" ca="1" si="86"/>
        <v>7052.3453554666075</v>
      </c>
      <c r="DD52" s="342" t="str">
        <f t="shared" ca="1" si="86"/>
        <v/>
      </c>
      <c r="DE52" s="342">
        <f t="shared" ca="1" si="86"/>
        <v>769.21259853584286</v>
      </c>
      <c r="DF52" s="342">
        <f t="shared" ca="1" si="86"/>
        <v>351.47955621759087</v>
      </c>
      <c r="DG52" s="342">
        <f t="shared" ca="1" si="86"/>
        <v>460.76946512946057</v>
      </c>
      <c r="DH52" s="342" t="str">
        <f t="shared" ca="1" si="86"/>
        <v/>
      </c>
      <c r="DI52" s="342" t="str">
        <f t="shared" ca="1" si="86"/>
        <v/>
      </c>
      <c r="DJ52" s="342" t="str">
        <f t="shared" ca="1" si="86"/>
        <v/>
      </c>
      <c r="DK52" s="342"/>
      <c r="DL52" s="342"/>
      <c r="DM52" s="342"/>
      <c r="DN52" s="342"/>
      <c r="DO52" s="342"/>
      <c r="DP52" s="342"/>
      <c r="DQ52" s="342"/>
      <c r="DR52" s="342"/>
      <c r="DS52" s="342"/>
      <c r="DT52" s="342"/>
      <c r="DU52" s="342"/>
      <c r="DV52" s="342"/>
      <c r="DW52" s="342"/>
      <c r="DX52" s="342"/>
      <c r="DY52" s="342"/>
      <c r="DZ52" s="342"/>
      <c r="EA52" s="342"/>
      <c r="EB52" s="342"/>
      <c r="EC52" s="645">
        <f t="shared" ca="1" si="108"/>
        <v>1182.393022889587</v>
      </c>
      <c r="ED52" s="543">
        <f t="shared" ca="1" si="109"/>
        <v>145.24822695035459</v>
      </c>
      <c r="EE52" s="543">
        <f ca="1">MAX($BP52:$CG52)</f>
        <v>124577.93766392799</v>
      </c>
      <c r="EF52" s="14">
        <f t="shared" ca="1" si="111"/>
        <v>352.67718613820108</v>
      </c>
      <c r="EG52" s="543">
        <f t="shared" ca="1" si="112"/>
        <v>99898.828735720323</v>
      </c>
      <c r="EH52" s="543">
        <f t="shared" ca="1" si="113"/>
        <v>829.71583675138595</v>
      </c>
      <c r="EI52" s="543">
        <f t="shared" ca="1" si="114"/>
        <v>98716.435712830731</v>
      </c>
      <c r="EL52" s="645">
        <f t="shared" ca="1" si="87"/>
        <v>401.27245397566094</v>
      </c>
      <c r="EM52" s="798">
        <f t="shared" ca="1" si="88"/>
        <v>72.773631078690229</v>
      </c>
      <c r="EN52" s="892">
        <f t="shared" ca="1" si="89"/>
        <v>26831.063462094262</v>
      </c>
      <c r="EO52" s="892">
        <f t="shared" ca="1" si="90"/>
        <v>132.76886671213373</v>
      </c>
      <c r="EP52" s="892">
        <f t="shared" ca="1" si="91"/>
        <v>19458.442449388946</v>
      </c>
      <c r="EQ52" s="887">
        <f t="shared" ca="1" si="92"/>
        <v>247.70131814560264</v>
      </c>
      <c r="ER52" s="795">
        <f t="shared" ca="1" si="93"/>
        <v>19077.972264531207</v>
      </c>
      <c r="ES52" s="887"/>
      <c r="ET52" s="887"/>
      <c r="EU52" s="887"/>
      <c r="EV52" s="887"/>
    </row>
    <row r="53" spans="1:152" x14ac:dyDescent="0.25">
      <c r="A53" s="258" t="s">
        <v>81</v>
      </c>
      <c r="B53" s="9" t="s">
        <v>267</v>
      </c>
      <c r="C53" s="236" t="s">
        <v>369</v>
      </c>
      <c r="D53" s="342">
        <f t="shared" ca="1" si="94"/>
        <v>30.847823429541599</v>
      </c>
      <c r="E53" s="342">
        <f t="shared" ca="1" si="66"/>
        <v>27.512923599320885</v>
      </c>
      <c r="F53" s="342">
        <f t="shared" ca="1" si="67"/>
        <v>34.182723259762312</v>
      </c>
      <c r="G53" s="342">
        <f t="shared" ca="1" si="68"/>
        <v>35.850173174872666</v>
      </c>
      <c r="H53" s="343">
        <f t="shared" ca="1" si="95"/>
        <v>14.369474928150639</v>
      </c>
      <c r="I53" s="342">
        <f t="shared" ca="1" si="96"/>
        <v>15.460897911817229</v>
      </c>
      <c r="J53" s="342">
        <f t="shared" ca="1" si="69"/>
        <v>13.193903292700979</v>
      </c>
      <c r="K53" s="342">
        <f t="shared" ca="1" si="70"/>
        <v>17.727892530933481</v>
      </c>
      <c r="L53" s="342"/>
      <c r="M53" s="342"/>
      <c r="N53" s="342"/>
      <c r="O53" s="342"/>
      <c r="P53" s="342" t="str">
        <f t="shared" si="71"/>
        <v/>
      </c>
      <c r="Q53" s="342"/>
      <c r="R53" s="342"/>
      <c r="S53" s="342"/>
      <c r="T53" s="342"/>
      <c r="U53" s="342"/>
      <c r="V53" s="342" t="str">
        <f t="shared" ca="1" si="72"/>
        <v/>
      </c>
      <c r="W53" s="342" t="str">
        <f t="shared" ca="1" si="72"/>
        <v/>
      </c>
      <c r="X53" s="342" t="str">
        <f t="shared" ca="1" si="72"/>
        <v/>
      </c>
      <c r="Y53" s="342" t="str">
        <f t="shared" ca="1" si="72"/>
        <v/>
      </c>
      <c r="Z53" s="342" t="str">
        <f t="shared" ca="1" si="72"/>
        <v/>
      </c>
      <c r="AA53" s="342" t="str">
        <f t="shared" ca="1" si="72"/>
        <v/>
      </c>
      <c r="AB53" s="342" t="str">
        <f t="shared" ca="1" si="72"/>
        <v/>
      </c>
      <c r="AC53" s="342" t="str">
        <f t="shared" ca="1" si="72"/>
        <v/>
      </c>
      <c r="AD53" s="342" t="str">
        <f ca="1">IFERROR(INDEX(INDIRECT("PR14_Comp"&amp;AD$23&amp;"_NHH_UnitValues"),MATCH($B53,INDIRECT("PR14_Comp"&amp;AD$23&amp;"_WTPCore_Options"),0)),"")</f>
        <v/>
      </c>
      <c r="AE53" s="342" t="str">
        <f t="shared" ca="1" si="73"/>
        <v/>
      </c>
      <c r="AF53" s="342" t="str">
        <f t="shared" ca="1" si="73"/>
        <v/>
      </c>
      <c r="AG53" s="342" t="str">
        <f t="shared" ca="1" si="73"/>
        <v/>
      </c>
      <c r="AH53" s="342" t="str">
        <f t="shared" ca="1" si="73"/>
        <v/>
      </c>
      <c r="AI53" s="342" t="str">
        <f t="shared" ca="1" si="73"/>
        <v/>
      </c>
      <c r="AJ53" s="342" t="str">
        <f t="shared" ca="1" si="73"/>
        <v/>
      </c>
      <c r="AK53" s="342" t="str">
        <f t="shared" ca="1" si="74"/>
        <v/>
      </c>
      <c r="AL53" s="342" t="str">
        <f t="shared" ca="1" si="74"/>
        <v/>
      </c>
      <c r="AM53" s="342" t="str">
        <f t="shared" ca="1" si="74"/>
        <v/>
      </c>
      <c r="AN53" s="342" t="str">
        <f t="shared" ca="1" si="74"/>
        <v/>
      </c>
      <c r="AO53" s="342" t="str">
        <f t="shared" ca="1" si="74"/>
        <v/>
      </c>
      <c r="AP53" s="342"/>
      <c r="AQ53" s="342" t="str">
        <f t="shared" ca="1" si="75"/>
        <v/>
      </c>
      <c r="AR53" s="342" t="str">
        <f t="shared" ca="1" si="75"/>
        <v/>
      </c>
      <c r="AS53" s="342" t="str">
        <f t="shared" ca="1" si="75"/>
        <v/>
      </c>
      <c r="AT53" s="342" t="str">
        <f t="shared" ca="1" si="75"/>
        <v/>
      </c>
      <c r="AU53" s="342" t="str">
        <f t="shared" ca="1" si="75"/>
        <v/>
      </c>
      <c r="AV53" s="342" t="str">
        <f t="shared" ca="1" si="75"/>
        <v/>
      </c>
      <c r="AW53" s="342" t="str">
        <f t="shared" ca="1" si="75"/>
        <v/>
      </c>
      <c r="AX53" s="342" t="str">
        <f t="shared" ca="1" si="75"/>
        <v/>
      </c>
      <c r="AY53" s="645">
        <f t="shared" ca="1" si="97"/>
        <v>21.397383522173659</v>
      </c>
      <c r="AZ53" s="543">
        <f t="shared" ca="1" si="98"/>
        <v>13.193903292700979</v>
      </c>
      <c r="BA53" s="543">
        <f t="shared" ca="1" si="99"/>
        <v>35.850173174872666</v>
      </c>
      <c r="BB53" s="14">
        <f t="shared" ca="1" si="100"/>
        <v>14.834599338595515</v>
      </c>
      <c r="BC53" s="543">
        <f t="shared" ca="1" si="101"/>
        <v>32.959615244332866</v>
      </c>
      <c r="BD53" s="543">
        <f t="shared" ca="1" si="102"/>
        <v>6.5627841835781435</v>
      </c>
      <c r="BE53" s="543">
        <f t="shared" ca="1" si="76"/>
        <v>11.562231722159208</v>
      </c>
      <c r="BF53" s="543"/>
      <c r="BG53" s="543"/>
      <c r="BH53" s="543"/>
      <c r="BI53" s="543"/>
      <c r="BJ53" s="543"/>
      <c r="BK53" s="543"/>
      <c r="BL53" s="543"/>
      <c r="BM53" s="543"/>
      <c r="BN53" s="543"/>
      <c r="BO53" s="953"/>
      <c r="BP53" s="342">
        <f t="shared" ca="1" si="103"/>
        <v>22.876595744680852</v>
      </c>
      <c r="BQ53" s="342">
        <f t="shared" ca="1" si="77"/>
        <v>19.608510638297876</v>
      </c>
      <c r="BR53" s="342">
        <f t="shared" ca="1" si="78"/>
        <v>27.23404255319149</v>
      </c>
      <c r="BS53" s="342">
        <f t="shared" ca="1" si="79"/>
        <v>189.54893617021276</v>
      </c>
      <c r="BT53" s="343">
        <f t="shared" ca="1" si="104"/>
        <v>61.667336073154523</v>
      </c>
      <c r="BU53" s="342">
        <f t="shared" ca="1" si="105"/>
        <v>146.88959917787989</v>
      </c>
      <c r="BV53" s="342">
        <f t="shared" ca="1" si="80"/>
        <v>145.59433501042307</v>
      </c>
      <c r="BW53" s="342">
        <f t="shared" ca="1" si="81"/>
        <v>148.18486334533665</v>
      </c>
      <c r="BX53" s="342"/>
      <c r="BY53" s="342"/>
      <c r="BZ53" s="342"/>
      <c r="CA53" s="342"/>
      <c r="CB53" s="342"/>
      <c r="CC53" s="342" t="str">
        <f t="shared" si="106"/>
        <v/>
      </c>
      <c r="CD53" s="342" t="str">
        <f t="shared" si="107"/>
        <v/>
      </c>
      <c r="CE53" s="342"/>
      <c r="CF53" s="342"/>
      <c r="CG53" s="342"/>
      <c r="CH53" s="342" t="str">
        <f t="shared" ca="1" si="83"/>
        <v/>
      </c>
      <c r="CI53" s="342" t="str">
        <f t="shared" ca="1" si="83"/>
        <v/>
      </c>
      <c r="CJ53" s="342" t="str">
        <f t="shared" ca="1" si="83"/>
        <v/>
      </c>
      <c r="CK53" s="342" t="str">
        <f t="shared" ca="1" si="83"/>
        <v/>
      </c>
      <c r="CL53" s="342" t="str">
        <f t="shared" ca="1" si="83"/>
        <v/>
      </c>
      <c r="CM53" s="342" t="str">
        <f t="shared" ca="1" si="83"/>
        <v/>
      </c>
      <c r="CN53" s="342" t="str">
        <f t="shared" ca="1" si="83"/>
        <v/>
      </c>
      <c r="CO53" s="342" t="str">
        <f t="shared" ca="1" si="83"/>
        <v/>
      </c>
      <c r="CP53" s="342"/>
      <c r="CQ53" s="342" t="str">
        <f t="shared" ca="1" si="84"/>
        <v/>
      </c>
      <c r="CR53" s="342" t="str">
        <f t="shared" ca="1" si="84"/>
        <v/>
      </c>
      <c r="CS53" s="342" t="str">
        <f t="shared" ca="1" si="84"/>
        <v/>
      </c>
      <c r="CT53" s="342" t="str">
        <f t="shared" ca="1" si="84"/>
        <v/>
      </c>
      <c r="CU53" s="342" t="str">
        <f t="shared" ca="1" si="84"/>
        <v/>
      </c>
      <c r="CV53" s="342" t="str">
        <f t="shared" ca="1" si="84"/>
        <v/>
      </c>
      <c r="CW53" s="342" t="str">
        <f t="shared" ca="1" si="85"/>
        <v/>
      </c>
      <c r="CX53" s="342" t="str">
        <f t="shared" ca="1" si="85"/>
        <v/>
      </c>
      <c r="CY53" s="342" t="str">
        <f t="shared" ca="1" si="85"/>
        <v/>
      </c>
      <c r="CZ53" s="342" t="str">
        <f t="shared" ca="1" si="85"/>
        <v/>
      </c>
      <c r="DA53" s="342" t="str">
        <f t="shared" ca="1" si="85"/>
        <v/>
      </c>
      <c r="DB53" s="342"/>
      <c r="DC53" s="342" t="str">
        <f t="shared" ca="1" si="86"/>
        <v/>
      </c>
      <c r="DD53" s="342" t="str">
        <f t="shared" ca="1" si="86"/>
        <v/>
      </c>
      <c r="DE53" s="342" t="str">
        <f t="shared" ca="1" si="86"/>
        <v/>
      </c>
      <c r="DF53" s="342" t="str">
        <f t="shared" ca="1" si="86"/>
        <v/>
      </c>
      <c r="DG53" s="342" t="str">
        <f t="shared" ca="1" si="86"/>
        <v/>
      </c>
      <c r="DH53" s="342" t="str">
        <f t="shared" ca="1" si="86"/>
        <v/>
      </c>
      <c r="DI53" s="342" t="str">
        <f t="shared" ca="1" si="86"/>
        <v/>
      </c>
      <c r="DJ53" s="342" t="str">
        <f t="shared" ca="1" si="86"/>
        <v/>
      </c>
      <c r="DK53" s="342"/>
      <c r="DL53" s="342"/>
      <c r="DM53" s="342"/>
      <c r="DN53" s="342"/>
      <c r="DO53" s="342"/>
      <c r="DP53" s="342"/>
      <c r="DQ53" s="342"/>
      <c r="DR53" s="342"/>
      <c r="DS53" s="342"/>
      <c r="DT53" s="342"/>
      <c r="DU53" s="342"/>
      <c r="DV53" s="342"/>
      <c r="DW53" s="342"/>
      <c r="DX53" s="342"/>
      <c r="DY53" s="342"/>
      <c r="DZ53" s="342"/>
      <c r="EA53" s="342"/>
      <c r="EB53" s="342"/>
      <c r="EC53" s="645">
        <f t="shared" ca="1" si="108"/>
        <v>35.806842520838742</v>
      </c>
      <c r="ED53" s="543">
        <f t="shared" ca="1" si="109"/>
        <v>19.608510638297876</v>
      </c>
      <c r="EE53" s="543">
        <f t="shared" ca="1" si="110"/>
        <v>189.54893617021276</v>
      </c>
      <c r="EF53" s="14">
        <f t="shared" ca="1" si="111"/>
        <v>22.848177014806048</v>
      </c>
      <c r="EG53" s="543">
        <f t="shared" ca="1" si="112"/>
        <v>158.80051744033796</v>
      </c>
      <c r="EH53" s="543">
        <f t="shared" ca="1" si="113"/>
        <v>12.958665506032695</v>
      </c>
      <c r="EI53" s="543">
        <f t="shared" ca="1" si="114"/>
        <v>122.99367491949921</v>
      </c>
      <c r="EL53" s="645">
        <f t="shared" ca="1" si="87"/>
        <v>24.463225862315163</v>
      </c>
      <c r="EM53" s="798">
        <f t="shared" ca="1" si="88"/>
        <v>14.558713366232233</v>
      </c>
      <c r="EN53" s="892">
        <f t="shared" ca="1" si="89"/>
        <v>68.552037641966294</v>
      </c>
      <c r="EO53" s="892">
        <f t="shared" ca="1" si="90"/>
        <v>16.371610576638822</v>
      </c>
      <c r="EP53" s="892">
        <f t="shared" ca="1" si="91"/>
        <v>57.096010833903385</v>
      </c>
      <c r="EQ53" s="887">
        <f t="shared" ca="1" si="92"/>
        <v>7.7895198398615202</v>
      </c>
      <c r="ER53" s="795">
        <f t="shared" ca="1" si="93"/>
        <v>32.934880417403043</v>
      </c>
      <c r="ES53" s="887"/>
      <c r="ET53" s="887"/>
      <c r="EU53" s="887"/>
      <c r="EV53" s="887"/>
    </row>
    <row r="54" spans="1:152" x14ac:dyDescent="0.25">
      <c r="A54" s="258" t="s">
        <v>82</v>
      </c>
      <c r="B54" s="9" t="s">
        <v>268</v>
      </c>
      <c r="C54" s="236" t="s">
        <v>369</v>
      </c>
      <c r="D54" s="342">
        <f t="shared" ca="1" si="94"/>
        <v>9.7267911714770818</v>
      </c>
      <c r="E54" s="342">
        <f t="shared" ca="1" si="66"/>
        <v>8.6151578947368428</v>
      </c>
      <c r="F54" s="342">
        <f t="shared" ca="1" si="67"/>
        <v>10.838424448217317</v>
      </c>
      <c r="G54" s="342">
        <f t="shared" ca="1" si="68"/>
        <v>8.8930662139219017</v>
      </c>
      <c r="H54" s="1009">
        <f ca="1">INDEX(SSW_WTPMaxdiff_WTP_NHH_Unitvalues,MATCH($B54,WTPMaxdiff_WTP_options,0))</f>
        <v>212.46126119075066</v>
      </c>
      <c r="I54" s="342">
        <f t="shared" ca="1" si="96"/>
        <v>191.30305399706398</v>
      </c>
      <c r="J54" s="342">
        <f t="shared" ca="1" si="69"/>
        <v>163.17686580659171</v>
      </c>
      <c r="K54" s="342">
        <f t="shared" ca="1" si="70"/>
        <v>219.42924218753626</v>
      </c>
      <c r="L54" s="342"/>
      <c r="M54" s="344"/>
      <c r="N54" s="344"/>
      <c r="O54" s="342"/>
      <c r="P54" s="342">
        <f t="shared" ca="1" si="71"/>
        <v>38.73249263519228</v>
      </c>
      <c r="Q54" s="342"/>
      <c r="R54" s="342"/>
      <c r="S54" s="342">
        <f t="shared" ca="1" si="115"/>
        <v>57.086937475377226</v>
      </c>
      <c r="T54" s="342"/>
      <c r="U54" s="342"/>
      <c r="V54" s="342" t="str">
        <f t="shared" ca="1" si="72"/>
        <v/>
      </c>
      <c r="W54" s="342" t="str">
        <f t="shared" ca="1" si="72"/>
        <v/>
      </c>
      <c r="X54" s="342" t="str">
        <f t="shared" ca="1" si="72"/>
        <v/>
      </c>
      <c r="Y54" s="342" t="str">
        <f t="shared" ca="1" si="72"/>
        <v/>
      </c>
      <c r="Z54" s="342" t="str">
        <f t="shared" ca="1" si="72"/>
        <v/>
      </c>
      <c r="AA54" s="342" t="str">
        <f t="shared" ca="1" si="72"/>
        <v/>
      </c>
      <c r="AB54" s="342" t="str">
        <f t="shared" ca="1" si="72"/>
        <v/>
      </c>
      <c r="AC54" s="342" t="str">
        <f t="shared" ca="1" si="72"/>
        <v/>
      </c>
      <c r="AD54" s="342" t="str">
        <f ca="1">IFERROR(INDEX(INDIRECT("PR14_Comp"&amp;AD$23&amp;"_NHH_UnitValues"),MATCH($B54,INDIRECT("PR14_Comp"&amp;AD$23&amp;"_WTPCore_Options"),0)),"")</f>
        <v/>
      </c>
      <c r="AE54" s="342" t="str">
        <f t="shared" ca="1" si="73"/>
        <v/>
      </c>
      <c r="AF54" s="342">
        <f t="shared" ca="1" si="73"/>
        <v>4.3776135378252929</v>
      </c>
      <c r="AG54" s="342" t="str">
        <f t="shared" ca="1" si="73"/>
        <v/>
      </c>
      <c r="AH54" s="342" t="str">
        <f t="shared" ca="1" si="73"/>
        <v/>
      </c>
      <c r="AI54" s="342">
        <f t="shared" ca="1" si="73"/>
        <v>61.592635338136162</v>
      </c>
      <c r="AJ54" s="342">
        <f t="shared" ca="1" si="73"/>
        <v>105.29056355017021</v>
      </c>
      <c r="AK54" s="342" t="str">
        <f t="shared" ca="1" si="74"/>
        <v/>
      </c>
      <c r="AL54" s="342" t="str">
        <f t="shared" ca="1" si="74"/>
        <v/>
      </c>
      <c r="AM54" s="342" t="str">
        <f t="shared" ca="1" si="74"/>
        <v/>
      </c>
      <c r="AN54" s="342" t="str">
        <f t="shared" ca="1" si="74"/>
        <v/>
      </c>
      <c r="AO54" s="342" t="str">
        <f t="shared" ca="1" si="74"/>
        <v/>
      </c>
      <c r="AP54" s="342"/>
      <c r="AQ54" s="342" t="str">
        <f t="shared" ca="1" si="75"/>
        <v/>
      </c>
      <c r="AR54" s="342" t="str">
        <f t="shared" ca="1" si="75"/>
        <v/>
      </c>
      <c r="AS54" s="342" t="str">
        <f t="shared" ca="1" si="75"/>
        <v/>
      </c>
      <c r="AT54" s="342" t="str">
        <f t="shared" ca="1" si="75"/>
        <v/>
      </c>
      <c r="AU54" s="342" t="str">
        <f t="shared" ca="1" si="75"/>
        <v/>
      </c>
      <c r="AV54" s="342" t="str">
        <f t="shared" ca="1" si="75"/>
        <v/>
      </c>
      <c r="AW54" s="342" t="str">
        <f t="shared" ca="1" si="75"/>
        <v/>
      </c>
      <c r="AX54" s="342" t="str">
        <f t="shared" ca="1" si="75"/>
        <v/>
      </c>
      <c r="AY54" s="893">
        <f ca="1">SUMPRODUCT($D$48:$U$48,D54:U54)/SUMIF($D54:$U54,"&gt;0",$D$48:$U$48)</f>
        <v>113.21133076149198</v>
      </c>
      <c r="AZ54" s="543">
        <f t="shared" ca="1" si="98"/>
        <v>8.6151578947368428</v>
      </c>
      <c r="BA54" s="543">
        <f t="shared" ca="1" si="99"/>
        <v>219.42924218753626</v>
      </c>
      <c r="BB54" s="14">
        <f t="shared" ca="1" si="100"/>
        <v>29.534392468087873</v>
      </c>
      <c r="BC54" s="543">
        <f t="shared" ca="1" si="101"/>
        <v>198.18565990232742</v>
      </c>
      <c r="BD54" s="543">
        <f t="shared" ca="1" si="102"/>
        <v>83.676938293404106</v>
      </c>
      <c r="BE54" s="543">
        <f t="shared" ca="1" si="76"/>
        <v>84.974329140835437</v>
      </c>
      <c r="BF54" s="543"/>
      <c r="BG54" s="543"/>
      <c r="BH54" s="543"/>
      <c r="BI54" s="543"/>
      <c r="BJ54" s="543"/>
      <c r="BK54" s="543"/>
      <c r="BL54" s="543"/>
      <c r="BM54" s="543"/>
      <c r="BN54" s="543"/>
      <c r="BO54" s="953"/>
      <c r="BP54" s="342">
        <f t="shared" ca="1" si="103"/>
        <v>5.8099290780141848</v>
      </c>
      <c r="BQ54" s="342">
        <f t="shared" ca="1" si="77"/>
        <v>4.7205673758865245</v>
      </c>
      <c r="BR54" s="342">
        <f t="shared" ca="1" si="78"/>
        <v>6.8992907801418442</v>
      </c>
      <c r="BS54" s="342">
        <f t="shared" ca="1" si="79"/>
        <v>51.563120567375883</v>
      </c>
      <c r="BT54" s="343">
        <f t="shared" ca="1" si="104"/>
        <v>916.84060175731759</v>
      </c>
      <c r="BU54" s="342">
        <f t="shared" ca="1" si="105"/>
        <v>2252.6034487450415</v>
      </c>
      <c r="BV54" s="342">
        <f t="shared" ca="1" si="80"/>
        <v>2207.8003408428071</v>
      </c>
      <c r="BW54" s="342">
        <f t="shared" ca="1" si="81"/>
        <v>2297.4065566472759</v>
      </c>
      <c r="BX54" s="342"/>
      <c r="BY54" s="344"/>
      <c r="BZ54" s="344"/>
      <c r="CA54" s="342"/>
      <c r="CB54" s="344"/>
      <c r="CC54" s="342" t="str">
        <f t="shared" si="106"/>
        <v/>
      </c>
      <c r="CD54" s="342" t="str">
        <f t="shared" si="107"/>
        <v/>
      </c>
      <c r="CE54" s="940">
        <f t="shared" ca="1" si="117"/>
        <v>1.3248803591268139E-3</v>
      </c>
      <c r="CF54" s="342"/>
      <c r="CG54" s="342"/>
      <c r="CH54" s="342" t="str">
        <f t="shared" ca="1" si="83"/>
        <v/>
      </c>
      <c r="CI54" s="342" t="str">
        <f t="shared" ca="1" si="83"/>
        <v/>
      </c>
      <c r="CJ54" s="342" t="str">
        <f t="shared" ca="1" si="83"/>
        <v/>
      </c>
      <c r="CK54" s="342" t="str">
        <f t="shared" ca="1" si="83"/>
        <v/>
      </c>
      <c r="CL54" s="342" t="str">
        <f t="shared" ca="1" si="83"/>
        <v/>
      </c>
      <c r="CM54" s="342" t="str">
        <f t="shared" ca="1" si="83"/>
        <v/>
      </c>
      <c r="CN54" s="342" t="str">
        <f t="shared" ca="1" si="83"/>
        <v/>
      </c>
      <c r="CO54" s="342" t="str">
        <f t="shared" ca="1" si="83"/>
        <v/>
      </c>
      <c r="CP54" s="342"/>
      <c r="CQ54" s="342" t="str">
        <f t="shared" ca="1" si="84"/>
        <v/>
      </c>
      <c r="CR54" s="342">
        <f t="shared" ca="1" si="84"/>
        <v>-4.241205104272239E-5</v>
      </c>
      <c r="CS54" s="342" t="str">
        <f t="shared" ca="1" si="84"/>
        <v/>
      </c>
      <c r="CT54" s="342" t="str">
        <f t="shared" ca="1" si="84"/>
        <v/>
      </c>
      <c r="CU54" s="342">
        <f t="shared" ca="1" si="84"/>
        <v>2.0477132957453831E-3</v>
      </c>
      <c r="CV54" s="342">
        <f t="shared" ca="1" si="84"/>
        <v>1.9693398326777814E-3</v>
      </c>
      <c r="CW54" s="342" t="str">
        <f t="shared" ca="1" si="85"/>
        <v/>
      </c>
      <c r="CX54" s="342" t="str">
        <f t="shared" ca="1" si="85"/>
        <v/>
      </c>
      <c r="CY54" s="342" t="str">
        <f t="shared" ca="1" si="85"/>
        <v/>
      </c>
      <c r="CZ54" s="342" t="str">
        <f t="shared" ca="1" si="85"/>
        <v/>
      </c>
      <c r="DA54" s="342" t="str">
        <f t="shared" ca="1" si="85"/>
        <v/>
      </c>
      <c r="DB54" s="342"/>
      <c r="DC54" s="342" t="str">
        <f t="shared" ca="1" si="86"/>
        <v/>
      </c>
      <c r="DD54" s="342" t="str">
        <f t="shared" ca="1" si="86"/>
        <v/>
      </c>
      <c r="DE54" s="342" t="str">
        <f t="shared" ca="1" si="86"/>
        <v/>
      </c>
      <c r="DF54" s="342" t="str">
        <f t="shared" ca="1" si="86"/>
        <v/>
      </c>
      <c r="DG54" s="342" t="str">
        <f t="shared" ca="1" si="86"/>
        <v/>
      </c>
      <c r="DH54" s="342" t="str">
        <f t="shared" ca="1" si="86"/>
        <v/>
      </c>
      <c r="DI54" s="342" t="str">
        <f t="shared" ca="1" si="86"/>
        <v/>
      </c>
      <c r="DJ54" s="342" t="str">
        <f t="shared" ca="1" si="86"/>
        <v/>
      </c>
      <c r="DK54" s="342"/>
      <c r="DL54" s="342"/>
      <c r="DM54" s="342"/>
      <c r="DN54" s="342"/>
      <c r="DO54" s="342"/>
      <c r="DP54" s="342"/>
      <c r="DQ54" s="342"/>
      <c r="DR54" s="342"/>
      <c r="DS54" s="342"/>
      <c r="DT54" s="342"/>
      <c r="DU54" s="342"/>
      <c r="DV54" s="342"/>
      <c r="DW54" s="342"/>
      <c r="DX54" s="342"/>
      <c r="DY54" s="342"/>
      <c r="DZ54" s="342"/>
      <c r="EA54" s="342"/>
      <c r="EB54" s="342"/>
      <c r="EC54" s="645">
        <f t="shared" ca="1" si="108"/>
        <v>290.14397652794304</v>
      </c>
      <c r="ED54" s="543">
        <f t="shared" ca="1" si="109"/>
        <v>1.3248803591268139E-3</v>
      </c>
      <c r="EE54" s="543">
        <f t="shared" ca="1" si="110"/>
        <v>2297.4065566472759</v>
      </c>
      <c r="EF54" s="14">
        <f t="shared" ca="1" si="111"/>
        <v>58.029855209875912</v>
      </c>
      <c r="EG54" s="543">
        <f t="shared" ca="1" si="112"/>
        <v>1895.9540406234094</v>
      </c>
      <c r="EH54" s="543">
        <f t="shared" ca="1" si="113"/>
        <v>232.11412131806713</v>
      </c>
      <c r="EI54" s="543">
        <f t="shared" ca="1" si="114"/>
        <v>1605.8100640954663</v>
      </c>
      <c r="EL54" s="645">
        <f t="shared" ca="1" si="87"/>
        <v>150.85657454158795</v>
      </c>
      <c r="EM54" s="798">
        <f t="shared" ca="1" si="88"/>
        <v>6.7824274661458395</v>
      </c>
      <c r="EN54" s="892">
        <f t="shared" ca="1" si="89"/>
        <v>661.55207505131057</v>
      </c>
      <c r="EO54" s="892">
        <f t="shared" ca="1" si="90"/>
        <v>34.99984725458016</v>
      </c>
      <c r="EP54" s="892">
        <f t="shared" ca="1" si="91"/>
        <v>523.81912677562434</v>
      </c>
      <c r="EQ54" s="887">
        <f t="shared" ca="1" si="92"/>
        <v>112.14732039623112</v>
      </c>
      <c r="ER54" s="795">
        <f t="shared" ca="1" si="93"/>
        <v>376.67195912481293</v>
      </c>
      <c r="ES54" s="887"/>
      <c r="ET54" s="887"/>
      <c r="EU54" s="887"/>
      <c r="EV54" s="887"/>
    </row>
    <row r="55" spans="1:152" x14ac:dyDescent="0.25">
      <c r="A55" s="258" t="s">
        <v>83</v>
      </c>
      <c r="B55" s="9" t="s">
        <v>269</v>
      </c>
      <c r="C55" s="236" t="s">
        <v>369</v>
      </c>
      <c r="D55" s="342">
        <f t="shared" ca="1" si="94"/>
        <v>310.41834897651921</v>
      </c>
      <c r="E55" s="342">
        <f t="shared" ca="1" si="66"/>
        <v>271.61605535445432</v>
      </c>
      <c r="F55" s="342">
        <f t="shared" ca="1" si="67"/>
        <v>349.22064259858411</v>
      </c>
      <c r="G55" s="342">
        <f t="shared" ca="1" si="68"/>
        <v>700.32896434634995</v>
      </c>
      <c r="H55" s="343">
        <f t="shared" ca="1" si="95"/>
        <v>465.50002730206495</v>
      </c>
      <c r="I55" s="342">
        <f t="shared" ca="1" si="96"/>
        <v>43.140724701414321</v>
      </c>
      <c r="J55" s="342">
        <f t="shared" ca="1" si="69"/>
        <v>37.006892657375317</v>
      </c>
      <c r="K55" s="342">
        <f t="shared" ca="1" si="70"/>
        <v>49.274556745453317</v>
      </c>
      <c r="L55" s="342"/>
      <c r="M55" s="342"/>
      <c r="N55" s="342"/>
      <c r="O55" s="342"/>
      <c r="P55" s="342">
        <f t="shared" ca="1" si="71"/>
        <v>405.03383050417659</v>
      </c>
      <c r="Q55" s="342"/>
      <c r="R55" s="342"/>
      <c r="S55" s="342">
        <f t="shared" ca="1" si="115"/>
        <v>180.01668388807045</v>
      </c>
      <c r="T55" s="342">
        <f t="shared" ca="1" si="116"/>
        <v>184.12802484145394</v>
      </c>
      <c r="U55" s="342"/>
      <c r="V55" s="342">
        <f t="shared" ref="V55:Z65" ca="1" si="118">IFERROR(INDEX(INDIRECT("PR14_Comp"&amp;V$23&amp;"_NHH_UnitValues"),MATCH($B55,INDIRECT("PR14_Comp"&amp;V$23&amp;"_WTPCore_Options"),0)),"")</f>
        <v>5.8745160267206726</v>
      </c>
      <c r="W55" s="342">
        <f t="shared" ca="1" si="118"/>
        <v>257.09500102242725</v>
      </c>
      <c r="X55" s="342">
        <f t="shared" ca="1" si="118"/>
        <v>19.515461963487322</v>
      </c>
      <c r="Y55" s="342">
        <f t="shared" ca="1" si="118"/>
        <v>11.602269068731205</v>
      </c>
      <c r="Z55" s="342">
        <f t="shared" ca="1" si="118"/>
        <v>484.61551223541647</v>
      </c>
      <c r="AA55" s="342"/>
      <c r="AB55" s="342">
        <f t="shared" ref="AB55:AC65" ca="1" si="119">IFERROR(INDEX(INDIRECT("PR14_Comp"&amp;AB$23&amp;"_NHH_UnitValues"),MATCH($B55,INDIRECT("PR14_Comp"&amp;AB$23&amp;"_WTPCore_Options"),0)),"")</f>
        <v>31.916876376763106</v>
      </c>
      <c r="AC55" s="342">
        <f t="shared" ca="1" si="119"/>
        <v>174.34149406329968</v>
      </c>
      <c r="AD55" s="342">
        <f ca="1">IFERROR(INDEX(INDIRECT("PR14_Comp"&amp;AD$23&amp;"_NHH_UnitValues"),MATCH($B55,INDIRECT("PR14_Comp"&amp;AD$23&amp;"_WTPCore_Options"),0)),"")</f>
        <v>86.67381286333692</v>
      </c>
      <c r="AE55" s="342">
        <f t="shared" ca="1" si="73"/>
        <v>26.419139938561315</v>
      </c>
      <c r="AF55" s="342">
        <f t="shared" ca="1" si="73"/>
        <v>211.74568708428282</v>
      </c>
      <c r="AG55" s="342">
        <f t="shared" ca="1" si="73"/>
        <v>84.705046290786555</v>
      </c>
      <c r="AH55" s="342">
        <f t="shared" ca="1" si="73"/>
        <v>278.67298258674725</v>
      </c>
      <c r="AI55" s="342">
        <f t="shared" ca="1" si="73"/>
        <v>682.36274231688753</v>
      </c>
      <c r="AJ55" s="342">
        <f t="shared" ca="1" si="73"/>
        <v>164.69303259553786</v>
      </c>
      <c r="AK55" s="342">
        <f t="shared" ca="1" si="74"/>
        <v>314.58668500683825</v>
      </c>
      <c r="AL55" s="342">
        <f t="shared" ca="1" si="74"/>
        <v>280.49988608043748</v>
      </c>
      <c r="AM55" s="342">
        <f t="shared" ca="1" si="74"/>
        <v>542.86084872622291</v>
      </c>
      <c r="AN55" s="342">
        <f t="shared" ca="1" si="74"/>
        <v>70.859578259435892</v>
      </c>
      <c r="AO55" s="342">
        <f t="shared" ca="1" si="74"/>
        <v>143.25785263426633</v>
      </c>
      <c r="AP55" s="342"/>
      <c r="AQ55" s="342">
        <f t="shared" ca="1" si="75"/>
        <v>3.9380105309754514</v>
      </c>
      <c r="AR55" s="342">
        <f t="shared" ca="1" si="75"/>
        <v>77.504451629140647</v>
      </c>
      <c r="AS55" s="342">
        <f t="shared" ca="1" si="75"/>
        <v>137.53842287623996</v>
      </c>
      <c r="AT55" s="342">
        <f t="shared" ca="1" si="75"/>
        <v>229.1236009776423</v>
      </c>
      <c r="AU55" s="342">
        <f t="shared" ca="1" si="75"/>
        <v>326.74766565961522</v>
      </c>
      <c r="AV55" s="342" t="str">
        <f t="shared" ca="1" si="75"/>
        <v/>
      </c>
      <c r="AW55" s="342">
        <f t="shared" ca="1" si="75"/>
        <v>0.82105208177556988</v>
      </c>
      <c r="AX55" s="342">
        <f t="shared" ca="1" si="75"/>
        <v>81.798243634857158</v>
      </c>
      <c r="AY55" s="645">
        <f t="shared" ca="1" si="97"/>
        <v>242.45200630780022</v>
      </c>
      <c r="AZ55" s="543">
        <f t="shared" ca="1" si="98"/>
        <v>37.006892657375317</v>
      </c>
      <c r="BA55" s="543">
        <f t="shared" ca="1" si="99"/>
        <v>700.32896434634995</v>
      </c>
      <c r="BB55" s="14">
        <f t="shared" ca="1" si="100"/>
        <v>78.095915387460309</v>
      </c>
      <c r="BC55" s="543">
        <f t="shared" ca="1" si="101"/>
        <v>608.75357273863995</v>
      </c>
      <c r="BD55" s="543">
        <f t="shared" ca="1" si="102"/>
        <v>164.35609092033991</v>
      </c>
      <c r="BE55" s="543">
        <f t="shared" ca="1" si="76"/>
        <v>366.30156643083973</v>
      </c>
      <c r="BF55" s="543"/>
      <c r="BG55" s="543"/>
      <c r="BH55" s="543"/>
      <c r="BI55" s="543"/>
      <c r="BJ55" s="543"/>
      <c r="BK55" s="543"/>
      <c r="BL55" s="543"/>
      <c r="BM55" s="543"/>
      <c r="BN55" s="543"/>
      <c r="BO55" s="953"/>
      <c r="BP55" s="342">
        <f t="shared" ca="1" si="103"/>
        <v>90.78014184397162</v>
      </c>
      <c r="BQ55" s="342">
        <f t="shared" ca="1" si="77"/>
        <v>60.520094562647749</v>
      </c>
      <c r="BR55" s="342">
        <f t="shared" ca="1" si="78"/>
        <v>90.78014184397162</v>
      </c>
      <c r="BS55" s="342">
        <f t="shared" ca="1" si="79"/>
        <v>261.44680851063822</v>
      </c>
      <c r="BT55" s="343">
        <f t="shared" ca="1" si="104"/>
        <v>981.95253778394351</v>
      </c>
      <c r="BU55" s="342">
        <f t="shared" ca="1" si="105"/>
        <v>12.15176348156276</v>
      </c>
      <c r="BV55" s="342">
        <f t="shared" ca="1" si="80"/>
        <v>6.887563166546915</v>
      </c>
      <c r="BW55" s="342">
        <f t="shared" ca="1" si="81"/>
        <v>17.415963796578605</v>
      </c>
      <c r="BX55" s="342"/>
      <c r="BY55" s="342"/>
      <c r="BZ55" s="342"/>
      <c r="CA55" s="342"/>
      <c r="CB55" s="342"/>
      <c r="CC55" s="342" t="str">
        <f t="shared" si="106"/>
        <v/>
      </c>
      <c r="CD55" s="342" t="str">
        <f t="shared" si="107"/>
        <v/>
      </c>
      <c r="CE55" s="342">
        <f t="shared" ca="1" si="117"/>
        <v>415.40639782147497</v>
      </c>
      <c r="CF55" s="342">
        <f t="shared" ca="1" si="82"/>
        <v>789.19785155467605</v>
      </c>
      <c r="CG55" s="342"/>
      <c r="CH55" s="342">
        <f t="shared" ref="CH55:CL60" ca="1" si="120">IFERROR(INDEX(INDIRECT("PR14_Comp"&amp;CH$23&amp;"_NHH_UnitValues_CAM"),MATCH($B55,INDIRECT("PR14_Comp"&amp;CH$23&amp;"_WTPCore_Options"),0)),"")</f>
        <v>54.027369099851398</v>
      </c>
      <c r="CI55" s="342">
        <f t="shared" ca="1" si="120"/>
        <v>413.68584999365902</v>
      </c>
      <c r="CJ55" s="342">
        <f t="shared" ca="1" si="120"/>
        <v>175.81585300131084</v>
      </c>
      <c r="CK55" s="342">
        <f t="shared" ca="1" si="120"/>
        <v>150.77010642792726</v>
      </c>
      <c r="CL55" s="342">
        <f t="shared" ca="1" si="120"/>
        <v>1461.8961607586998</v>
      </c>
      <c r="CM55" s="342"/>
      <c r="CN55" s="342">
        <f t="shared" ref="CN55:CO60" ca="1" si="121">IFERROR(INDEX(INDIRECT("PR14_Comp"&amp;CN$23&amp;"_NHH_UnitValues_CAM"),MATCH($B55,INDIRECT("PR14_Comp"&amp;CN$23&amp;"_WTPCore_Options"),0)),"")</f>
        <v>376.09222708198075</v>
      </c>
      <c r="CO55" s="342">
        <f t="shared" ca="1" si="121"/>
        <v>346.59017854553588</v>
      </c>
      <c r="CP55" s="342">
        <f ca="1">IFERROR(INDEX(INDIRECT("PR14_Comp"&amp;CP$23&amp;"_NHH_UnitValues_CAM"),MATCH($B55,INDIRECT("PR14_Comp"&amp;CP$23&amp;"_NHH_WTPCore_Options"),0)),"")</f>
        <v>90.709898798804204</v>
      </c>
      <c r="CQ55" s="342">
        <f t="shared" ca="1" si="84"/>
        <v>242.32061454121535</v>
      </c>
      <c r="CR55" s="342">
        <f t="shared" ca="1" si="84"/>
        <v>3.265727930289624E-2</v>
      </c>
      <c r="CS55" s="342">
        <f t="shared" ca="1" si="84"/>
        <v>649.4390672145289</v>
      </c>
      <c r="CT55" s="342">
        <f t="shared" ca="1" si="84"/>
        <v>1853.8994154791615</v>
      </c>
      <c r="CU55" s="342">
        <f t="shared" ca="1" si="84"/>
        <v>0.36113471683765574</v>
      </c>
      <c r="CV55" s="342">
        <f t="shared" ca="1" si="84"/>
        <v>4.9036561833676752E-2</v>
      </c>
      <c r="CW55" s="342">
        <f t="shared" ca="1" si="85"/>
        <v>1648.0562108225463</v>
      </c>
      <c r="CX55" s="342">
        <f t="shared" ca="1" si="85"/>
        <v>1142.2942448886733</v>
      </c>
      <c r="CY55" s="342">
        <f t="shared" ca="1" si="85"/>
        <v>2314.5245908322936</v>
      </c>
      <c r="CZ55" s="342">
        <f t="shared" ca="1" si="85"/>
        <v>442.99091389676744</v>
      </c>
      <c r="DA55" s="342">
        <f t="shared" ca="1" si="85"/>
        <v>621.09439683780192</v>
      </c>
      <c r="DB55" s="342"/>
      <c r="DC55" s="342">
        <f t="shared" ca="1" si="86"/>
        <v>28.871902966312984</v>
      </c>
      <c r="DD55" s="342">
        <f t="shared" ca="1" si="86"/>
        <v>422.85049571736806</v>
      </c>
      <c r="DE55" s="342">
        <f t="shared" ca="1" si="86"/>
        <v>583.90754848254653</v>
      </c>
      <c r="DF55" s="342">
        <f t="shared" ca="1" si="86"/>
        <v>684.16107646832063</v>
      </c>
      <c r="DG55" s="342">
        <f t="shared" ca="1" si="86"/>
        <v>1184.5953869183454</v>
      </c>
      <c r="DH55" s="342" t="str">
        <f t="shared" ca="1" si="86"/>
        <v/>
      </c>
      <c r="DI55" s="342">
        <f t="shared" ca="1" si="86"/>
        <v>2.0779867226375974</v>
      </c>
      <c r="DJ55" s="342">
        <f t="shared" ca="1" si="86"/>
        <v>394.9494641024969</v>
      </c>
      <c r="DK55" s="342"/>
      <c r="DL55" s="342"/>
      <c r="DM55" s="342"/>
      <c r="DN55" s="342"/>
      <c r="DO55" s="342"/>
      <c r="DP55" s="342"/>
      <c r="DQ55" s="342"/>
      <c r="DR55" s="342"/>
      <c r="DS55" s="342"/>
      <c r="DT55" s="342"/>
      <c r="DU55" s="342"/>
      <c r="DV55" s="342"/>
      <c r="DW55" s="342"/>
      <c r="DX55" s="342"/>
      <c r="DY55" s="342"/>
      <c r="DZ55" s="342"/>
      <c r="EA55" s="342"/>
      <c r="EB55" s="342"/>
      <c r="EC55" s="645">
        <f t="shared" ca="1" si="108"/>
        <v>443.56568292257293</v>
      </c>
      <c r="ED55" s="543">
        <f t="shared" ca="1" si="109"/>
        <v>6.887563166546915</v>
      </c>
      <c r="EE55" s="543">
        <f t="shared" ca="1" si="110"/>
        <v>981.95253778394351</v>
      </c>
      <c r="EF55" s="14">
        <f t="shared" ca="1" si="111"/>
        <v>94.223187117752119</v>
      </c>
      <c r="EG55" s="543">
        <f t="shared" ca="1" si="112"/>
        <v>874.27516681166946</v>
      </c>
      <c r="EH55" s="543">
        <f t="shared" ca="1" si="113"/>
        <v>349.34249580482083</v>
      </c>
      <c r="EI55" s="543">
        <f t="shared" ca="1" si="114"/>
        <v>430.70948388909653</v>
      </c>
      <c r="EL55" s="645">
        <f t="shared" ca="1" si="87"/>
        <v>285.24215026839016</v>
      </c>
      <c r="EM55" s="798">
        <f t="shared" ca="1" si="88"/>
        <v>30.598524680603315</v>
      </c>
      <c r="EN55" s="892">
        <f t="shared" ca="1" si="89"/>
        <v>760.24887358839112</v>
      </c>
      <c r="EO55" s="892">
        <f t="shared" ca="1" si="90"/>
        <v>81.189140272772505</v>
      </c>
      <c r="EP55" s="892">
        <f t="shared" ca="1" si="91"/>
        <v>659.68084773654164</v>
      </c>
      <c r="EQ55" s="887">
        <f t="shared" ca="1" si="92"/>
        <v>199.83664588354193</v>
      </c>
      <c r="ER55" s="795">
        <f t="shared" ca="1" si="93"/>
        <v>378.6550615802272</v>
      </c>
      <c r="ES55" s="887"/>
      <c r="ET55" s="887"/>
      <c r="EU55" s="887"/>
      <c r="EV55" s="887"/>
    </row>
    <row r="56" spans="1:152" x14ac:dyDescent="0.25">
      <c r="A56" s="258" t="s">
        <v>85</v>
      </c>
      <c r="B56" s="9" t="s">
        <v>270</v>
      </c>
      <c r="C56" s="236" t="s">
        <v>369</v>
      </c>
      <c r="D56" s="342">
        <f t="shared" ca="1" si="94"/>
        <v>38.286305674962968</v>
      </c>
      <c r="E56" s="342">
        <f t="shared" ca="1" si="66"/>
        <v>32.816833435682547</v>
      </c>
      <c r="F56" s="342">
        <f t="shared" ca="1" si="67"/>
        <v>43.755777914243396</v>
      </c>
      <c r="G56" s="342">
        <f t="shared" ca="1" si="68"/>
        <v>133.39599320882851</v>
      </c>
      <c r="H56" s="343">
        <f t="shared" ca="1" si="95"/>
        <v>41.157014609024031</v>
      </c>
      <c r="I56" s="342">
        <f t="shared" ca="1" si="96"/>
        <v>4.12870423758259</v>
      </c>
      <c r="J56" s="342">
        <f t="shared" ca="1" si="69"/>
        <v>3.5576356001601597</v>
      </c>
      <c r="K56" s="342">
        <f t="shared" ca="1" si="70"/>
        <v>4.6997728750050198</v>
      </c>
      <c r="L56" s="342"/>
      <c r="M56" s="342"/>
      <c r="N56" s="342"/>
      <c r="O56" s="342"/>
      <c r="P56" s="342" t="str">
        <f t="shared" si="71"/>
        <v/>
      </c>
      <c r="Q56" s="342"/>
      <c r="R56" s="342"/>
      <c r="S56" s="342">
        <f t="shared" ca="1" si="115"/>
        <v>22.963116395651259</v>
      </c>
      <c r="T56" s="342">
        <f t="shared" ca="1" si="116"/>
        <v>45.821123514354376</v>
      </c>
      <c r="U56" s="342"/>
      <c r="V56" s="342" t="str">
        <f t="shared" ca="1" si="118"/>
        <v/>
      </c>
      <c r="W56" s="342" t="str">
        <f t="shared" ca="1" si="118"/>
        <v/>
      </c>
      <c r="X56" s="342" t="str">
        <f t="shared" ca="1" si="118"/>
        <v/>
      </c>
      <c r="Y56" s="342" t="str">
        <f t="shared" ca="1" si="118"/>
        <v/>
      </c>
      <c r="Z56" s="342" t="str">
        <f t="shared" ca="1" si="118"/>
        <v/>
      </c>
      <c r="AA56" s="342" t="str">
        <f t="shared" ref="AA56:AA65" ca="1" si="122">IFERROR(INDEX(INDIRECT("PR14_Comp"&amp;AA$23&amp;"_NHH_UnitValues"),MATCH($B56,INDIRECT("PR14_Comp"&amp;AA$23&amp;"_WTPCore_Options"),0)),"")</f>
        <v/>
      </c>
      <c r="AB56" s="342" t="str">
        <f t="shared" ca="1" si="119"/>
        <v/>
      </c>
      <c r="AC56" s="342" t="str">
        <f t="shared" ca="1" si="119"/>
        <v/>
      </c>
      <c r="AD56" s="342">
        <f ca="1">IFERROR(INDEX(INDIRECT("PR14_Comp"&amp;AD$23&amp;"_NHH_UnitValues"),MATCH($B56,INDIRECT("PR14_Comp"&amp;AD$23&amp;"_NHH_WTPCore_Options"),0)),"")</f>
        <v>32.470720453226519</v>
      </c>
      <c r="AE56" s="342">
        <f t="shared" ca="1" si="73"/>
        <v>16.109231669854459</v>
      </c>
      <c r="AF56" s="342" t="str">
        <f t="shared" ca="1" si="73"/>
        <v/>
      </c>
      <c r="AG56" s="342">
        <f t="shared" ca="1" si="73"/>
        <v>20.309397063872797</v>
      </c>
      <c r="AH56" s="342" t="str">
        <f t="shared" ca="1" si="73"/>
        <v/>
      </c>
      <c r="AI56" s="342" t="str">
        <f t="shared" ca="1" si="73"/>
        <v/>
      </c>
      <c r="AJ56" s="342" t="str">
        <f t="shared" ca="1" si="73"/>
        <v/>
      </c>
      <c r="AK56" s="342" t="str">
        <f t="shared" ca="1" si="74"/>
        <v/>
      </c>
      <c r="AL56" s="342" t="str">
        <f t="shared" ca="1" si="74"/>
        <v/>
      </c>
      <c r="AM56" s="342">
        <f t="shared" ca="1" si="74"/>
        <v>74.848552813525558</v>
      </c>
      <c r="AN56" s="342">
        <f t="shared" ca="1" si="74"/>
        <v>13.129976112640998</v>
      </c>
      <c r="AO56" s="342" t="str">
        <f t="shared" ca="1" si="74"/>
        <v/>
      </c>
      <c r="AP56" s="342"/>
      <c r="AQ56" s="342" t="str">
        <f t="shared" ca="1" si="75"/>
        <v/>
      </c>
      <c r="AR56" s="342" t="str">
        <f t="shared" ca="1" si="75"/>
        <v/>
      </c>
      <c r="AS56" s="342" t="str">
        <f t="shared" ca="1" si="75"/>
        <v/>
      </c>
      <c r="AT56" s="342">
        <f t="shared" ca="1" si="75"/>
        <v>49.48484161689656</v>
      </c>
      <c r="AU56" s="342" t="str">
        <f t="shared" ca="1" si="75"/>
        <v/>
      </c>
      <c r="AV56" s="342" t="str">
        <f t="shared" ca="1" si="75"/>
        <v/>
      </c>
      <c r="AW56" s="342" t="str">
        <f t="shared" ca="1" si="75"/>
        <v/>
      </c>
      <c r="AX56" s="342" t="str">
        <f t="shared" ca="1" si="75"/>
        <v/>
      </c>
      <c r="AY56" s="645">
        <f t="shared" ca="1" si="97"/>
        <v>26.928108679021509</v>
      </c>
      <c r="AZ56" s="543">
        <f t="shared" ca="1" si="98"/>
        <v>3.5576356001601597</v>
      </c>
      <c r="BA56" s="543">
        <f t="shared" ca="1" si="99"/>
        <v>133.39599320882851</v>
      </c>
      <c r="BB56" s="14">
        <f t="shared" ca="1" si="100"/>
        <v>8.2317302159324299</v>
      </c>
      <c r="BC56" s="543">
        <f t="shared" ca="1" si="101"/>
        <v>112.10241630286713</v>
      </c>
      <c r="BD56" s="543">
        <f t="shared" ca="1" si="102"/>
        <v>18.696378463089079</v>
      </c>
      <c r="BE56" s="543">
        <f t="shared" ca="1" si="76"/>
        <v>85.174307623845621</v>
      </c>
      <c r="BF56" s="543"/>
      <c r="BG56" s="543"/>
      <c r="BH56" s="543"/>
      <c r="BI56" s="543"/>
      <c r="BJ56" s="543"/>
      <c r="BK56" s="543"/>
      <c r="BL56" s="543"/>
      <c r="BM56" s="543"/>
      <c r="BN56" s="543"/>
      <c r="BO56" s="953"/>
      <c r="BP56" s="342">
        <f t="shared" ca="1" si="103"/>
        <v>23.177908555907649</v>
      </c>
      <c r="BQ56" s="342">
        <f t="shared" ca="1" si="77"/>
        <v>23.177908555907649</v>
      </c>
      <c r="BR56" s="342">
        <f t="shared" ca="1" si="78"/>
        <v>23.177908555907649</v>
      </c>
      <c r="BS56" s="342">
        <f t="shared" ca="1" si="79"/>
        <v>59.914893617021271</v>
      </c>
      <c r="BT56" s="343">
        <f t="shared" ca="1" si="104"/>
        <v>160.55314637978825</v>
      </c>
      <c r="BU56" s="342">
        <f t="shared" ca="1" si="105"/>
        <v>71.767833306117126</v>
      </c>
      <c r="BV56" s="342">
        <f t="shared" ca="1" si="80"/>
        <v>40.656833523498165</v>
      </c>
      <c r="BW56" s="342">
        <f t="shared" ca="1" si="81"/>
        <v>102.8788330887361</v>
      </c>
      <c r="BX56" s="342"/>
      <c r="BY56" s="342"/>
      <c r="BZ56" s="342"/>
      <c r="CA56" s="342"/>
      <c r="CB56" s="342"/>
      <c r="CC56" s="342" t="str">
        <f t="shared" si="106"/>
        <v/>
      </c>
      <c r="CD56" s="342" t="str">
        <f t="shared" si="107"/>
        <v/>
      </c>
      <c r="CE56" s="342">
        <f t="shared" ca="1" si="117"/>
        <v>73.005098116450924</v>
      </c>
      <c r="CF56" s="342">
        <f t="shared" ca="1" si="82"/>
        <v>182.98919326608075</v>
      </c>
      <c r="CG56" s="342"/>
      <c r="CH56" s="342" t="str">
        <f t="shared" ca="1" si="120"/>
        <v/>
      </c>
      <c r="CI56" s="342" t="str">
        <f t="shared" ca="1" si="120"/>
        <v/>
      </c>
      <c r="CJ56" s="342" t="str">
        <f t="shared" ca="1" si="120"/>
        <v/>
      </c>
      <c r="CK56" s="342" t="str">
        <f t="shared" ca="1" si="120"/>
        <v/>
      </c>
      <c r="CL56" s="342" t="str">
        <f t="shared" ca="1" si="120"/>
        <v/>
      </c>
      <c r="CM56" s="342" t="str">
        <f ca="1">IFERROR(INDEX(INDIRECT("PR14_Comp"&amp;CM$23&amp;"_NHH_UnitValues_CAM"),MATCH($B56,INDIRECT("PR14_Comp"&amp;CM$23&amp;"_WTPCore_Options"),0)),"")</f>
        <v/>
      </c>
      <c r="CN56" s="342" t="str">
        <f t="shared" ca="1" si="121"/>
        <v/>
      </c>
      <c r="CO56" s="342" t="str">
        <f t="shared" ca="1" si="121"/>
        <v/>
      </c>
      <c r="CP56" s="342">
        <f ca="1">IFERROR(INDEX(INDIRECT("PR14_Comp"&amp;CP$23&amp;"_NHH_UnitValues_CAM"),MATCH($B56,INDIRECT("PR14_Comp"&amp;CP$23&amp;"_NHH_WTPCore_Options"),0)),"")</f>
        <v>33.98276444674967</v>
      </c>
      <c r="CQ56" s="342">
        <f t="shared" ca="1" si="84"/>
        <v>147.75647228122887</v>
      </c>
      <c r="CR56" s="342" t="str">
        <f t="shared" ca="1" si="84"/>
        <v/>
      </c>
      <c r="CS56" s="342">
        <f t="shared" ca="1" si="84"/>
        <v>37.276057621374235</v>
      </c>
      <c r="CT56" s="342" t="str">
        <f t="shared" ca="1" si="84"/>
        <v/>
      </c>
      <c r="CU56" s="342" t="str">
        <f t="shared" ca="1" si="84"/>
        <v/>
      </c>
      <c r="CV56" s="342" t="str">
        <f t="shared" ca="1" si="84"/>
        <v/>
      </c>
      <c r="CW56" s="342" t="str">
        <f t="shared" ca="1" si="85"/>
        <v/>
      </c>
      <c r="CX56" s="342" t="str">
        <f t="shared" ca="1" si="85"/>
        <v/>
      </c>
      <c r="CY56" s="342">
        <f t="shared" ca="1" si="85"/>
        <v>319.12195635696469</v>
      </c>
      <c r="CZ56" s="342">
        <f t="shared" ca="1" si="85"/>
        <v>82.084317469205686</v>
      </c>
      <c r="DA56" s="342" t="str">
        <f t="shared" ca="1" si="85"/>
        <v/>
      </c>
      <c r="DB56" s="342"/>
      <c r="DC56" s="342" t="str">
        <f t="shared" ca="1" si="86"/>
        <v/>
      </c>
      <c r="DD56" s="342" t="str">
        <f t="shared" ca="1" si="86"/>
        <v/>
      </c>
      <c r="DE56" s="342" t="str">
        <f t="shared" ca="1" si="86"/>
        <v/>
      </c>
      <c r="DF56" s="342">
        <f t="shared" ca="1" si="86"/>
        <v>147.7613059720718</v>
      </c>
      <c r="DG56" s="342" t="str">
        <f t="shared" ca="1" si="86"/>
        <v/>
      </c>
      <c r="DH56" s="342" t="str">
        <f t="shared" ca="1" si="86"/>
        <v/>
      </c>
      <c r="DI56" s="342" t="str">
        <f t="shared" ca="1" si="86"/>
        <v/>
      </c>
      <c r="DJ56" s="342" t="str">
        <f t="shared" ca="1" si="86"/>
        <v/>
      </c>
      <c r="DK56" s="342"/>
      <c r="DL56" s="342"/>
      <c r="DM56" s="342"/>
      <c r="DN56" s="342"/>
      <c r="DO56" s="342"/>
      <c r="DP56" s="342"/>
      <c r="DQ56" s="342"/>
      <c r="DR56" s="342"/>
      <c r="DS56" s="342"/>
      <c r="DT56" s="342"/>
      <c r="DU56" s="342"/>
      <c r="DV56" s="342"/>
      <c r="DW56" s="342"/>
      <c r="DX56" s="342"/>
      <c r="DY56" s="342"/>
      <c r="DZ56" s="342"/>
      <c r="EA56" s="342"/>
      <c r="EB56" s="342"/>
      <c r="EC56" s="645">
        <f t="shared" ca="1" si="108"/>
        <v>84.595832364306503</v>
      </c>
      <c r="ED56" s="543">
        <f t="shared" ca="1" si="109"/>
        <v>23.177908555907649</v>
      </c>
      <c r="EE56" s="543">
        <f t="shared" ca="1" si="110"/>
        <v>182.98919326608075</v>
      </c>
      <c r="EF56" s="14">
        <f t="shared" ca="1" si="111"/>
        <v>35.461493317587426</v>
      </c>
      <c r="EG56" s="543">
        <f t="shared" ca="1" si="112"/>
        <v>163.3105210857259</v>
      </c>
      <c r="EH56" s="543">
        <f t="shared" ca="1" si="113"/>
        <v>49.134339046719077</v>
      </c>
      <c r="EI56" s="543">
        <f t="shared" ca="1" si="114"/>
        <v>78.714688721419392</v>
      </c>
      <c r="EL56" s="645">
        <f t="shared" ca="1" si="87"/>
        <v>39.19783712269917</v>
      </c>
      <c r="EM56" s="798">
        <f t="shared" ca="1" si="88"/>
        <v>7.7321617609574975</v>
      </c>
      <c r="EN56" s="892">
        <f t="shared" ca="1" si="89"/>
        <v>143.94773790186088</v>
      </c>
      <c r="EO56" s="892">
        <f t="shared" ca="1" si="90"/>
        <v>13.454422699558792</v>
      </c>
      <c r="EP56" s="892">
        <f t="shared" ca="1" si="91"/>
        <v>121.92417578537739</v>
      </c>
      <c r="EQ56" s="887">
        <f t="shared" ca="1" si="92"/>
        <v>24.534406042086925</v>
      </c>
      <c r="ER56" s="795">
        <f t="shared" ca="1" si="93"/>
        <v>83.935347043731667</v>
      </c>
      <c r="ES56" s="887"/>
      <c r="ET56" s="887"/>
      <c r="EU56" s="887"/>
      <c r="EV56" s="887"/>
    </row>
    <row r="57" spans="1:152" x14ac:dyDescent="0.25">
      <c r="A57" s="258" t="s">
        <v>84</v>
      </c>
      <c r="B57" s="9" t="s">
        <v>272</v>
      </c>
      <c r="C57" s="236" t="s">
        <v>369</v>
      </c>
      <c r="D57" s="342">
        <f t="shared" ca="1" si="94"/>
        <v>533.58397283531406</v>
      </c>
      <c r="E57" s="342">
        <f t="shared" ca="1" si="66"/>
        <v>466.88597623089976</v>
      </c>
      <c r="F57" s="342">
        <f t="shared" ca="1" si="67"/>
        <v>600.2819694397283</v>
      </c>
      <c r="G57" s="342">
        <f t="shared" ca="1" si="68"/>
        <v>3935.1817996604409</v>
      </c>
      <c r="H57" s="343">
        <f t="shared" ca="1" si="95"/>
        <v>306.54879846721354</v>
      </c>
      <c r="I57" s="342">
        <f t="shared" ca="1" si="96"/>
        <v>270.10008751217691</v>
      </c>
      <c r="J57" s="342">
        <f t="shared" ca="1" si="69"/>
        <v>232.82725189595101</v>
      </c>
      <c r="K57" s="342">
        <f t="shared" ca="1" si="70"/>
        <v>307.37292312840282</v>
      </c>
      <c r="L57" s="342"/>
      <c r="M57" s="342"/>
      <c r="N57" s="342"/>
      <c r="O57" s="342"/>
      <c r="P57" s="342" t="str">
        <f t="shared" si="71"/>
        <v/>
      </c>
      <c r="Q57" s="342"/>
      <c r="R57" s="342"/>
      <c r="S57" s="342"/>
      <c r="T57" s="342"/>
      <c r="U57" s="342"/>
      <c r="V57" s="342" t="str">
        <f t="shared" ca="1" si="118"/>
        <v/>
      </c>
      <c r="W57" s="342" t="str">
        <f t="shared" ca="1" si="118"/>
        <v/>
      </c>
      <c r="X57" s="342" t="str">
        <f t="shared" ca="1" si="118"/>
        <v/>
      </c>
      <c r="Y57" s="342" t="str">
        <f t="shared" ca="1" si="118"/>
        <v/>
      </c>
      <c r="Z57" s="342" t="str">
        <f t="shared" ca="1" si="118"/>
        <v/>
      </c>
      <c r="AA57" s="342" t="str">
        <f t="shared" ca="1" si="122"/>
        <v/>
      </c>
      <c r="AB57" s="342" t="str">
        <f t="shared" ca="1" si="119"/>
        <v/>
      </c>
      <c r="AC57" s="342" t="str">
        <f t="shared" ca="1" si="119"/>
        <v/>
      </c>
      <c r="AD57" s="342" t="str">
        <f ca="1">IFERROR(INDEX(INDIRECT("PR14_Comp"&amp;AD$23&amp;"_NHH_UnitValues"),MATCH($B57,INDIRECT("PR14_Comp"&amp;AD$23&amp;"_WTPCore_Options"),0)),"")</f>
        <v/>
      </c>
      <c r="AE57" s="342" t="str">
        <f t="shared" ca="1" si="73"/>
        <v/>
      </c>
      <c r="AF57" s="342" t="str">
        <f t="shared" ca="1" si="73"/>
        <v/>
      </c>
      <c r="AG57" s="342" t="str">
        <f t="shared" ca="1" si="73"/>
        <v/>
      </c>
      <c r="AH57" s="342" t="str">
        <f t="shared" ca="1" si="73"/>
        <v/>
      </c>
      <c r="AI57" s="342" t="str">
        <f t="shared" ca="1" si="73"/>
        <v/>
      </c>
      <c r="AJ57" s="342" t="str">
        <f t="shared" ca="1" si="73"/>
        <v/>
      </c>
      <c r="AK57" s="342" t="str">
        <f t="shared" ca="1" si="74"/>
        <v/>
      </c>
      <c r="AL57" s="342" t="str">
        <f t="shared" ca="1" si="74"/>
        <v/>
      </c>
      <c r="AM57" s="342" t="str">
        <f t="shared" ca="1" si="74"/>
        <v/>
      </c>
      <c r="AN57" s="342" t="str">
        <f t="shared" ca="1" si="74"/>
        <v/>
      </c>
      <c r="AO57" s="342" t="str">
        <f t="shared" ca="1" si="74"/>
        <v/>
      </c>
      <c r="AP57" s="342"/>
      <c r="AQ57" s="342" t="str">
        <f t="shared" ca="1" si="75"/>
        <v/>
      </c>
      <c r="AR57" s="342" t="str">
        <f t="shared" ca="1" si="75"/>
        <v/>
      </c>
      <c r="AS57" s="342" t="str">
        <f t="shared" ca="1" si="75"/>
        <v/>
      </c>
      <c r="AT57" s="342" t="str">
        <f t="shared" ca="1" si="75"/>
        <v/>
      </c>
      <c r="AU57" s="342" t="str">
        <f t="shared" ca="1" si="75"/>
        <v/>
      </c>
      <c r="AV57" s="342" t="str">
        <f t="shared" ca="1" si="75"/>
        <v/>
      </c>
      <c r="AW57" s="342" t="str">
        <f t="shared" ca="1" si="75"/>
        <v/>
      </c>
      <c r="AX57" s="342" t="str">
        <f t="shared" ca="1" si="75"/>
        <v/>
      </c>
      <c r="AY57" s="645">
        <f t="shared" ca="1" si="97"/>
        <v>382.78338383243909</v>
      </c>
      <c r="AZ57" s="543">
        <f t="shared" ca="1" si="98"/>
        <v>232.82725189595101</v>
      </c>
      <c r="BA57" s="543">
        <f t="shared" ca="1" si="99"/>
        <v>3935.1817996604409</v>
      </c>
      <c r="BB57" s="14">
        <f t="shared" ca="1" si="100"/>
        <v>262.81847828324862</v>
      </c>
      <c r="BC57" s="543">
        <f t="shared" ca="1" si="101"/>
        <v>3224.7021164948405</v>
      </c>
      <c r="BD57" s="543">
        <f t="shared" ca="1" si="102"/>
        <v>119.96490554919046</v>
      </c>
      <c r="BE57" s="543">
        <f t="shared" ca="1" si="76"/>
        <v>2841.9187326624015</v>
      </c>
      <c r="BF57" s="543"/>
      <c r="BG57" s="543"/>
      <c r="BH57" s="543"/>
      <c r="BI57" s="543"/>
      <c r="BJ57" s="543"/>
      <c r="BK57" s="543"/>
      <c r="BL57" s="543"/>
      <c r="BM57" s="543"/>
      <c r="BN57" s="543"/>
      <c r="BO57" s="953"/>
      <c r="BP57" s="342">
        <f t="shared" ca="1" si="103"/>
        <v>2614.4680851063827</v>
      </c>
      <c r="BQ57" s="342">
        <f t="shared" ca="1" si="77"/>
        <v>2178.7234042553187</v>
      </c>
      <c r="BR57" s="342">
        <f t="shared" ca="1" si="78"/>
        <v>3050.2127659574467</v>
      </c>
      <c r="BS57" s="342">
        <f t="shared" ca="1" si="79"/>
        <v>1394.382978723404</v>
      </c>
      <c r="BT57" s="343">
        <f t="shared" ca="1" si="104"/>
        <v>1092.0439237313237</v>
      </c>
      <c r="BU57" s="342">
        <f t="shared" ca="1" si="105"/>
        <v>55.166819369133727</v>
      </c>
      <c r="BV57" s="342">
        <f t="shared" ca="1" si="80"/>
        <v>31.246096741565079</v>
      </c>
      <c r="BW57" s="342">
        <f t="shared" ca="1" si="81"/>
        <v>79.087541996702384</v>
      </c>
      <c r="BX57" s="342"/>
      <c r="BY57" s="342"/>
      <c r="BZ57" s="342"/>
      <c r="CA57" s="342"/>
      <c r="CB57" s="342"/>
      <c r="CC57" s="342" t="str">
        <f t="shared" si="106"/>
        <v/>
      </c>
      <c r="CD57" s="342" t="str">
        <f t="shared" si="107"/>
        <v/>
      </c>
      <c r="CE57" s="342"/>
      <c r="CF57" s="342"/>
      <c r="CG57" s="342"/>
      <c r="CH57" s="342" t="str">
        <f t="shared" ca="1" si="120"/>
        <v/>
      </c>
      <c r="CI57" s="342" t="str">
        <f t="shared" ca="1" si="120"/>
        <v/>
      </c>
      <c r="CJ57" s="342" t="str">
        <f t="shared" ca="1" si="120"/>
        <v/>
      </c>
      <c r="CK57" s="342" t="str">
        <f t="shared" ca="1" si="120"/>
        <v/>
      </c>
      <c r="CL57" s="342" t="str">
        <f t="shared" ca="1" si="120"/>
        <v/>
      </c>
      <c r="CM57" s="342" t="str">
        <f ca="1">IFERROR(INDEX(INDIRECT("PR14_Comp"&amp;CM$23&amp;"_NHH_UnitValues_CAM"),MATCH($B57,INDIRECT("PR14_Comp"&amp;CM$23&amp;"_WTPCore_Options"),0)),"")</f>
        <v/>
      </c>
      <c r="CN57" s="342" t="str">
        <f t="shared" ca="1" si="121"/>
        <v/>
      </c>
      <c r="CO57" s="342" t="str">
        <f t="shared" ca="1" si="121"/>
        <v/>
      </c>
      <c r="CP57" s="342"/>
      <c r="CQ57" s="342" t="str">
        <f t="shared" ca="1" si="84"/>
        <v/>
      </c>
      <c r="CR57" s="342" t="str">
        <f t="shared" ca="1" si="84"/>
        <v/>
      </c>
      <c r="CS57" s="342" t="str">
        <f t="shared" ca="1" si="84"/>
        <v/>
      </c>
      <c r="CT57" s="342" t="str">
        <f t="shared" ca="1" si="84"/>
        <v/>
      </c>
      <c r="CU57" s="342" t="str">
        <f t="shared" ca="1" si="84"/>
        <v/>
      </c>
      <c r="CV57" s="342" t="str">
        <f t="shared" ca="1" si="84"/>
        <v/>
      </c>
      <c r="CW57" s="342" t="str">
        <f t="shared" ca="1" si="85"/>
        <v/>
      </c>
      <c r="CX57" s="342" t="str">
        <f t="shared" ca="1" si="85"/>
        <v/>
      </c>
      <c r="CY57" s="342" t="str">
        <f t="shared" ca="1" si="85"/>
        <v/>
      </c>
      <c r="CZ57" s="342" t="str">
        <f t="shared" ca="1" si="85"/>
        <v/>
      </c>
      <c r="DA57" s="342" t="str">
        <f t="shared" ca="1" si="85"/>
        <v/>
      </c>
      <c r="DB57" s="342"/>
      <c r="DC57" s="342" t="str">
        <f t="shared" ca="1" si="86"/>
        <v/>
      </c>
      <c r="DD57" s="342" t="str">
        <f t="shared" ca="1" si="86"/>
        <v/>
      </c>
      <c r="DE57" s="342" t="str">
        <f t="shared" ca="1" si="86"/>
        <v/>
      </c>
      <c r="DF57" s="342" t="str">
        <f t="shared" ca="1" si="86"/>
        <v/>
      </c>
      <c r="DG57" s="342" t="str">
        <f t="shared" ca="1" si="86"/>
        <v/>
      </c>
      <c r="DH57" s="342" t="str">
        <f t="shared" ca="1" si="86"/>
        <v/>
      </c>
      <c r="DI57" s="342" t="str">
        <f t="shared" ca="1" si="86"/>
        <v/>
      </c>
      <c r="DJ57" s="342" t="str">
        <f t="shared" ca="1" si="86"/>
        <v/>
      </c>
      <c r="DK57" s="342"/>
      <c r="DL57" s="342"/>
      <c r="DM57" s="342"/>
      <c r="DN57" s="342"/>
      <c r="DO57" s="342"/>
      <c r="DP57" s="342"/>
      <c r="DQ57" s="342"/>
      <c r="DR57" s="342"/>
      <c r="DS57" s="342"/>
      <c r="DT57" s="342"/>
      <c r="DU57" s="342"/>
      <c r="DV57" s="342"/>
      <c r="DW57" s="342"/>
      <c r="DX57" s="342"/>
      <c r="DY57" s="342"/>
      <c r="DZ57" s="342"/>
      <c r="EA57" s="342"/>
      <c r="EB57" s="342"/>
      <c r="EC57" s="645">
        <f t="shared" ca="1" si="108"/>
        <v>2106.9933646480299</v>
      </c>
      <c r="ED57" s="543">
        <f t="shared" ca="1" si="109"/>
        <v>31.246096741565079</v>
      </c>
      <c r="EE57" s="543">
        <f t="shared" ca="1" si="110"/>
        <v>3050.2127659574467</v>
      </c>
      <c r="EF57" s="14">
        <f t="shared" ca="1" si="111"/>
        <v>446.39555032285807</v>
      </c>
      <c r="EG57" s="543">
        <f t="shared" ca="1" si="112"/>
        <v>2861.5688856955635</v>
      </c>
      <c r="EH57" s="543">
        <f t="shared" ca="1" si="113"/>
        <v>1660.5978143251718</v>
      </c>
      <c r="EI57" s="543">
        <f t="shared" ca="1" si="114"/>
        <v>754.57552104753358</v>
      </c>
      <c r="EL57" s="645">
        <f t="shared" ca="1" si="87"/>
        <v>749.63657124001168</v>
      </c>
      <c r="EM57" s="798">
        <f t="shared" ca="1" si="88"/>
        <v>189.93764441629443</v>
      </c>
      <c r="EN57" s="892">
        <f t="shared" ca="1" si="89"/>
        <v>3746.8905158938469</v>
      </c>
      <c r="EO57" s="892">
        <f t="shared" ca="1" si="90"/>
        <v>298.02872196873739</v>
      </c>
      <c r="EP57" s="892">
        <f t="shared" ca="1" si="91"/>
        <v>3155.0528438232368</v>
      </c>
      <c r="EQ57" s="887">
        <f t="shared" ca="1" si="92"/>
        <v>415.45965086347093</v>
      </c>
      <c r="ER57" s="795">
        <f t="shared" ca="1" si="93"/>
        <v>2441.5644709910284</v>
      </c>
      <c r="ES57" s="887"/>
      <c r="ET57" s="887"/>
      <c r="EU57" s="887"/>
      <c r="EV57" s="887"/>
    </row>
    <row r="58" spans="1:152" x14ac:dyDescent="0.25">
      <c r="A58" s="258" t="s">
        <v>28</v>
      </c>
      <c r="B58" s="9" t="s">
        <v>319</v>
      </c>
      <c r="C58" s="236" t="s">
        <v>422</v>
      </c>
      <c r="D58" s="342">
        <f t="shared" ca="1" si="94"/>
        <v>196425.59999999998</v>
      </c>
      <c r="E58" s="342">
        <f t="shared" ca="1" si="66"/>
        <v>196425.59999999998</v>
      </c>
      <c r="F58" s="342">
        <f t="shared" ca="1" si="67"/>
        <v>196425.59999999998</v>
      </c>
      <c r="G58" s="342">
        <f t="shared" ca="1" si="68"/>
        <v>1767830.3999999997</v>
      </c>
      <c r="H58" s="343">
        <f t="shared" ca="1" si="95"/>
        <v>819194.89560761559</v>
      </c>
      <c r="I58" s="342">
        <f t="shared" ca="1" si="96"/>
        <v>326771.16833696596</v>
      </c>
      <c r="J58" s="342">
        <f t="shared" ca="1" si="69"/>
        <v>281716.23948347766</v>
      </c>
      <c r="K58" s="342">
        <f t="shared" ca="1" si="70"/>
        <v>371826.09719045425</v>
      </c>
      <c r="L58" s="342"/>
      <c r="M58" s="342"/>
      <c r="N58" s="342"/>
      <c r="O58" s="342"/>
      <c r="P58" s="342">
        <f t="shared" ca="1" si="71"/>
        <v>11459.7805538394</v>
      </c>
      <c r="Q58" s="342"/>
      <c r="R58" s="342"/>
      <c r="S58" s="342">
        <f t="shared" ca="1" si="115"/>
        <v>530914.86599481141</v>
      </c>
      <c r="T58" s="342">
        <f t="shared" ca="1" si="116"/>
        <v>298221.77063919511</v>
      </c>
      <c r="U58" s="342"/>
      <c r="V58" s="342" t="str">
        <f t="shared" ca="1" si="118"/>
        <v/>
      </c>
      <c r="W58" s="342">
        <f t="shared" ca="1" si="118"/>
        <v>25069.342148191899</v>
      </c>
      <c r="X58" s="342" t="str">
        <f t="shared" ca="1" si="118"/>
        <v/>
      </c>
      <c r="Y58" s="342" t="str">
        <f t="shared" ca="1" si="118"/>
        <v/>
      </c>
      <c r="Z58" s="342">
        <f t="shared" ca="1" si="118"/>
        <v>295512.83800218953</v>
      </c>
      <c r="AA58" s="342" t="str">
        <f t="shared" ca="1" si="122"/>
        <v/>
      </c>
      <c r="AB58" s="342">
        <f t="shared" ca="1" si="119"/>
        <v>6454.6060724166409</v>
      </c>
      <c r="AC58" s="342">
        <f t="shared" ca="1" si="119"/>
        <v>268778.42014282261</v>
      </c>
      <c r="AD58" s="342"/>
      <c r="AE58" s="342">
        <f t="shared" ca="1" si="73"/>
        <v>0</v>
      </c>
      <c r="AF58" s="342">
        <f t="shared" ca="1" si="73"/>
        <v>2189857.3961617243</v>
      </c>
      <c r="AG58" s="342">
        <f t="shared" ca="1" si="73"/>
        <v>327745.78466661001</v>
      </c>
      <c r="AH58" s="342">
        <f t="shared" ca="1" si="73"/>
        <v>218851.1823247922</v>
      </c>
      <c r="AI58" s="342">
        <f t="shared" ca="1" si="73"/>
        <v>1540554.9950774615</v>
      </c>
      <c r="AJ58" s="342">
        <f t="shared" ca="1" si="73"/>
        <v>436324.09535190539</v>
      </c>
      <c r="AK58" s="342" t="str">
        <f t="shared" ca="1" si="74"/>
        <v/>
      </c>
      <c r="AL58" s="342">
        <f t="shared" ca="1" si="74"/>
        <v>767454.5096575293</v>
      </c>
      <c r="AM58" s="342">
        <f t="shared" ca="1" si="74"/>
        <v>761906.89279796195</v>
      </c>
      <c r="AN58" s="342">
        <f t="shared" ca="1" si="74"/>
        <v>510210.87880142068</v>
      </c>
      <c r="AO58" s="342" t="str">
        <f t="shared" ca="1" si="74"/>
        <v/>
      </c>
      <c r="AP58" s="342"/>
      <c r="AQ58" s="342">
        <f t="shared" ca="1" si="75"/>
        <v>8351.1229776234231</v>
      </c>
      <c r="AR58" s="342">
        <f t="shared" ca="1" si="75"/>
        <v>0</v>
      </c>
      <c r="AS58" s="342">
        <f t="shared" ca="1" si="75"/>
        <v>170429.39619789986</v>
      </c>
      <c r="AT58" s="342">
        <f t="shared" ca="1" si="75"/>
        <v>181950.49205048184</v>
      </c>
      <c r="AU58" s="342">
        <f t="shared" ca="1" si="75"/>
        <v>155822.43436349797</v>
      </c>
      <c r="AV58" s="342">
        <f t="shared" ca="1" si="75"/>
        <v>127870.20890634072</v>
      </c>
      <c r="AW58" s="342" t="str">
        <f t="shared" ca="1" si="75"/>
        <v/>
      </c>
      <c r="AX58" s="342" t="str">
        <f t="shared" ca="1" si="75"/>
        <v/>
      </c>
      <c r="AY58" s="645">
        <f t="shared" ca="1" si="97"/>
        <v>343001.96468984301</v>
      </c>
      <c r="AZ58" s="543">
        <f t="shared" ca="1" si="98"/>
        <v>11459.7805538394</v>
      </c>
      <c r="BA58" s="543">
        <f t="shared" ca="1" si="99"/>
        <v>1767830.3999999997</v>
      </c>
      <c r="BB58" s="14">
        <f t="shared" ca="1" si="100"/>
        <v>77768.217381040129</v>
      </c>
      <c r="BC58" s="543">
        <f t="shared" ca="1" si="101"/>
        <v>1482864.7129379683</v>
      </c>
      <c r="BD58" s="543">
        <f t="shared" ca="1" si="102"/>
        <v>265233.74730880291</v>
      </c>
      <c r="BE58" s="543">
        <f t="shared" ca="1" si="76"/>
        <v>1139862.7482481254</v>
      </c>
      <c r="BF58" s="543"/>
      <c r="BG58" s="543"/>
      <c r="BH58" s="543"/>
      <c r="BI58" s="543"/>
      <c r="BJ58" s="543"/>
      <c r="BK58" s="543"/>
      <c r="BL58" s="543"/>
      <c r="BM58" s="543"/>
      <c r="BN58" s="543"/>
      <c r="BO58" s="953"/>
      <c r="BP58" s="342">
        <f t="shared" ca="1" si="103"/>
        <v>1105919.9999999998</v>
      </c>
      <c r="BQ58" s="342">
        <f t="shared" ca="1" si="77"/>
        <v>860159.99999999988</v>
      </c>
      <c r="BR58" s="342">
        <f t="shared" ca="1" si="78"/>
        <v>1228799.9999999998</v>
      </c>
      <c r="BS58" s="342">
        <f t="shared" ca="1" si="79"/>
        <v>983039.99999999988</v>
      </c>
      <c r="BT58" s="343">
        <f t="shared" ca="1" si="104"/>
        <v>926599.62083814666</v>
      </c>
      <c r="BU58" s="342">
        <f t="shared" ca="1" si="105"/>
        <v>190218.3179578204</v>
      </c>
      <c r="BV58" s="342">
        <f t="shared" ca="1" si="80"/>
        <v>107736.0871707448</v>
      </c>
      <c r="BW58" s="342">
        <f t="shared" ca="1" si="81"/>
        <v>272700.54874489602</v>
      </c>
      <c r="BX58" s="342"/>
      <c r="BY58" s="342"/>
      <c r="BZ58" s="342"/>
      <c r="CA58" s="342"/>
      <c r="CB58" s="342"/>
      <c r="CC58" s="342" t="str">
        <f t="shared" si="106"/>
        <v/>
      </c>
      <c r="CD58" s="342" t="str">
        <f t="shared" si="107"/>
        <v/>
      </c>
      <c r="CE58" s="342">
        <f t="shared" ca="1" si="117"/>
        <v>131956.70301372226</v>
      </c>
      <c r="CF58" s="342">
        <f t="shared" ca="1" si="82"/>
        <v>326743.52086793364</v>
      </c>
      <c r="CG58" s="342"/>
      <c r="CH58" s="342" t="str">
        <f t="shared" ca="1" si="120"/>
        <v/>
      </c>
      <c r="CI58" s="342">
        <f t="shared" ca="1" si="120"/>
        <v>9656.5899332131885</v>
      </c>
      <c r="CJ58" s="342" t="str">
        <f t="shared" ca="1" si="120"/>
        <v/>
      </c>
      <c r="CK58" s="342" t="str">
        <f t="shared" ca="1" si="120"/>
        <v/>
      </c>
      <c r="CL58" s="342">
        <f t="shared" ca="1" si="120"/>
        <v>213402.44191404645</v>
      </c>
      <c r="CM58" s="342" t="str">
        <f ca="1">IFERROR(INDEX(INDIRECT("PR14_Comp"&amp;CM$23&amp;"_NHH_UnitValues_CAM"),MATCH($B58,INDIRECT("PR14_Comp"&amp;CM$23&amp;"_WTPCore_Options"),0)),"")</f>
        <v/>
      </c>
      <c r="CN58" s="342">
        <f t="shared" ca="1" si="121"/>
        <v>18207.383354011774</v>
      </c>
      <c r="CO58" s="342">
        <f t="shared" ca="1" si="121"/>
        <v>127912.71086053032</v>
      </c>
      <c r="CP58" s="342"/>
      <c r="CQ58" s="342">
        <f t="shared" ca="1" si="84"/>
        <v>0</v>
      </c>
      <c r="CR58" s="342">
        <f t="shared" ca="1" si="84"/>
        <v>80.850941143762554</v>
      </c>
      <c r="CS58" s="342">
        <f t="shared" ca="1" si="84"/>
        <v>601547.68336905993</v>
      </c>
      <c r="CT58" s="342">
        <f t="shared" ca="1" si="84"/>
        <v>348533.09011008235</v>
      </c>
      <c r="CU58" s="342">
        <f t="shared" ca="1" si="84"/>
        <v>195.17984049726689</v>
      </c>
      <c r="CV58" s="342">
        <f t="shared" ca="1" si="84"/>
        <v>31.099814637647523</v>
      </c>
      <c r="CW58" s="342" t="str">
        <f t="shared" ca="1" si="85"/>
        <v/>
      </c>
      <c r="CX58" s="342">
        <f t="shared" ca="1" si="85"/>
        <v>748172.53215869935</v>
      </c>
      <c r="CY58" s="342">
        <f t="shared" ca="1" si="85"/>
        <v>777640.72843800369</v>
      </c>
      <c r="CZ58" s="342">
        <f t="shared" ca="1" si="85"/>
        <v>763571.63640980911</v>
      </c>
      <c r="DA58" s="342" t="str">
        <f t="shared" ca="1" si="85"/>
        <v/>
      </c>
      <c r="DB58" s="342"/>
      <c r="DC58" s="342">
        <f t="shared" ca="1" si="86"/>
        <v>14657.072404938033</v>
      </c>
      <c r="DD58" s="342">
        <f t="shared" ca="1" si="86"/>
        <v>0</v>
      </c>
      <c r="DE58" s="342">
        <f t="shared" ca="1" si="86"/>
        <v>173208.16981947995</v>
      </c>
      <c r="DF58" s="342">
        <f t="shared" ca="1" si="86"/>
        <v>130060.55070932269</v>
      </c>
      <c r="DG58" s="342">
        <f t="shared" ca="1" si="86"/>
        <v>135235.69779350489</v>
      </c>
      <c r="DH58" s="342">
        <f t="shared" ca="1" si="86"/>
        <v>198145.30007764572</v>
      </c>
      <c r="DI58" s="342" t="str">
        <f t="shared" ca="1" si="86"/>
        <v/>
      </c>
      <c r="DJ58" s="342" t="str">
        <f t="shared" ca="1" si="86"/>
        <v/>
      </c>
      <c r="DK58" s="342"/>
      <c r="DL58" s="342"/>
      <c r="DM58" s="342"/>
      <c r="DN58" s="342"/>
      <c r="DO58" s="342"/>
      <c r="DP58" s="342"/>
      <c r="DQ58" s="342"/>
      <c r="DR58" s="342"/>
      <c r="DS58" s="342"/>
      <c r="DT58" s="342"/>
      <c r="DU58" s="342"/>
      <c r="DV58" s="342"/>
      <c r="DW58" s="342"/>
      <c r="DX58" s="342"/>
      <c r="DY58" s="342"/>
      <c r="DZ58" s="342"/>
      <c r="EA58" s="342"/>
      <c r="EB58" s="342"/>
      <c r="EC58" s="645">
        <f t="shared" ca="1" si="108"/>
        <v>899514.24915536679</v>
      </c>
      <c r="ED58" s="543">
        <f t="shared" ca="1" si="109"/>
        <v>107736.0871707448</v>
      </c>
      <c r="EE58" s="543">
        <f t="shared" ca="1" si="110"/>
        <v>1228799.9999999998</v>
      </c>
      <c r="EF58" s="14">
        <f t="shared" ca="1" si="111"/>
        <v>266091.71956766921</v>
      </c>
      <c r="EG58" s="543">
        <f t="shared" ca="1" si="112"/>
        <v>1162942.8498310733</v>
      </c>
      <c r="EH58" s="543">
        <f t="shared" ca="1" si="113"/>
        <v>633422.52958769759</v>
      </c>
      <c r="EI58" s="543">
        <f t="shared" ca="1" si="114"/>
        <v>263428.60067570652</v>
      </c>
      <c r="EL58" s="645">
        <f t="shared" ca="1" si="87"/>
        <v>461408.8337250608</v>
      </c>
      <c r="EM58" s="798">
        <f t="shared" ca="1" si="88"/>
        <v>31944.101110627784</v>
      </c>
      <c r="EN58" s="892">
        <f t="shared" ca="1" si="89"/>
        <v>1653143.0808510636</v>
      </c>
      <c r="EO58" s="892">
        <f t="shared" ca="1" si="90"/>
        <v>113888.83053835845</v>
      </c>
      <c r="EP58" s="892">
        <f t="shared" ca="1" si="91"/>
        <v>1421503.4185499696</v>
      </c>
      <c r="EQ58" s="887">
        <f t="shared" ca="1" si="92"/>
        <v>335852.67919538444</v>
      </c>
      <c r="ER58" s="795">
        <f t="shared" ca="1" si="93"/>
        <v>971761.90881622664</v>
      </c>
      <c r="ES58" s="887"/>
      <c r="ET58" s="887"/>
      <c r="EU58" s="887"/>
      <c r="EV58" s="887"/>
    </row>
    <row r="59" spans="1:152" x14ac:dyDescent="0.25">
      <c r="A59" s="258" t="s">
        <v>86</v>
      </c>
      <c r="B59" s="9" t="s">
        <v>323</v>
      </c>
      <c r="C59" s="236" t="s">
        <v>422</v>
      </c>
      <c r="D59" s="342">
        <f t="shared" ca="1" si="94"/>
        <v>392851.19999999995</v>
      </c>
      <c r="E59" s="342">
        <f t="shared" ca="1" si="66"/>
        <v>0</v>
      </c>
      <c r="F59" s="342">
        <f t="shared" ca="1" si="67"/>
        <v>392851.19999999995</v>
      </c>
      <c r="G59" s="342">
        <f t="shared" ca="1" si="68"/>
        <v>392851.19999999995</v>
      </c>
      <c r="H59" s="343">
        <f t="shared" ca="1" si="95"/>
        <v>1326846.283782986</v>
      </c>
      <c r="I59" s="342"/>
      <c r="J59" s="342"/>
      <c r="K59" s="342"/>
      <c r="L59" s="342"/>
      <c r="M59" s="342"/>
      <c r="N59" s="342"/>
      <c r="O59" s="342"/>
      <c r="P59" s="342" t="str">
        <f t="shared" si="71"/>
        <v/>
      </c>
      <c r="Q59" s="342"/>
      <c r="R59" s="342"/>
      <c r="S59" s="342"/>
      <c r="T59" s="342">
        <f t="shared" ca="1" si="116"/>
        <v>556696.1664975218</v>
      </c>
      <c r="U59" s="342"/>
      <c r="V59" s="342" t="str">
        <f t="shared" ca="1" si="118"/>
        <v/>
      </c>
      <c r="W59" s="342" t="str">
        <f t="shared" ca="1" si="118"/>
        <v/>
      </c>
      <c r="X59" s="342" t="str">
        <f t="shared" ca="1" si="118"/>
        <v/>
      </c>
      <c r="Y59" s="342" t="str">
        <f t="shared" ca="1" si="118"/>
        <v/>
      </c>
      <c r="Z59" s="342" t="str">
        <f t="shared" ca="1" si="118"/>
        <v/>
      </c>
      <c r="AA59" s="342" t="str">
        <f t="shared" ca="1" si="122"/>
        <v/>
      </c>
      <c r="AB59" s="342" t="str">
        <f t="shared" ca="1" si="119"/>
        <v/>
      </c>
      <c r="AC59" s="342" t="str">
        <f t="shared" ca="1" si="119"/>
        <v/>
      </c>
      <c r="AD59" s="342"/>
      <c r="AE59" s="342" t="str">
        <f t="shared" ca="1" si="73"/>
        <v/>
      </c>
      <c r="AF59" s="342" t="str">
        <f t="shared" ca="1" si="73"/>
        <v/>
      </c>
      <c r="AG59" s="342" t="str">
        <f t="shared" ca="1" si="73"/>
        <v/>
      </c>
      <c r="AH59" s="342" t="str">
        <f t="shared" ca="1" si="73"/>
        <v/>
      </c>
      <c r="AI59" s="342" t="str">
        <f t="shared" ca="1" si="73"/>
        <v/>
      </c>
      <c r="AJ59" s="342" t="str">
        <f t="shared" ca="1" si="73"/>
        <v/>
      </c>
      <c r="AK59" s="342">
        <f t="shared" ca="1" si="74"/>
        <v>396568.0904584598</v>
      </c>
      <c r="AL59" s="342" t="str">
        <f t="shared" ca="1" si="74"/>
        <v/>
      </c>
      <c r="AM59" s="342">
        <f t="shared" ca="1" si="74"/>
        <v>435445.6571689999</v>
      </c>
      <c r="AN59" s="342">
        <f t="shared" ca="1" si="74"/>
        <v>453483.03808248776</v>
      </c>
      <c r="AO59" s="342">
        <f t="shared" ca="1" si="74"/>
        <v>941287.88028013997</v>
      </c>
      <c r="AP59" s="342"/>
      <c r="AQ59" s="342" t="str">
        <f t="shared" ca="1" si="75"/>
        <v/>
      </c>
      <c r="AR59" s="342" t="str">
        <f t="shared" ca="1" si="75"/>
        <v/>
      </c>
      <c r="AS59" s="342" t="str">
        <f t="shared" ca="1" si="75"/>
        <v/>
      </c>
      <c r="AT59" s="342" t="str">
        <f t="shared" ca="1" si="75"/>
        <v/>
      </c>
      <c r="AU59" s="342" t="str">
        <f t="shared" ca="1" si="75"/>
        <v/>
      </c>
      <c r="AV59" s="342" t="str">
        <f t="shared" ca="1" si="75"/>
        <v/>
      </c>
      <c r="AW59" s="342" t="str">
        <f t="shared" ca="1" si="75"/>
        <v/>
      </c>
      <c r="AX59" s="342" t="str">
        <f t="shared" ca="1" si="75"/>
        <v/>
      </c>
      <c r="AY59" s="645">
        <f t="shared" ca="1" si="97"/>
        <v>683113.36200907058</v>
      </c>
      <c r="AZ59" s="543">
        <f t="shared" ca="1" si="98"/>
        <v>0</v>
      </c>
      <c r="BA59" s="543">
        <f t="shared" ca="1" si="99"/>
        <v>1326846.283782986</v>
      </c>
      <c r="BB59" s="14">
        <f t="shared" ca="1" si="100"/>
        <v>136622.67240181411</v>
      </c>
      <c r="BC59" s="543">
        <f t="shared" ca="1" si="101"/>
        <v>1198099.6994282028</v>
      </c>
      <c r="BD59" s="543">
        <f t="shared" ca="1" si="102"/>
        <v>546490.68960725644</v>
      </c>
      <c r="BE59" s="543">
        <f t="shared" ca="1" si="76"/>
        <v>514986.33741913224</v>
      </c>
      <c r="BF59" s="543"/>
      <c r="BG59" s="543"/>
      <c r="BH59" s="543"/>
      <c r="BI59" s="543"/>
      <c r="BJ59" s="543"/>
      <c r="BK59" s="543"/>
      <c r="BL59" s="543"/>
      <c r="BM59" s="543"/>
      <c r="BN59" s="543"/>
      <c r="BO59" s="953"/>
      <c r="BP59" s="342">
        <f t="shared" ca="1" si="103"/>
        <v>1120150.2724979296</v>
      </c>
      <c r="BQ59" s="342">
        <f t="shared" ca="1" si="77"/>
        <v>983039.99999999988</v>
      </c>
      <c r="BR59" s="342">
        <f t="shared" ca="1" si="78"/>
        <v>1228799.9999999998</v>
      </c>
      <c r="BS59" s="342">
        <f t="shared" ca="1" si="79"/>
        <v>874138.17622452707</v>
      </c>
      <c r="BT59" s="343">
        <f t="shared" ca="1" si="104"/>
        <v>1475198.6829995506</v>
      </c>
      <c r="BU59" s="342"/>
      <c r="BV59" s="342"/>
      <c r="BW59" s="342"/>
      <c r="BX59" s="342"/>
      <c r="BY59" s="342"/>
      <c r="BZ59" s="342"/>
      <c r="CA59" s="342"/>
      <c r="CB59" s="342"/>
      <c r="CC59" s="342" t="str">
        <f t="shared" si="106"/>
        <v/>
      </c>
      <c r="CD59" s="342" t="str">
        <f t="shared" si="107"/>
        <v/>
      </c>
      <c r="CE59" s="342"/>
      <c r="CF59" s="342">
        <f t="shared" ca="1" si="82"/>
        <v>649346.52920147206</v>
      </c>
      <c r="CG59" s="342"/>
      <c r="CH59" s="342" t="str">
        <f t="shared" ca="1" si="120"/>
        <v/>
      </c>
      <c r="CI59" s="342" t="str">
        <f t="shared" ca="1" si="120"/>
        <v/>
      </c>
      <c r="CJ59" s="342" t="str">
        <f t="shared" ca="1" si="120"/>
        <v/>
      </c>
      <c r="CK59" s="342" t="str">
        <f t="shared" ca="1" si="120"/>
        <v/>
      </c>
      <c r="CL59" s="342" t="str">
        <f t="shared" ca="1" si="120"/>
        <v/>
      </c>
      <c r="CM59" s="342" t="str">
        <f ca="1">IFERROR(INDEX(INDIRECT("PR14_Comp"&amp;CM$23&amp;"_NHH_UnitValues_CAM"),MATCH($B59,INDIRECT("PR14_Comp"&amp;CM$23&amp;"_WTPCore_Options"),0)),"")</f>
        <v/>
      </c>
      <c r="CN59" s="342" t="str">
        <f t="shared" ca="1" si="121"/>
        <v/>
      </c>
      <c r="CO59" s="342" t="str">
        <f t="shared" ca="1" si="121"/>
        <v/>
      </c>
      <c r="CP59" s="342"/>
      <c r="CQ59" s="342" t="str">
        <f t="shared" ca="1" si="84"/>
        <v/>
      </c>
      <c r="CR59" s="342" t="str">
        <f t="shared" ca="1" si="84"/>
        <v/>
      </c>
      <c r="CS59" s="342" t="str">
        <f t="shared" ca="1" si="84"/>
        <v/>
      </c>
      <c r="CT59" s="342" t="str">
        <f t="shared" ca="1" si="84"/>
        <v/>
      </c>
      <c r="CU59" s="342" t="str">
        <f t="shared" ca="1" si="84"/>
        <v/>
      </c>
      <c r="CV59" s="342" t="str">
        <f t="shared" ca="1" si="84"/>
        <v/>
      </c>
      <c r="CW59" s="342">
        <f t="shared" ca="1" si="85"/>
        <v>497339.85936770035</v>
      </c>
      <c r="CX59" s="342" t="str">
        <f t="shared" ca="1" si="85"/>
        <v/>
      </c>
      <c r="CY59" s="342">
        <f t="shared" ca="1" si="85"/>
        <v>444437.87191968568</v>
      </c>
      <c r="CZ59" s="342">
        <f t="shared" ca="1" si="85"/>
        <v>678673.85792749352</v>
      </c>
      <c r="DA59" s="342">
        <f t="shared" ca="1" si="85"/>
        <v>976934.52759100881</v>
      </c>
      <c r="DB59" s="342"/>
      <c r="DC59" s="342" t="str">
        <f t="shared" ca="1" si="86"/>
        <v/>
      </c>
      <c r="DD59" s="342" t="str">
        <f t="shared" ca="1" si="86"/>
        <v/>
      </c>
      <c r="DE59" s="342" t="str">
        <f t="shared" ca="1" si="86"/>
        <v/>
      </c>
      <c r="DF59" s="342" t="str">
        <f t="shared" ca="1" si="86"/>
        <v/>
      </c>
      <c r="DG59" s="342" t="str">
        <f t="shared" ca="1" si="86"/>
        <v/>
      </c>
      <c r="DH59" s="342" t="str">
        <f t="shared" ca="1" si="86"/>
        <v/>
      </c>
      <c r="DI59" s="342" t="str">
        <f t="shared" ca="1" si="86"/>
        <v/>
      </c>
      <c r="DJ59" s="342" t="str">
        <f t="shared" ca="1" si="86"/>
        <v/>
      </c>
      <c r="DK59" s="342"/>
      <c r="DL59" s="342"/>
      <c r="DM59" s="342"/>
      <c r="DN59" s="342"/>
      <c r="DO59" s="342"/>
      <c r="DP59" s="342"/>
      <c r="DQ59" s="342"/>
      <c r="DR59" s="342"/>
      <c r="DS59" s="342"/>
      <c r="DT59" s="342"/>
      <c r="DU59" s="342"/>
      <c r="DV59" s="342"/>
      <c r="DW59" s="342"/>
      <c r="DX59" s="342"/>
      <c r="DY59" s="342"/>
      <c r="DZ59" s="342"/>
      <c r="EA59" s="342"/>
      <c r="EB59" s="342"/>
      <c r="EC59" s="645">
        <f t="shared" ca="1" si="108"/>
        <v>1154334.997884613</v>
      </c>
      <c r="ED59" s="543">
        <f t="shared" ca="1" si="109"/>
        <v>649346.52920147206</v>
      </c>
      <c r="EE59" s="543">
        <f t="shared" ca="1" si="110"/>
        <v>1475198.6829995506</v>
      </c>
      <c r="EF59" s="14">
        <f t="shared" ca="1" si="111"/>
        <v>750344.22293810034</v>
      </c>
      <c r="EG59" s="543">
        <f t="shared" ca="1" si="112"/>
        <v>1411025.9459765633</v>
      </c>
      <c r="EH59" s="543">
        <f t="shared" ca="1" si="113"/>
        <v>403990.77494651265</v>
      </c>
      <c r="EI59" s="543">
        <f t="shared" ca="1" si="114"/>
        <v>256690.94809195027</v>
      </c>
      <c r="EL59" s="645">
        <f t="shared" ca="1" si="87"/>
        <v>783373.28453578183</v>
      </c>
      <c r="EM59" s="798">
        <f t="shared" ca="1" si="88"/>
        <v>138158.8360003132</v>
      </c>
      <c r="EN59" s="892">
        <f t="shared" ca="1" si="89"/>
        <v>1358410.6240418295</v>
      </c>
      <c r="EO59" s="892">
        <f t="shared" ca="1" si="90"/>
        <v>254335.00493512815</v>
      </c>
      <c r="EP59" s="892">
        <f t="shared" ca="1" si="91"/>
        <v>1238939.1405670538</v>
      </c>
      <c r="EQ59" s="887">
        <f t="shared" ca="1" si="92"/>
        <v>519159.08079238469</v>
      </c>
      <c r="ER59" s="795">
        <f t="shared" ca="1" si="93"/>
        <v>465445.05483954097</v>
      </c>
      <c r="ES59" s="887"/>
      <c r="ET59" s="887"/>
      <c r="EU59" s="887"/>
      <c r="EV59" s="887"/>
    </row>
    <row r="60" spans="1:152" x14ac:dyDescent="0.25">
      <c r="A60" s="258" t="s">
        <v>3</v>
      </c>
      <c r="B60" s="9" t="s">
        <v>3</v>
      </c>
      <c r="C60" s="236" t="s">
        <v>396</v>
      </c>
      <c r="D60" s="342">
        <f t="shared" ca="1" si="94"/>
        <v>23218.156028368794</v>
      </c>
      <c r="E60" s="342">
        <f t="shared" ca="1" si="66"/>
        <v>0</v>
      </c>
      <c r="F60" s="342">
        <f t="shared" ca="1" si="67"/>
        <v>46436.312056737588</v>
      </c>
      <c r="G60" s="342">
        <f t="shared" ca="1" si="68"/>
        <v>185745.24822695035</v>
      </c>
      <c r="H60" s="343">
        <f t="shared" ca="1" si="95"/>
        <v>25690.002515798245</v>
      </c>
      <c r="I60" s="342">
        <f ca="1">INDEX(INDIRECT("SSW_WTPCore2_"&amp;$B60&amp;"_UnitValues"),2,MATCH("MEAN",LMH,0))</f>
        <v>116341.56471501317</v>
      </c>
      <c r="J60" s="342">
        <f ca="1">INDEX(INDIRECT("SSW_WTPCore2_"&amp;$B60&amp;"_UnitValues"),2,MATCH("LOW",LMH,0))</f>
        <v>76172.236624740501</v>
      </c>
      <c r="K60" s="342">
        <f ca="1">INDEX(INDIRECT("SSW_WTPCore2_"&amp;$B60&amp;"_UnitValues"),2,MATCH("HIGH",LMH,0))</f>
        <v>156510.89280528587</v>
      </c>
      <c r="L60" s="342"/>
      <c r="M60" s="342"/>
      <c r="N60" s="342"/>
      <c r="O60" s="342"/>
      <c r="P60" s="342" t="str">
        <f t="shared" si="71"/>
        <v/>
      </c>
      <c r="Q60" s="342"/>
      <c r="R60" s="342"/>
      <c r="S60" s="342">
        <f t="shared" ca="1" si="115"/>
        <v>22564.398505641631</v>
      </c>
      <c r="T60" s="342">
        <f t="shared" ca="1" si="116"/>
        <v>57408.734497341567</v>
      </c>
      <c r="U60" s="342"/>
      <c r="V60" s="342" t="str">
        <f t="shared" ca="1" si="118"/>
        <v/>
      </c>
      <c r="W60" s="342" t="str">
        <f t="shared" ca="1" si="118"/>
        <v/>
      </c>
      <c r="X60" s="342" t="str">
        <f t="shared" ca="1" si="118"/>
        <v/>
      </c>
      <c r="Y60" s="342" t="str">
        <f t="shared" ca="1" si="118"/>
        <v/>
      </c>
      <c r="Z60" s="342" t="str">
        <f t="shared" ca="1" si="118"/>
        <v/>
      </c>
      <c r="AA60" s="342" t="str">
        <f t="shared" ca="1" si="122"/>
        <v/>
      </c>
      <c r="AB60" s="342" t="str">
        <f t="shared" ca="1" si="119"/>
        <v/>
      </c>
      <c r="AC60" s="342" t="str">
        <f t="shared" ca="1" si="119"/>
        <v/>
      </c>
      <c r="AD60" s="342"/>
      <c r="AE60" s="342" t="str">
        <f t="shared" ref="AE60:AG65" ca="1" si="123">IFERROR(INDEX(INDIRECT("PR14_Comp"&amp;AE$23&amp;"_NHH_UnitValues"),MATCH($B60,INDIRECT("PR14_Comp"&amp;AE$23&amp;"_WTPCore_Options"),0)),"")</f>
        <v/>
      </c>
      <c r="AF60" s="342">
        <f t="shared" ca="1" si="123"/>
        <v>32669.334578717921</v>
      </c>
      <c r="AG60" s="342" t="str">
        <f t="shared" ca="1" si="123"/>
        <v/>
      </c>
      <c r="AH60" s="342"/>
      <c r="AI60" s="342">
        <f t="shared" ref="AI60:AJ65" ca="1" si="124">IFERROR(INDEX(INDIRECT("PR14_Comp"&amp;AI$23&amp;"_NHH_UnitValues"),MATCH($B60,INDIRECT("PR14_Comp"&amp;AI$23&amp;"_WTPCore_Options"),0)),"")</f>
        <v>8761.6057083337782</v>
      </c>
      <c r="AJ60" s="342">
        <f t="shared" ca="1" si="124"/>
        <v>26262.255229873197</v>
      </c>
      <c r="AK60" s="342">
        <f t="shared" ca="1" si="74"/>
        <v>60080.289894326132</v>
      </c>
      <c r="AL60" s="342">
        <f t="shared" ca="1" si="74"/>
        <v>50599.894555965751</v>
      </c>
      <c r="AM60" s="342">
        <f t="shared" ca="1" si="74"/>
        <v>57634.638711383639</v>
      </c>
      <c r="AN60" s="342">
        <f t="shared" ca="1" si="74"/>
        <v>38379.150864970499</v>
      </c>
      <c r="AO60" s="342">
        <f t="shared" ca="1" si="74"/>
        <v>69355.193266621267</v>
      </c>
      <c r="AP60" s="342"/>
      <c r="AQ60" s="342">
        <f t="shared" ca="1" si="75"/>
        <v>8071.2824582058229</v>
      </c>
      <c r="AR60" s="342">
        <f t="shared" ca="1" si="75"/>
        <v>85522.851051000383</v>
      </c>
      <c r="AS60" s="342" t="str">
        <f t="shared" ca="1" si="75"/>
        <v/>
      </c>
      <c r="AT60" s="342" t="str">
        <f t="shared" ca="1" si="75"/>
        <v/>
      </c>
      <c r="AU60" s="342" t="str">
        <f t="shared" ca="1" si="75"/>
        <v/>
      </c>
      <c r="AV60" s="342">
        <f t="shared" ca="1" si="75"/>
        <v>70642.685507911825</v>
      </c>
      <c r="AW60" s="342" t="str">
        <f t="shared" ca="1" si="75"/>
        <v/>
      </c>
      <c r="AX60" s="342">
        <f t="shared" ca="1" si="75"/>
        <v>76392.624165688685</v>
      </c>
      <c r="AY60" s="645">
        <f t="shared" ca="1" si="97"/>
        <v>59302.928237256368</v>
      </c>
      <c r="AZ60" s="543">
        <f t="shared" ca="1" si="98"/>
        <v>0</v>
      </c>
      <c r="BA60" s="543">
        <f t="shared" ca="1" si="99"/>
        <v>185745.24822695035</v>
      </c>
      <c r="BB60" s="14">
        <f t="shared" ca="1" si="100"/>
        <v>11860.585647451275</v>
      </c>
      <c r="BC60" s="543">
        <f t="shared" ca="1" si="101"/>
        <v>160456.78422901157</v>
      </c>
      <c r="BD60" s="543">
        <f t="shared" ca="1" si="102"/>
        <v>47442.342589805092</v>
      </c>
      <c r="BE60" s="543">
        <f t="shared" ca="1" si="76"/>
        <v>101153.8559917552</v>
      </c>
      <c r="BF60" s="543"/>
      <c r="BG60" s="543"/>
      <c r="BH60" s="543"/>
      <c r="BI60" s="543"/>
      <c r="BJ60" s="543"/>
      <c r="BK60" s="543"/>
      <c r="BL60" s="543"/>
      <c r="BM60" s="543"/>
      <c r="BN60" s="543"/>
      <c r="BO60" s="953"/>
      <c r="BP60" s="342">
        <f t="shared" ca="1" si="103"/>
        <v>15170.37037037037</v>
      </c>
      <c r="BQ60" s="342">
        <f t="shared" ca="1" si="77"/>
        <v>0</v>
      </c>
      <c r="BR60" s="342">
        <f t="shared" ca="1" si="78"/>
        <v>37925.925925925927</v>
      </c>
      <c r="BS60" s="342">
        <f t="shared" ca="1" si="79"/>
        <v>128948.14814814816</v>
      </c>
      <c r="BT60" s="343">
        <f t="shared" ca="1" si="104"/>
        <v>120407.33647512669</v>
      </c>
      <c r="BU60" s="342">
        <f ca="1">INDEX(INDIRECT("CAM_WTPCore2_"&amp;$B60&amp;"_UnitValues"),2,MATCH("MEAN",LMH,0))</f>
        <v>810506.46593919117</v>
      </c>
      <c r="BV60" s="342">
        <f ca="1">INDEX(INDIRECT("CAM_WTPCore2_"&amp;$B60&amp;"_UnitValues"),2,MATCH("LOW",LMH,0))</f>
        <v>733375.91945846274</v>
      </c>
      <c r="BW60" s="342">
        <f ca="1">INDEX(INDIRECT("CAM_WTPCore2_"&amp;$B60&amp;"_UnitValues"),2,MATCH("HIGH",LMH,0))</f>
        <v>887637.0124199196</v>
      </c>
      <c r="BX60" s="342"/>
      <c r="BY60" s="342"/>
      <c r="BZ60" s="342"/>
      <c r="CA60" s="342"/>
      <c r="CB60" s="342"/>
      <c r="CC60" s="342"/>
      <c r="CD60" s="342"/>
      <c r="CE60" s="342">
        <f t="shared" ca="1" si="117"/>
        <v>822265.85575040022</v>
      </c>
      <c r="CF60" s="342">
        <f t="shared" ca="1" si="82"/>
        <v>295451.01963248639</v>
      </c>
      <c r="CG60" s="342"/>
      <c r="CH60" s="342" t="str">
        <f t="shared" ca="1" si="120"/>
        <v/>
      </c>
      <c r="CI60" s="342" t="str">
        <f t="shared" ca="1" si="120"/>
        <v/>
      </c>
      <c r="CJ60" s="342" t="str">
        <f t="shared" ca="1" si="120"/>
        <v/>
      </c>
      <c r="CK60" s="342" t="str">
        <f t="shared" ca="1" si="120"/>
        <v/>
      </c>
      <c r="CL60" s="342" t="str">
        <f t="shared" ca="1" si="120"/>
        <v/>
      </c>
      <c r="CM60" s="342" t="str">
        <f ca="1">IFERROR(INDEX(INDIRECT("PR14_Comp"&amp;CM$23&amp;"_NHH_UnitValues_CAM"),MATCH($B60,INDIRECT("PR14_Comp"&amp;CM$23&amp;"_WTPCore_Options"),0)),"")</f>
        <v/>
      </c>
      <c r="CN60" s="342" t="str">
        <f t="shared" ca="1" si="121"/>
        <v/>
      </c>
      <c r="CO60" s="342" t="str">
        <f t="shared" ca="1" si="121"/>
        <v/>
      </c>
      <c r="CP60" s="342"/>
      <c r="CQ60" s="342" t="str">
        <f ca="1">IFERROR(INDEX(INDIRECT("PR14_Comp"&amp;CQ$23&amp;"_NHH_UnitValues_CAM"),MATCH($B60,INDIRECT("PR14_Comp"&amp;CQ$23&amp;"_WTPCore_Options"),0)),"")</f>
        <v/>
      </c>
      <c r="CR60" s="342">
        <f ca="1">IFERROR(INDEX(INDIRECT("PR14_Comp"&amp;CR$23&amp;"_NHH_UnitValues_CAM"),MATCH($B60,INDIRECT("PR14_Comp"&amp;CR$23&amp;"_WTPCore_Options"),0)),"")</f>
        <v>710435.78460643429</v>
      </c>
      <c r="CS60" s="342" t="str">
        <f ca="1">IFERROR(INDEX(INDIRECT("PR14_Comp"&amp;CS$23&amp;"_NHH_UnitValues_CAM"),MATCH($B60,INDIRECT("PR14_Comp"&amp;CS$23&amp;"_WTPCore_Options"),0)),"")</f>
        <v/>
      </c>
      <c r="CT60" s="342" t="str">
        <f ca="1">IFERROR(INDEX(INDIRECT("PR14_Comp"&amp;CT$23&amp;"_NHH_UnitValues_CAM"),MATCH($B60,INDIRECT("PR14_Comp"&amp;CT$23&amp;"_NHH_WTPCore_Options"),0)),"")</f>
        <v/>
      </c>
      <c r="CU60" s="342">
        <f ca="1">IFERROR(INDEX(INDIRECT("PR14_Comp"&amp;CU$23&amp;"_NHH_UnitValues_CAM"),MATCH($B60,INDIRECT("PR14_Comp"&amp;CU$23&amp;"_WTPCore_Options"),0)),"")</f>
        <v>653817.81835688034</v>
      </c>
      <c r="CV60" s="342">
        <f ca="1">IFERROR(INDEX(INDIRECT("PR14_Comp"&amp;CV$23&amp;"_NHH_UnitValues_CAM"),MATCH($B60,INDIRECT("PR14_Comp"&amp;CV$23&amp;"_WTPCore_Options"),0)),"")</f>
        <v>1102543.9642878862</v>
      </c>
      <c r="CW60" s="342">
        <f t="shared" ca="1" si="85"/>
        <v>314748.52442089515</v>
      </c>
      <c r="CX60" s="342">
        <f t="shared" ca="1" si="85"/>
        <v>206060.57688978311</v>
      </c>
      <c r="CY60" s="342">
        <f t="shared" ca="1" si="85"/>
        <v>245729.24883832855</v>
      </c>
      <c r="CZ60" s="342">
        <f t="shared" ca="1" si="85"/>
        <v>239933.90214668977</v>
      </c>
      <c r="DA60" s="342">
        <f t="shared" ca="1" si="85"/>
        <v>300689.42914754944</v>
      </c>
      <c r="DB60" s="342"/>
      <c r="DC60" s="342">
        <f t="shared" ca="1" si="86"/>
        <v>59175.383639540436</v>
      </c>
      <c r="DD60" s="342">
        <f t="shared" ca="1" si="86"/>
        <v>466597.45604188251</v>
      </c>
      <c r="DE60" s="342" t="str">
        <f t="shared" ca="1" si="86"/>
        <v/>
      </c>
      <c r="DF60" s="342" t="str">
        <f t="shared" ca="1" si="86"/>
        <v/>
      </c>
      <c r="DG60" s="342" t="str">
        <f t="shared" ca="1" si="86"/>
        <v/>
      </c>
      <c r="DH60" s="342">
        <f t="shared" ca="1" si="86"/>
        <v>457275.34249070811</v>
      </c>
      <c r="DI60" s="342" t="str">
        <f t="shared" ca="1" si="86"/>
        <v/>
      </c>
      <c r="DJ60" s="342">
        <f t="shared" ca="1" si="86"/>
        <v>368849.31307700055</v>
      </c>
      <c r="DK60" s="342"/>
      <c r="DL60" s="342"/>
      <c r="DM60" s="342"/>
      <c r="DN60" s="342"/>
      <c r="DO60" s="342"/>
      <c r="DP60" s="342"/>
      <c r="DQ60" s="342"/>
      <c r="DR60" s="342"/>
      <c r="DS60" s="342"/>
      <c r="DT60" s="342"/>
      <c r="DU60" s="342"/>
      <c r="DV60" s="342"/>
      <c r="DW60" s="342"/>
      <c r="DX60" s="342"/>
      <c r="DY60" s="342"/>
      <c r="DZ60" s="342"/>
      <c r="EA60" s="342"/>
      <c r="EB60" s="342"/>
      <c r="EC60" s="645">
        <f t="shared" ca="1" si="108"/>
        <v>125115.34004924072</v>
      </c>
      <c r="ED60" s="543">
        <f t="shared" ca="1" si="109"/>
        <v>0</v>
      </c>
      <c r="EE60" s="543">
        <f t="shared" ca="1" si="110"/>
        <v>887637.0124199196</v>
      </c>
      <c r="EF60" s="14">
        <f t="shared" ca="1" si="111"/>
        <v>25023.068009848146</v>
      </c>
      <c r="EG60" s="543">
        <f t="shared" ca="1" si="112"/>
        <v>735132.67794578383</v>
      </c>
      <c r="EH60" s="543">
        <f t="shared" ca="1" si="113"/>
        <v>100092.27203939258</v>
      </c>
      <c r="EI60" s="543">
        <f t="shared" ca="1" si="114"/>
        <v>610017.33789654309</v>
      </c>
      <c r="EL60" s="645">
        <f t="shared" ca="1" si="87"/>
        <v>73305.569048316873</v>
      </c>
      <c r="EM60" s="798">
        <f t="shared" ca="1" si="88"/>
        <v>0</v>
      </c>
      <c r="EN60" s="892">
        <f t="shared" ca="1" si="89"/>
        <v>335083.92145949701</v>
      </c>
      <c r="EO60" s="892">
        <f t="shared" ca="1" si="90"/>
        <v>14385.16132750104</v>
      </c>
      <c r="EP60" s="892">
        <f t="shared" ca="1" si="91"/>
        <v>270680.12548361946</v>
      </c>
      <c r="EQ60" s="887">
        <f t="shared" ca="1" si="92"/>
        <v>57540.645310004162</v>
      </c>
      <c r="ER60" s="795">
        <f t="shared" ca="1" si="93"/>
        <v>198754.31884611424</v>
      </c>
      <c r="ES60" s="887"/>
      <c r="ET60" s="887"/>
      <c r="EU60" s="887"/>
      <c r="EV60" s="887"/>
    </row>
    <row r="61" spans="1:152" x14ac:dyDescent="0.25">
      <c r="A61" s="258" t="s">
        <v>324</v>
      </c>
      <c r="B61" s="9" t="s">
        <v>318</v>
      </c>
      <c r="C61" s="236" t="s">
        <v>423</v>
      </c>
      <c r="D61" s="342"/>
      <c r="E61" s="342"/>
      <c r="F61" s="342"/>
      <c r="G61" s="342"/>
      <c r="H61" s="343"/>
      <c r="I61" s="342"/>
      <c r="J61" s="342"/>
      <c r="K61" s="342"/>
      <c r="L61" s="342"/>
      <c r="M61" s="342"/>
      <c r="N61" s="342"/>
      <c r="O61" s="342"/>
      <c r="P61" s="342" t="str">
        <f t="shared" si="71"/>
        <v/>
      </c>
      <c r="Q61" s="342"/>
      <c r="R61" s="344"/>
      <c r="S61" s="342"/>
      <c r="T61" s="342"/>
      <c r="U61" s="342"/>
      <c r="V61" s="342" t="str">
        <f t="shared" ca="1" si="118"/>
        <v/>
      </c>
      <c r="W61" s="342" t="str">
        <f t="shared" ca="1" si="118"/>
        <v/>
      </c>
      <c r="X61" s="342" t="str">
        <f t="shared" ca="1" si="118"/>
        <v/>
      </c>
      <c r="Y61" s="342" t="str">
        <f t="shared" ca="1" si="118"/>
        <v/>
      </c>
      <c r="Z61" s="342" t="str">
        <f t="shared" ca="1" si="118"/>
        <v/>
      </c>
      <c r="AA61" s="342" t="str">
        <f t="shared" ca="1" si="122"/>
        <v/>
      </c>
      <c r="AB61" s="342" t="str">
        <f t="shared" ca="1" si="119"/>
        <v/>
      </c>
      <c r="AC61" s="342" t="str">
        <f t="shared" ca="1" si="119"/>
        <v/>
      </c>
      <c r="AD61" s="342"/>
      <c r="AE61" s="342" t="str">
        <f t="shared" ca="1" si="123"/>
        <v/>
      </c>
      <c r="AF61" s="342" t="str">
        <f t="shared" ca="1" si="123"/>
        <v/>
      </c>
      <c r="AG61" s="342" t="str">
        <f t="shared" ca="1" si="123"/>
        <v/>
      </c>
      <c r="AH61" s="342" t="str">
        <f ca="1">IFERROR(INDEX(INDIRECT("PR14_Comp"&amp;AH$23&amp;"_NHH_UnitValues"),MATCH($B61,INDIRECT("PR14_Comp"&amp;AH$23&amp;"_WTPCore_Options"),0)),"")</f>
        <v/>
      </c>
      <c r="AI61" s="342" t="str">
        <f t="shared" ca="1" si="124"/>
        <v/>
      </c>
      <c r="AJ61" s="342" t="str">
        <f t="shared" ca="1" si="124"/>
        <v/>
      </c>
      <c r="AK61" s="342" t="str">
        <f t="shared" ref="AK61:AL65" ca="1" si="125">IFERROR(INDEX(INDIRECT("PR19_Comp"&amp;AK$47&amp;"_UnitValues_NHH"),MATCH($B61,INDIRECT("PR19_Comp"&amp;AK$47&amp;"_WTPCore_Options"),0)),"")</f>
        <v/>
      </c>
      <c r="AL61" s="342" t="str">
        <f t="shared" ca="1" si="125"/>
        <v/>
      </c>
      <c r="AM61" s="342"/>
      <c r="AN61" s="342"/>
      <c r="AO61" s="342"/>
      <c r="AP61" s="342"/>
      <c r="AQ61" s="342"/>
      <c r="AR61" s="342"/>
      <c r="AS61" s="342"/>
      <c r="AT61" s="342"/>
      <c r="AU61" s="342"/>
      <c r="AV61" s="342"/>
      <c r="AW61" s="342" t="str">
        <f t="shared" ref="AW61:AX65" ca="1" si="126">IFERROR(INDEX(INDIRECT("PR19_Comp"&amp;AW$47&amp;"_UnitValues_NHH"),MATCH($B61,INDIRECT("PR19_Comp"&amp;AW$47&amp;"_WTPCore_Options"),0)),"")</f>
        <v/>
      </c>
      <c r="AX61" s="342" t="str">
        <f t="shared" ca="1" si="126"/>
        <v/>
      </c>
      <c r="AY61" s="645"/>
      <c r="AZ61" s="543"/>
      <c r="BA61" s="543"/>
      <c r="BB61" s="14"/>
      <c r="BC61" s="543"/>
      <c r="BD61" s="543"/>
      <c r="BE61" s="543"/>
      <c r="BF61" s="543"/>
      <c r="BG61" s="543"/>
      <c r="BH61" s="543"/>
      <c r="BI61" s="543"/>
      <c r="BJ61" s="543"/>
      <c r="BK61" s="543"/>
      <c r="BL61" s="543"/>
      <c r="BM61" s="543"/>
      <c r="BN61" s="543"/>
      <c r="BO61" s="953"/>
      <c r="BP61" s="342"/>
      <c r="BQ61" s="342"/>
      <c r="BR61" s="342"/>
      <c r="BS61" s="342"/>
      <c r="BT61" s="343"/>
      <c r="BU61" s="342"/>
      <c r="BV61" s="342">
        <f ca="1">INDEX(INDIRECT("CAM_WTPCore2_"&amp;$B61&amp;"_UnitValues"),2,MATCH("LOW",LMH,0))</f>
        <v>0</v>
      </c>
      <c r="BW61" s="342">
        <f ca="1">INDEX(INDIRECT("CAM_WTPCore2_"&amp;$B61&amp;"_UnitValues"),2,MATCH("HIGH",LMH,0))</f>
        <v>0</v>
      </c>
      <c r="BX61" s="342"/>
      <c r="BY61" s="342"/>
      <c r="BZ61" s="342"/>
      <c r="CA61" s="342"/>
      <c r="CB61" s="342"/>
      <c r="CC61" s="342"/>
      <c r="CD61" s="344"/>
      <c r="CE61" s="342"/>
      <c r="CF61" s="342"/>
      <c r="CG61" s="344"/>
      <c r="CH61" s="342"/>
      <c r="CI61" s="342"/>
      <c r="CJ61" s="342"/>
      <c r="CK61" s="342"/>
      <c r="CL61" s="342"/>
      <c r="CM61" s="342"/>
      <c r="CN61" s="342"/>
      <c r="CO61" s="342"/>
      <c r="CP61" s="342"/>
      <c r="CQ61" s="342"/>
      <c r="CR61" s="342"/>
      <c r="CS61" s="342"/>
      <c r="CT61" s="342"/>
      <c r="CU61" s="342"/>
      <c r="CV61" s="342"/>
      <c r="CW61" s="342" t="str">
        <f t="shared" ref="CW61:CX65" ca="1" si="127">IFERROR(INDEX(INDIRECT("PR19_Comp"&amp;CW$47&amp;"_UnitValues_NHH_CAM"),MATCH($B61,INDIRECT("PR19_Comp"&amp;CW$47&amp;"_WTPCore_Options"),0)),"")</f>
        <v/>
      </c>
      <c r="CX61" s="342" t="str">
        <f t="shared" ca="1" si="127"/>
        <v/>
      </c>
      <c r="CY61" s="342"/>
      <c r="CZ61" s="342"/>
      <c r="DA61" s="342"/>
      <c r="DB61" s="342"/>
      <c r="DC61" s="342"/>
      <c r="DD61" s="342"/>
      <c r="DE61" s="342"/>
      <c r="DF61" s="342"/>
      <c r="DG61" s="342"/>
      <c r="DH61" s="342"/>
      <c r="DI61" s="342"/>
      <c r="DJ61" s="342" t="str">
        <f ca="1">IFERROR(INDEX(INDIRECT("PR19_Comp"&amp;DJ$47&amp;"_UnitValues_NHH_CAM"),MATCH($B61,INDIRECT("PR19_Comp"&amp;DJ$47&amp;"_WTPCore_Options"),0)),"")</f>
        <v/>
      </c>
      <c r="DK61" s="342"/>
      <c r="DL61" s="342"/>
      <c r="DM61" s="342"/>
      <c r="DN61" s="342"/>
      <c r="DO61" s="342"/>
      <c r="DP61" s="342"/>
      <c r="DQ61" s="342"/>
      <c r="DR61" s="342"/>
      <c r="DS61" s="342"/>
      <c r="DT61" s="342"/>
      <c r="DU61" s="342"/>
      <c r="DV61" s="342"/>
      <c r="DW61" s="342"/>
      <c r="DX61" s="342"/>
      <c r="DY61" s="342"/>
      <c r="DZ61" s="342"/>
      <c r="EA61" s="342"/>
      <c r="EB61" s="342"/>
      <c r="EC61" s="645"/>
      <c r="ED61" s="543"/>
      <c r="EE61" s="543"/>
      <c r="EF61" s="14"/>
      <c r="EG61" s="543"/>
      <c r="EH61" s="543"/>
      <c r="EI61" s="543"/>
      <c r="EL61" s="645"/>
      <c r="EM61" s="798"/>
      <c r="EN61" s="892"/>
      <c r="EO61" s="892"/>
      <c r="EP61" s="892"/>
      <c r="EQ61" s="887"/>
      <c r="ER61" s="795"/>
      <c r="ES61" s="887"/>
      <c r="ET61" s="887"/>
      <c r="EU61" s="887"/>
      <c r="EV61" s="887"/>
    </row>
    <row r="62" spans="1:152" x14ac:dyDescent="0.25">
      <c r="A62" s="9" t="s">
        <v>373</v>
      </c>
      <c r="B62" s="9" t="s">
        <v>402</v>
      </c>
      <c r="C62" s="236" t="s">
        <v>423</v>
      </c>
      <c r="D62" s="342"/>
      <c r="E62" s="342"/>
      <c r="F62" s="342"/>
      <c r="G62" s="342"/>
      <c r="H62" s="343"/>
      <c r="I62" s="342"/>
      <c r="J62" s="342"/>
      <c r="K62" s="342"/>
      <c r="L62" s="342"/>
      <c r="M62" s="342"/>
      <c r="N62" s="342"/>
      <c r="O62" s="342"/>
      <c r="P62" s="342" t="str">
        <f t="shared" si="71"/>
        <v/>
      </c>
      <c r="Q62" s="344"/>
      <c r="R62" s="344"/>
      <c r="S62" s="342"/>
      <c r="T62" s="342"/>
      <c r="U62" s="342"/>
      <c r="V62" s="342" t="str">
        <f t="shared" ca="1" si="118"/>
        <v/>
      </c>
      <c r="W62" s="342" t="str">
        <f t="shared" ca="1" si="118"/>
        <v/>
      </c>
      <c r="X62" s="342" t="str">
        <f t="shared" ca="1" si="118"/>
        <v/>
      </c>
      <c r="Y62" s="342" t="str">
        <f t="shared" ca="1" si="118"/>
        <v/>
      </c>
      <c r="Z62" s="342" t="str">
        <f t="shared" ca="1" si="118"/>
        <v/>
      </c>
      <c r="AA62" s="342" t="str">
        <f t="shared" ca="1" si="122"/>
        <v/>
      </c>
      <c r="AB62" s="342" t="str">
        <f t="shared" ca="1" si="119"/>
        <v/>
      </c>
      <c r="AC62" s="342" t="str">
        <f t="shared" ca="1" si="119"/>
        <v/>
      </c>
      <c r="AD62" s="342"/>
      <c r="AE62" s="342" t="str">
        <f t="shared" ca="1" si="123"/>
        <v/>
      </c>
      <c r="AF62" s="342" t="str">
        <f t="shared" ca="1" si="123"/>
        <v/>
      </c>
      <c r="AG62" s="342" t="str">
        <f t="shared" ca="1" si="123"/>
        <v/>
      </c>
      <c r="AH62" s="342" t="str">
        <f ca="1">IFERROR(INDEX(INDIRECT("PR14_Comp"&amp;AH$23&amp;"_NHH_UnitValues"),MATCH($B62,INDIRECT("PR14_Comp"&amp;AH$23&amp;"_WTPCore_Options"),0)),"")</f>
        <v/>
      </c>
      <c r="AI62" s="342" t="str">
        <f t="shared" ca="1" si="124"/>
        <v/>
      </c>
      <c r="AJ62" s="342" t="str">
        <f t="shared" ca="1" si="124"/>
        <v/>
      </c>
      <c r="AK62" s="342" t="str">
        <f t="shared" ca="1" si="125"/>
        <v/>
      </c>
      <c r="AL62" s="342" t="str">
        <f t="shared" ca="1" si="125"/>
        <v/>
      </c>
      <c r="AM62" s="342" t="str">
        <f t="shared" ref="AM62:AO65" ca="1" si="128">IFERROR(INDEX(INDIRECT("PR19_Comp"&amp;AM$47&amp;"_UnitValues_NHH"),MATCH($B62,INDIRECT("PR19_Comp"&amp;AM$47&amp;"_WTPCore_Options"),0)),"")</f>
        <v/>
      </c>
      <c r="AN62" s="342" t="str">
        <f t="shared" ca="1" si="128"/>
        <v/>
      </c>
      <c r="AO62" s="342" t="str">
        <f t="shared" ca="1" si="128"/>
        <v/>
      </c>
      <c r="AP62" s="342"/>
      <c r="AQ62" s="342" t="str">
        <f t="shared" ref="AQ62:AV65" ca="1" si="129">IFERROR(INDEX(INDIRECT("PR19_Comp"&amp;AQ$47&amp;"_UnitValues_NHH"),MATCH($B62,INDIRECT("PR19_Comp"&amp;AQ$47&amp;"_WTPCore_Options"),0)),"")</f>
        <v/>
      </c>
      <c r="AR62" s="342" t="str">
        <f t="shared" ca="1" si="129"/>
        <v/>
      </c>
      <c r="AS62" s="342" t="str">
        <f t="shared" ca="1" si="129"/>
        <v/>
      </c>
      <c r="AT62" s="342" t="str">
        <f t="shared" ca="1" si="129"/>
        <v/>
      </c>
      <c r="AU62" s="342" t="str">
        <f t="shared" ca="1" si="129"/>
        <v/>
      </c>
      <c r="AV62" s="342" t="str">
        <f t="shared" ca="1" si="129"/>
        <v/>
      </c>
      <c r="AW62" s="342" t="str">
        <f t="shared" ca="1" si="126"/>
        <v/>
      </c>
      <c r="AX62" s="342" t="str">
        <f t="shared" ca="1" si="126"/>
        <v/>
      </c>
      <c r="AY62" s="645"/>
      <c r="AZ62" s="543"/>
      <c r="BA62" s="543"/>
      <c r="BB62" s="14"/>
      <c r="BC62" s="543"/>
      <c r="BD62" s="543"/>
      <c r="BE62" s="543"/>
      <c r="BF62" s="543"/>
      <c r="BG62" s="543"/>
      <c r="BH62" s="543"/>
      <c r="BI62" s="543"/>
      <c r="BJ62" s="543"/>
      <c r="BK62" s="543"/>
      <c r="BL62" s="543"/>
      <c r="BM62" s="543"/>
      <c r="BN62" s="543"/>
      <c r="BO62" s="953"/>
      <c r="BP62" s="342"/>
      <c r="BQ62" s="342"/>
      <c r="BR62" s="342"/>
      <c r="BS62" s="342"/>
      <c r="BT62" s="343"/>
      <c r="BU62" s="342"/>
      <c r="BV62" s="342"/>
      <c r="BW62" s="342"/>
      <c r="BX62" s="342"/>
      <c r="BY62" s="342"/>
      <c r="BZ62" s="342"/>
      <c r="CA62" s="342"/>
      <c r="CB62" s="342"/>
      <c r="CC62" s="344"/>
      <c r="CD62" s="344"/>
      <c r="CE62" s="342"/>
      <c r="CF62" s="342"/>
      <c r="CG62" s="344"/>
      <c r="CH62" s="342"/>
      <c r="CI62" s="342"/>
      <c r="CJ62" s="342"/>
      <c r="CK62" s="342"/>
      <c r="CL62" s="342"/>
      <c r="CM62" s="342"/>
      <c r="CN62" s="342"/>
      <c r="CO62" s="342"/>
      <c r="CP62" s="342"/>
      <c r="CQ62" s="342"/>
      <c r="CR62" s="342"/>
      <c r="CS62" s="342"/>
      <c r="CT62" s="342"/>
      <c r="CU62" s="342"/>
      <c r="CV62" s="342"/>
      <c r="CW62" s="342" t="str">
        <f t="shared" ca="1" si="127"/>
        <v/>
      </c>
      <c r="CX62" s="342" t="str">
        <f t="shared" ca="1" si="127"/>
        <v/>
      </c>
      <c r="CY62" s="342" t="str">
        <f t="shared" ref="CY62:DA65" ca="1" si="130">IFERROR(INDEX(INDIRECT("PR19_Comp"&amp;CY$47&amp;"_UnitValues_NHH_CAM"),MATCH($B62,INDIRECT("PR19_Comp"&amp;CY$47&amp;"_WTPCore_Options"),0)),"")</f>
        <v/>
      </c>
      <c r="CZ62" s="342" t="str">
        <f t="shared" ca="1" si="130"/>
        <v/>
      </c>
      <c r="DA62" s="342" t="str">
        <f t="shared" ca="1" si="130"/>
        <v/>
      </c>
      <c r="DB62" s="342"/>
      <c r="DC62" s="342" t="str">
        <f t="shared" ref="DC62:DI65" ca="1" si="131">IFERROR(INDEX(INDIRECT("PR19_Comp"&amp;DC$47&amp;"_UnitValues_NHH_CAM"),MATCH($B62,INDIRECT("PR19_Comp"&amp;DC$47&amp;"_WTPCore_Options"),0)),"")</f>
        <v/>
      </c>
      <c r="DD62" s="342" t="str">
        <f t="shared" ca="1" si="131"/>
        <v/>
      </c>
      <c r="DE62" s="342" t="str">
        <f t="shared" ca="1" si="131"/>
        <v/>
      </c>
      <c r="DF62" s="342" t="str">
        <f t="shared" ca="1" si="131"/>
        <v/>
      </c>
      <c r="DG62" s="342" t="str">
        <f t="shared" ca="1" si="131"/>
        <v/>
      </c>
      <c r="DH62" s="342" t="str">
        <f t="shared" ca="1" si="131"/>
        <v/>
      </c>
      <c r="DI62" s="342" t="str">
        <f t="shared" ca="1" si="131"/>
        <v/>
      </c>
      <c r="DJ62" s="342" t="str">
        <f ca="1">IFERROR(INDEX(INDIRECT("PR19_Comp"&amp;DJ$47&amp;"_UnitValues_NHH_CAM"),MATCH($B62,INDIRECT("PR19_Comp"&amp;DJ$47&amp;"_WTPCore_Options"),0)),"")</f>
        <v/>
      </c>
      <c r="DK62" s="342"/>
      <c r="DL62" s="342"/>
      <c r="DM62" s="342"/>
      <c r="DN62" s="342"/>
      <c r="DO62" s="342"/>
      <c r="DP62" s="342"/>
      <c r="DQ62" s="342"/>
      <c r="DR62" s="342"/>
      <c r="DS62" s="342"/>
      <c r="DT62" s="342"/>
      <c r="DU62" s="342"/>
      <c r="DV62" s="342"/>
      <c r="DW62" s="342"/>
      <c r="DX62" s="342"/>
      <c r="DY62" s="342"/>
      <c r="DZ62" s="342"/>
      <c r="EA62" s="342"/>
      <c r="EB62" s="342"/>
      <c r="EC62" s="645"/>
      <c r="ED62" s="543"/>
      <c r="EE62" s="543"/>
      <c r="EF62" s="14"/>
      <c r="EG62" s="543"/>
      <c r="EH62" s="543"/>
      <c r="EI62" s="543"/>
      <c r="EL62" s="645"/>
      <c r="EM62" s="798"/>
      <c r="EN62" s="892"/>
      <c r="EO62" s="892"/>
      <c r="EP62" s="892"/>
      <c r="EQ62" s="887"/>
      <c r="ER62" s="795"/>
      <c r="ES62" s="887"/>
      <c r="ET62" s="887"/>
      <c r="EU62" s="887"/>
      <c r="EV62" s="887"/>
    </row>
    <row r="63" spans="1:152" x14ac:dyDescent="0.25">
      <c r="A63" s="258" t="s">
        <v>88</v>
      </c>
      <c r="B63" s="9" t="s">
        <v>315</v>
      </c>
      <c r="C63" s="236" t="s">
        <v>397</v>
      </c>
      <c r="D63" s="342">
        <f t="shared" ca="1" si="94"/>
        <v>8184.4</v>
      </c>
      <c r="E63" s="342">
        <f ca="1">INDEX(INDIRECT("SSW_WTPCore_DCE_"&amp;$B63&amp;"_UnitValues"),MATCH("COMBINED-NHH",WTPCore_Group,0),MATCH("LOW",LMH,0))</f>
        <v>0</v>
      </c>
      <c r="F63" s="342">
        <f ca="1">INDEX(INDIRECT("SSW_WTPCore_DCE_"&amp;$B63&amp;"_UnitValues"),MATCH("COMBINED-NHH",WTPCore_Group,0),MATCH("HIGH",LMH,0))</f>
        <v>16368.8</v>
      </c>
      <c r="G63" s="342">
        <f ca="1">INDEX(INDIRECT("SSW_WTPCore_DCE_"&amp;$B39&amp;"_UnitValues"),3,MATCH("MEAN",LMH,0))</f>
        <v>6547.52</v>
      </c>
      <c r="H63" s="343">
        <f ca="1">INDEX(SSW_WTPMaxdiff_WTP_NHH_Unitvalues,MATCH($B63,WTPMaxdiff_WTP_options,0))</f>
        <v>15603.712297287921</v>
      </c>
      <c r="I63" s="342">
        <f ca="1">INDEX(INDIRECT("SSW_WTPCore2_"&amp;$B63&amp;"_UnitValues"),2,MATCH("MEAN",LMH,0))</f>
        <v>5978.637071618562</v>
      </c>
      <c r="J63" s="342">
        <f ca="1">INDEX(INDIRECT("SSW_WTPCore2_"&amp;$B63&amp;"_UnitValues"),2,MATCH("LOW",LMH,0))</f>
        <v>3911.4148853494989</v>
      </c>
      <c r="K63" s="342">
        <f ca="1">INDEX(INDIRECT("SSW_WTPCore2_"&amp;$B63&amp;"_UnitValues"),2,MATCH("HIGH",LMH,0))</f>
        <v>8045.8592578876251</v>
      </c>
      <c r="L63" s="342"/>
      <c r="M63" s="342"/>
      <c r="N63" s="342"/>
      <c r="O63" s="342"/>
      <c r="P63" s="342" t="str">
        <f t="shared" si="71"/>
        <v/>
      </c>
      <c r="Q63" s="342" t="str">
        <f>IFERROR(INDEX(SSW_WRMP_Online_UnitValues,MATCH($A63,WRMP_Online_WTPAtts,0)),"")</f>
        <v/>
      </c>
      <c r="R63" s="342" t="str">
        <f>IFERROR(INDEX(SSW_WRMP_Workshop_UnitValues,MATCH($A63,WRMP_Workshop_WTPAtts,0)),"")</f>
        <v/>
      </c>
      <c r="S63" s="342"/>
      <c r="T63" s="342">
        <f t="shared" ca="1" si="116"/>
        <v>5247.5182374965852</v>
      </c>
      <c r="U63" s="342"/>
      <c r="V63" s="342" t="str">
        <f t="shared" ca="1" si="118"/>
        <v/>
      </c>
      <c r="W63" s="342" t="str">
        <f t="shared" ca="1" si="118"/>
        <v/>
      </c>
      <c r="X63" s="342" t="str">
        <f t="shared" ca="1" si="118"/>
        <v/>
      </c>
      <c r="Y63" s="342" t="str">
        <f t="shared" ca="1" si="118"/>
        <v/>
      </c>
      <c r="Z63" s="342" t="str">
        <f t="shared" ca="1" si="118"/>
        <v/>
      </c>
      <c r="AA63" s="342" t="str">
        <f t="shared" ca="1" si="122"/>
        <v/>
      </c>
      <c r="AB63" s="342" t="str">
        <f t="shared" ca="1" si="119"/>
        <v/>
      </c>
      <c r="AC63" s="342" t="str">
        <f t="shared" ca="1" si="119"/>
        <v/>
      </c>
      <c r="AD63" s="342"/>
      <c r="AE63" s="342" t="str">
        <f t="shared" ca="1" si="123"/>
        <v/>
      </c>
      <c r="AF63" s="342" t="str">
        <f t="shared" ca="1" si="123"/>
        <v/>
      </c>
      <c r="AG63" s="342" t="str">
        <f t="shared" ca="1" si="123"/>
        <v/>
      </c>
      <c r="AH63" s="342" t="str">
        <f ca="1">IFERROR(INDEX(INDIRECT("PR14_Comp"&amp;AH$23&amp;"_NHH_UnitValues"),MATCH($B63,INDIRECT("PR14_Comp"&amp;AH$23&amp;"_WTPCore_Options"),0)),"")</f>
        <v/>
      </c>
      <c r="AI63" s="342" t="str">
        <f t="shared" ca="1" si="124"/>
        <v/>
      </c>
      <c r="AJ63" s="342" t="str">
        <f t="shared" ca="1" si="124"/>
        <v/>
      </c>
      <c r="AK63" s="342" t="str">
        <f t="shared" ca="1" si="125"/>
        <v/>
      </c>
      <c r="AL63" s="342" t="str">
        <f t="shared" ca="1" si="125"/>
        <v/>
      </c>
      <c r="AM63" s="342">
        <f t="shared" ca="1" si="128"/>
        <v>4897.6515657412829</v>
      </c>
      <c r="AN63" s="342">
        <f t="shared" ca="1" si="128"/>
        <v>3122.5889896464168</v>
      </c>
      <c r="AO63" s="342">
        <f t="shared" ca="1" si="128"/>
        <v>9374.908319178794</v>
      </c>
      <c r="AP63" s="342"/>
      <c r="AQ63" s="342" t="str">
        <f t="shared" ca="1" si="129"/>
        <v/>
      </c>
      <c r="AR63" s="342">
        <f t="shared" ca="1" si="129"/>
        <v>3594.9240754198477</v>
      </c>
      <c r="AS63" s="342" t="str">
        <f t="shared" ca="1" si="129"/>
        <v/>
      </c>
      <c r="AT63" s="342" t="str">
        <f t="shared" ca="1" si="129"/>
        <v/>
      </c>
      <c r="AU63" s="342" t="str">
        <f t="shared" ca="1" si="129"/>
        <v/>
      </c>
      <c r="AV63" s="342" t="str">
        <f t="shared" ca="1" si="129"/>
        <v/>
      </c>
      <c r="AW63" s="342" t="str">
        <f t="shared" ca="1" si="126"/>
        <v/>
      </c>
      <c r="AX63" s="342" t="str">
        <f t="shared" ca="1" si="126"/>
        <v/>
      </c>
      <c r="AY63" s="645">
        <f t="shared" ca="1" si="97"/>
        <v>8464.2810107769692</v>
      </c>
      <c r="AZ63" s="543">
        <f t="shared" ca="1" si="98"/>
        <v>0</v>
      </c>
      <c r="BA63" s="543">
        <f t="shared" ca="1" si="99"/>
        <v>16368.8</v>
      </c>
      <c r="BB63" s="14">
        <f t="shared" ca="1" si="100"/>
        <v>1692.8562021553939</v>
      </c>
      <c r="BC63" s="543">
        <f t="shared" ca="1" si="101"/>
        <v>14787.896202155394</v>
      </c>
      <c r="BD63" s="543">
        <f t="shared" ca="1" si="102"/>
        <v>6771.4248086215757</v>
      </c>
      <c r="BE63" s="543">
        <f ca="1">BC63-AY63</f>
        <v>6323.6151913784252</v>
      </c>
      <c r="BF63" s="543"/>
      <c r="BG63" s="543"/>
      <c r="BH63" s="543"/>
      <c r="BI63" s="543"/>
      <c r="BJ63" s="543"/>
      <c r="BK63" s="543"/>
      <c r="BL63" s="543"/>
      <c r="BM63" s="543"/>
      <c r="BN63" s="543"/>
      <c r="BO63" s="953"/>
      <c r="BP63" s="342">
        <f t="shared" ca="1" si="103"/>
        <v>5120</v>
      </c>
      <c r="BQ63" s="342">
        <f ca="1">INDEX(INDIRECT("CAM_WTPCore_"&amp;$B63&amp;"_UnitValues"),MATCH("COMBINED-NHH",WTPCore_Group,0),MATCH("LOW",LMH,0))</f>
        <v>0</v>
      </c>
      <c r="BR63" s="342">
        <f ca="1">INDEX(INDIRECT("CAM_WTPCore_"&amp;$B63&amp;"_UnitValues"),MATCH("COMBINED-NHH",WTPCore_Group,0),MATCH("HIGH",LMH,0))</f>
        <v>5120</v>
      </c>
      <c r="BS63" s="342">
        <f ca="1">INDEX(INDIRECT("CAM_WTPCore_"&amp;$B63&amp;"_UnitValues"),3,MATCH("MEAN",LMH,0))</f>
        <v>17920</v>
      </c>
      <c r="BT63" s="343">
        <f ca="1">INDEX(CAM_WTPMaxdiff_WTP_NHH_Unitvalues,MATCH($B63,WTPMaxdiff_WTP_options,0))</f>
        <v>83450.242593007861</v>
      </c>
      <c r="BU63" s="342">
        <f ca="1">INDEX(INDIRECT("CAM_WTPCore2_"&amp;$B63&amp;"_UnitValues"),2,MATCH("MEAN",LMH,0))</f>
        <v>115707.47377785998</v>
      </c>
      <c r="BV63" s="342">
        <f ca="1">INDEX(INDIRECT("CAM_WTPCore2_"&amp;$B63&amp;"_UnitValues"),2,MATCH("LOW",LMH,0))</f>
        <v>0</v>
      </c>
      <c r="BW63" s="342">
        <f ca="1">INDEX(INDIRECT("CAM_WTPCore2_"&amp;$B63&amp;"_UnitValues"),2,MATCH("HIGH",LMH,0))</f>
        <v>869100.06337042083</v>
      </c>
      <c r="BX63" s="342"/>
      <c r="BY63" s="342"/>
      <c r="BZ63" s="342"/>
      <c r="CA63" s="342"/>
      <c r="CB63" s="342"/>
      <c r="CC63" s="342" t="str">
        <f>IFERROR(INDEX(CAM_WRMP_Online_UnitValues,MATCH($A63,WRMP_Online_WTPAtts,0)),"")</f>
        <v/>
      </c>
      <c r="CD63" s="342" t="str">
        <f>IFERROR(INDEX(CAM_WRMP_Workshop_UnitValues,MATCH($A63,WRMP_Workshop_WTPAtts,0)),"")</f>
        <v/>
      </c>
      <c r="CE63" s="342"/>
      <c r="CF63" s="342">
        <f t="shared" ca="1" si="82"/>
        <v>25165.264848875609</v>
      </c>
      <c r="CG63" s="342"/>
      <c r="CH63" s="342" t="str">
        <f t="shared" ref="CH63:CO65" ca="1" si="132">IFERROR(INDEX(INDIRECT("PR14_Comp"&amp;CH$23&amp;"_NHH_UnitValues_CAM"),MATCH($B63,INDIRECT("PR14_Comp"&amp;CH$23&amp;"_WTPCore_Options"),0)),"")</f>
        <v/>
      </c>
      <c r="CI63" s="342" t="str">
        <f t="shared" ca="1" si="132"/>
        <v/>
      </c>
      <c r="CJ63" s="342" t="str">
        <f t="shared" ca="1" si="132"/>
        <v/>
      </c>
      <c r="CK63" s="342" t="str">
        <f t="shared" ca="1" si="132"/>
        <v/>
      </c>
      <c r="CL63" s="342" t="str">
        <f t="shared" ca="1" si="132"/>
        <v/>
      </c>
      <c r="CM63" s="342" t="str">
        <f t="shared" ca="1" si="132"/>
        <v/>
      </c>
      <c r="CN63" s="342" t="str">
        <f t="shared" ca="1" si="132"/>
        <v/>
      </c>
      <c r="CO63" s="342" t="str">
        <f t="shared" ca="1" si="132"/>
        <v/>
      </c>
      <c r="CP63" s="342"/>
      <c r="CQ63" s="342" t="str">
        <f t="shared" ref="CQ63:CV65" ca="1" si="133">IFERROR(INDEX(INDIRECT("PR14_Comp"&amp;CQ$23&amp;"_NHH_UnitValues_CAM"),MATCH($B63,INDIRECT("PR14_Comp"&amp;CQ$23&amp;"_WTPCore_Options"),0)),"")</f>
        <v/>
      </c>
      <c r="CR63" s="342" t="str">
        <f t="shared" ca="1" si="133"/>
        <v/>
      </c>
      <c r="CS63" s="342" t="str">
        <f t="shared" ca="1" si="133"/>
        <v/>
      </c>
      <c r="CT63" s="342" t="str">
        <f t="shared" ca="1" si="133"/>
        <v/>
      </c>
      <c r="CU63" s="342" t="str">
        <f t="shared" ca="1" si="133"/>
        <v/>
      </c>
      <c r="CV63" s="342" t="str">
        <f t="shared" ca="1" si="133"/>
        <v/>
      </c>
      <c r="CW63" s="342" t="str">
        <f t="shared" ca="1" si="127"/>
        <v/>
      </c>
      <c r="CX63" s="342" t="str">
        <f t="shared" ca="1" si="127"/>
        <v/>
      </c>
      <c r="CY63" s="342">
        <f t="shared" ca="1" si="130"/>
        <v>20881.474530415715</v>
      </c>
      <c r="CZ63" s="342">
        <f t="shared" ca="1" si="130"/>
        <v>19521.405351622281</v>
      </c>
      <c r="DA63" s="342">
        <f t="shared" ca="1" si="130"/>
        <v>40644.913495773646</v>
      </c>
      <c r="DB63" s="342"/>
      <c r="DC63" s="342" t="str">
        <f t="shared" ca="1" si="131"/>
        <v/>
      </c>
      <c r="DD63" s="342">
        <f t="shared" ca="1" si="131"/>
        <v>19613.266017690788</v>
      </c>
      <c r="DE63" s="342" t="str">
        <f t="shared" ca="1" si="131"/>
        <v/>
      </c>
      <c r="DF63" s="342" t="str">
        <f t="shared" ca="1" si="131"/>
        <v/>
      </c>
      <c r="DG63" s="342" t="str">
        <f t="shared" ca="1" si="131"/>
        <v/>
      </c>
      <c r="DH63" s="342" t="str">
        <f t="shared" ca="1" si="131"/>
        <v/>
      </c>
      <c r="DI63" s="342" t="str">
        <f t="shared" ca="1" si="131"/>
        <v/>
      </c>
      <c r="DJ63" s="342" t="str">
        <f ca="1">IFERROR(INDEX(INDIRECT("PR19_Comp"&amp;DJ$47&amp;"_UnitValues_NHH_CAM"),MATCH($B63,INDIRECT("PR19_Comp"&amp;DJ$47&amp;"_WTPCore_Options"),0)),"")</f>
        <v/>
      </c>
      <c r="DK63" s="342"/>
      <c r="DL63" s="342"/>
      <c r="DM63" s="342"/>
      <c r="DN63" s="342"/>
      <c r="DO63" s="342"/>
      <c r="DP63" s="342"/>
      <c r="DQ63" s="342"/>
      <c r="DR63" s="342"/>
      <c r="DS63" s="342"/>
      <c r="DT63" s="342"/>
      <c r="DU63" s="342"/>
      <c r="DV63" s="342"/>
      <c r="DW63" s="342"/>
      <c r="DX63" s="342"/>
      <c r="DY63" s="342"/>
      <c r="DZ63" s="342"/>
      <c r="EA63" s="342"/>
      <c r="EB63" s="342"/>
      <c r="EC63" s="645">
        <f ca="1">SUMPRODUCT($BP$48:$CG$48,BP63:CG63)/SUMIF($BP63:$CG63,"&gt;0",$BP$48:$CG$48)</f>
        <v>30363.678576413047</v>
      </c>
      <c r="ED63" s="543">
        <f t="shared" ca="1" si="109"/>
        <v>0</v>
      </c>
      <c r="EE63" s="543">
        <f t="shared" ca="1" si="110"/>
        <v>869100.06337042083</v>
      </c>
      <c r="EF63" s="14">
        <f t="shared" ca="1" si="111"/>
        <v>6072.7357152826098</v>
      </c>
      <c r="EG63" s="543">
        <f t="shared" ca="1" si="112"/>
        <v>701352.78641161928</v>
      </c>
      <c r="EH63" s="543">
        <f ca="1">EC63-EF63</f>
        <v>24290.942861130439</v>
      </c>
      <c r="EI63" s="543">
        <f ca="1">EG63-EC63</f>
        <v>670989.1078352062</v>
      </c>
      <c r="EL63" s="645">
        <f t="shared" ref="EL63:EN65" ca="1" si="134">(AY63*NHHProps_SSW+EC63*NHHProps_CAM)/NHHProps_All</f>
        <v>13123.727301337836</v>
      </c>
      <c r="EM63" s="798">
        <f t="shared" ca="1" si="134"/>
        <v>0</v>
      </c>
      <c r="EN63" s="892">
        <f t="shared" ca="1" si="134"/>
        <v>197800.98369583423</v>
      </c>
      <c r="EO63" s="892">
        <f t="shared" ref="EO63:ER65" ca="1" si="135">(BB63*HHProps_SSW+EF63*HHProps_CAM)/HHProps_All</f>
        <v>2532.9209403979494</v>
      </c>
      <c r="EP63" s="892">
        <f t="shared" ca="1" si="135"/>
        <v>146471.6452760057</v>
      </c>
      <c r="EQ63" s="887">
        <f t="shared" ca="1" si="135"/>
        <v>10131.683761591798</v>
      </c>
      <c r="ER63" s="795">
        <f t="shared" ca="1" si="135"/>
        <v>133807.04057401596</v>
      </c>
      <c r="ES63" s="887"/>
      <c r="ET63" s="887"/>
      <c r="EU63" s="887"/>
      <c r="EV63" s="887"/>
    </row>
    <row r="64" spans="1:152" x14ac:dyDescent="0.25">
      <c r="A64" s="258" t="s">
        <v>89</v>
      </c>
      <c r="B64" s="9" t="s">
        <v>320</v>
      </c>
      <c r="C64" s="236" t="s">
        <v>397</v>
      </c>
      <c r="D64" s="342">
        <f t="shared" ca="1" si="94"/>
        <v>6547.52</v>
      </c>
      <c r="E64" s="342">
        <f ca="1">INDEX(INDIRECT("SSW_WTPCore_DCE_"&amp;$B64&amp;"_UnitValues"),MATCH("COMBINED-NHH",WTPCore_Group,0),MATCH("LOW",LMH,0))</f>
        <v>1636.88</v>
      </c>
      <c r="F64" s="342">
        <f ca="1">INDEX(INDIRECT("SSW_WTPCore_DCE_"&amp;$B64&amp;"_UnitValues"),MATCH("COMBINED-NHH",WTPCore_Group,0),MATCH("HIGH",LMH,0))</f>
        <v>10639.72</v>
      </c>
      <c r="G64" s="342">
        <f ca="1">INDEX(INDIRECT("SSW_WTPCore_DCE_"&amp;$B40&amp;"_UnitValues"),3,MATCH("MEAN",LMH,0))</f>
        <v>6547.52</v>
      </c>
      <c r="H64" s="343">
        <f ca="1">INDEX(SSW_WTPMaxdiff_WTP_NHH_Unitvalues,MATCH($B64,WTPMaxdiff_WTP_options,0))</f>
        <v>4179.5657939164075</v>
      </c>
      <c r="I64" s="342">
        <f ca="1">INDEX(INDIRECT("SSW_WTPCore2_"&amp;$B64&amp;"_UnitValues"),2,MATCH("MEAN",LMH,0))</f>
        <v>6298.8109000190461</v>
      </c>
      <c r="J64" s="342">
        <f ca="1">INDEX(INDIRECT("SSW_WTPCore2_"&amp;$B64&amp;"_UnitValues"),2,MATCH("LOW",LMH,0))</f>
        <v>4116.0907690808199</v>
      </c>
      <c r="K64" s="342">
        <f ca="1">INDEX(INDIRECT("SSW_WTPCore2_"&amp;$B64&amp;"_UnitValues"),2,MATCH("HIGH",LMH,0))</f>
        <v>8481.5310309572724</v>
      </c>
      <c r="L64" s="342"/>
      <c r="M64" s="342"/>
      <c r="N64" s="342"/>
      <c r="O64" s="342"/>
      <c r="P64" s="342" t="str">
        <f t="shared" si="71"/>
        <v/>
      </c>
      <c r="Q64" s="342" t="str">
        <f>IFERROR(INDEX(SSW_WRMP_Online_UnitValues,MATCH($A64,WRMP_Online_WTPAtts,0)),"")</f>
        <v/>
      </c>
      <c r="R64" s="342" t="str">
        <f>IFERROR(INDEX(SSW_WRMP_Workshop_UnitValues,MATCH($A64,WRMP_Workshop_WTPAtts,0)),"")</f>
        <v/>
      </c>
      <c r="S64" s="342"/>
      <c r="T64" s="342"/>
      <c r="U64" s="342"/>
      <c r="V64" s="342" t="str">
        <f t="shared" ca="1" si="118"/>
        <v/>
      </c>
      <c r="W64" s="342" t="str">
        <f t="shared" ca="1" si="118"/>
        <v/>
      </c>
      <c r="X64" s="342" t="str">
        <f t="shared" ca="1" si="118"/>
        <v/>
      </c>
      <c r="Y64" s="342" t="str">
        <f t="shared" ca="1" si="118"/>
        <v/>
      </c>
      <c r="Z64" s="342" t="str">
        <f t="shared" ca="1" si="118"/>
        <v/>
      </c>
      <c r="AA64" s="342" t="str">
        <f t="shared" ca="1" si="122"/>
        <v/>
      </c>
      <c r="AB64" s="342" t="str">
        <f t="shared" ca="1" si="119"/>
        <v/>
      </c>
      <c r="AC64" s="342" t="str">
        <f t="shared" ca="1" si="119"/>
        <v/>
      </c>
      <c r="AD64" s="342"/>
      <c r="AE64" s="342" t="str">
        <f t="shared" ca="1" si="123"/>
        <v/>
      </c>
      <c r="AF64" s="342" t="str">
        <f t="shared" ca="1" si="123"/>
        <v/>
      </c>
      <c r="AG64" s="342" t="str">
        <f t="shared" ca="1" si="123"/>
        <v/>
      </c>
      <c r="AH64" s="342" t="str">
        <f ca="1">IFERROR(INDEX(INDIRECT("PR14_Comp"&amp;AH$23&amp;"_NHH_UnitValues"),MATCH($B64,INDIRECT("PR14_Comp"&amp;AH$23&amp;"_WTPCore_Options"),0)),"")</f>
        <v/>
      </c>
      <c r="AI64" s="342" t="str">
        <f t="shared" ca="1" si="124"/>
        <v/>
      </c>
      <c r="AJ64" s="342" t="str">
        <f t="shared" ca="1" si="124"/>
        <v/>
      </c>
      <c r="AK64" s="342" t="str">
        <f t="shared" ca="1" si="125"/>
        <v/>
      </c>
      <c r="AL64" s="342" t="str">
        <f t="shared" ca="1" si="125"/>
        <v/>
      </c>
      <c r="AM64" s="342" t="str">
        <f t="shared" ca="1" si="128"/>
        <v/>
      </c>
      <c r="AN64" s="342" t="str">
        <f t="shared" ca="1" si="128"/>
        <v/>
      </c>
      <c r="AO64" s="342" t="str">
        <f t="shared" ca="1" si="128"/>
        <v/>
      </c>
      <c r="AP64" s="342"/>
      <c r="AQ64" s="342" t="str">
        <f t="shared" ca="1" si="129"/>
        <v/>
      </c>
      <c r="AR64" s="342" t="str">
        <f t="shared" ca="1" si="129"/>
        <v/>
      </c>
      <c r="AS64" s="342" t="str">
        <f t="shared" ca="1" si="129"/>
        <v/>
      </c>
      <c r="AT64" s="342" t="str">
        <f t="shared" ca="1" si="129"/>
        <v/>
      </c>
      <c r="AU64" s="342" t="str">
        <f t="shared" ca="1" si="129"/>
        <v/>
      </c>
      <c r="AV64" s="342" t="str">
        <f t="shared" ca="1" si="129"/>
        <v/>
      </c>
      <c r="AW64" s="342" t="str">
        <f t="shared" ca="1" si="126"/>
        <v/>
      </c>
      <c r="AX64" s="342" t="str">
        <f t="shared" ca="1" si="126"/>
        <v/>
      </c>
      <c r="AY64" s="645">
        <f t="shared" ca="1" si="97"/>
        <v>5974.4455187908998</v>
      </c>
      <c r="AZ64" s="543">
        <f t="shared" ca="1" si="98"/>
        <v>1636.88</v>
      </c>
      <c r="BA64" s="543">
        <f t="shared" ca="1" si="99"/>
        <v>10639.72</v>
      </c>
      <c r="BB64" s="14">
        <f t="shared" ca="1" si="100"/>
        <v>2504.3931037581801</v>
      </c>
      <c r="BC64" s="543">
        <f t="shared" ca="1" si="101"/>
        <v>9706.6651037581796</v>
      </c>
      <c r="BD64" s="543">
        <f t="shared" ca="1" si="102"/>
        <v>3470.0524150327196</v>
      </c>
      <c r="BE64" s="543">
        <f ca="1">BC64-AY64</f>
        <v>3732.2195849672798</v>
      </c>
      <c r="BF64" s="543"/>
      <c r="BG64" s="543"/>
      <c r="BH64" s="543"/>
      <c r="BI64" s="543"/>
      <c r="BJ64" s="543"/>
      <c r="BK64" s="543"/>
      <c r="BL64" s="543"/>
      <c r="BM64" s="543"/>
      <c r="BN64" s="543"/>
      <c r="BO64" s="953"/>
      <c r="BP64" s="342">
        <f t="shared" ca="1" si="103"/>
        <v>13312</v>
      </c>
      <c r="BQ64" s="342">
        <f ca="1">INDEX(INDIRECT("CAM_WTPCore_"&amp;$B64&amp;"_UnitValues"),MATCH("COMBINED-NHH",WTPCore_Group,0),MATCH("LOW",LMH,0))</f>
        <v>0</v>
      </c>
      <c r="BR64" s="342">
        <f ca="1">INDEX(INDIRECT("CAM_WTPCore_"&amp;$B64&amp;"_UnitValues"),MATCH("COMBINED-NHH",WTPCore_Group,0),MATCH("HIGH",LMH,0))</f>
        <v>26112</v>
      </c>
      <c r="BS64" s="342">
        <f ca="1">INDEX(INDIRECT("CAM_WTPCore_"&amp;$B64&amp;"_UnitValues"),3,MATCH("MEAN",LMH,0))</f>
        <v>17612.8</v>
      </c>
      <c r="BT64" s="343">
        <f ca="1">INDEX(CAM_WTPMaxdiff_WTP_NHH_Unitvalues,MATCH($B64,WTPMaxdiff_WTP_options,0))</f>
        <v>7792.7699141982121</v>
      </c>
      <c r="BU64" s="342">
        <f ca="1">INDEX(INDIRECT("CAM_WTPCore2_"&amp;$B64&amp;"_UnitValues"),2,MATCH("MEAN",LMH,0))</f>
        <v>35976.184774612797</v>
      </c>
      <c r="BV64" s="342">
        <f ca="1">INDEX(INDIRECT("CAM_WTPCore2_"&amp;$B64&amp;"_UnitValues"),2,MATCH("LOW",LMH,0))</f>
        <v>33900.915393235933</v>
      </c>
      <c r="BW64" s="342">
        <f ca="1">INDEX(INDIRECT("CAM_WTPCore2_"&amp;$B64&amp;"_UnitValues"),2,MATCH("HIGH",LMH,0))</f>
        <v>38051.454155989661</v>
      </c>
      <c r="BX64" s="342"/>
      <c r="BY64" s="342"/>
      <c r="BZ64" s="342"/>
      <c r="CA64" s="342"/>
      <c r="CB64" s="342"/>
      <c r="CC64" s="342" t="str">
        <f>IFERROR(INDEX(CAM_WRMP_Online_UnitValues,MATCH($A64,WRMP_Online_WTPAtts,0)),"")</f>
        <v/>
      </c>
      <c r="CD64" s="342" t="str">
        <f>IFERROR(INDEX(CAM_WRMP_Workshop_UnitValues,MATCH($A64,WRMP_Workshop_WTPAtts,0)),"")</f>
        <v/>
      </c>
      <c r="CE64" s="342"/>
      <c r="CF64" s="342"/>
      <c r="CG64" s="342"/>
      <c r="CH64" s="342" t="str">
        <f t="shared" ca="1" si="132"/>
        <v/>
      </c>
      <c r="CI64" s="342" t="str">
        <f t="shared" ca="1" si="132"/>
        <v/>
      </c>
      <c r="CJ64" s="342" t="str">
        <f t="shared" ca="1" si="132"/>
        <v/>
      </c>
      <c r="CK64" s="342" t="str">
        <f t="shared" ca="1" si="132"/>
        <v/>
      </c>
      <c r="CL64" s="342" t="str">
        <f t="shared" ca="1" si="132"/>
        <v/>
      </c>
      <c r="CM64" s="342" t="str">
        <f t="shared" ca="1" si="132"/>
        <v/>
      </c>
      <c r="CN64" s="342" t="str">
        <f t="shared" ca="1" si="132"/>
        <v/>
      </c>
      <c r="CO64" s="342" t="str">
        <f t="shared" ca="1" si="132"/>
        <v/>
      </c>
      <c r="CP64" s="342"/>
      <c r="CQ64" s="342" t="str">
        <f t="shared" ca="1" si="133"/>
        <v/>
      </c>
      <c r="CR64" s="342" t="str">
        <f t="shared" ca="1" si="133"/>
        <v/>
      </c>
      <c r="CS64" s="342" t="str">
        <f t="shared" ca="1" si="133"/>
        <v/>
      </c>
      <c r="CT64" s="342" t="str">
        <f t="shared" ca="1" si="133"/>
        <v/>
      </c>
      <c r="CU64" s="342" t="str">
        <f t="shared" ca="1" si="133"/>
        <v/>
      </c>
      <c r="CV64" s="342" t="str">
        <f t="shared" ca="1" si="133"/>
        <v/>
      </c>
      <c r="CW64" s="342" t="str">
        <f t="shared" ca="1" si="127"/>
        <v/>
      </c>
      <c r="CX64" s="342" t="str">
        <f t="shared" ca="1" si="127"/>
        <v/>
      </c>
      <c r="CY64" s="342" t="str">
        <f t="shared" ca="1" si="130"/>
        <v/>
      </c>
      <c r="CZ64" s="342" t="str">
        <f t="shared" ca="1" si="130"/>
        <v/>
      </c>
      <c r="DA64" s="342" t="str">
        <f t="shared" ca="1" si="130"/>
        <v/>
      </c>
      <c r="DB64" s="342"/>
      <c r="DC64" s="342" t="str">
        <f t="shared" ca="1" si="131"/>
        <v/>
      </c>
      <c r="DD64" s="342" t="str">
        <f t="shared" ca="1" si="131"/>
        <v/>
      </c>
      <c r="DE64" s="342" t="str">
        <f t="shared" ca="1" si="131"/>
        <v/>
      </c>
      <c r="DF64" s="342" t="str">
        <f t="shared" ca="1" si="131"/>
        <v/>
      </c>
      <c r="DG64" s="342" t="str">
        <f t="shared" ca="1" si="131"/>
        <v/>
      </c>
      <c r="DH64" s="342" t="str">
        <f t="shared" ca="1" si="131"/>
        <v/>
      </c>
      <c r="DI64" s="342" t="str">
        <f t="shared" ca="1" si="131"/>
        <v/>
      </c>
      <c r="DJ64" s="342" t="str">
        <f ca="1">IFERROR(INDEX(INDIRECT("PR19_Comp"&amp;DJ$47&amp;"_UnitValues_NHH_CAM"),MATCH($B64,INDIRECT("PR19_Comp"&amp;DJ$47&amp;"_WTPCore_Options"),0)),"")</f>
        <v/>
      </c>
      <c r="DK64" s="342"/>
      <c r="DL64" s="342"/>
      <c r="DM64" s="342"/>
      <c r="DN64" s="342"/>
      <c r="DO64" s="342"/>
      <c r="DP64" s="342"/>
      <c r="DQ64" s="342"/>
      <c r="DR64" s="342"/>
      <c r="DS64" s="342"/>
      <c r="DT64" s="342"/>
      <c r="DU64" s="342"/>
      <c r="DV64" s="342"/>
      <c r="DW64" s="342"/>
      <c r="DX64" s="342"/>
      <c r="DY64" s="342"/>
      <c r="DZ64" s="342"/>
      <c r="EA64" s="342"/>
      <c r="EB64" s="342"/>
      <c r="EC64" s="645">
        <f ca="1">SUMPRODUCT($BP$48:$CG$48,BP64:CG64)/SUMIF($BP64:$CG64,"&gt;0",$BP$48:$CG$48)</f>
        <v>11472.256638066072</v>
      </c>
      <c r="ED64" s="543">
        <f t="shared" ca="1" si="109"/>
        <v>0</v>
      </c>
      <c r="EE64" s="543">
        <f t="shared" ca="1" si="110"/>
        <v>38051.454155989661</v>
      </c>
      <c r="EF64" s="14">
        <f t="shared" ca="1" si="111"/>
        <v>2294.4513276132143</v>
      </c>
      <c r="EG64" s="543">
        <f t="shared" ca="1" si="112"/>
        <v>32735.614652404944</v>
      </c>
      <c r="EH64" s="543">
        <f ca="1">EC64-EF64</f>
        <v>9177.8053104528572</v>
      </c>
      <c r="EI64" s="543">
        <f ca="1">EG64-EC64</f>
        <v>21263.358014338872</v>
      </c>
      <c r="EL64" s="645">
        <f t="shared" ca="1" si="134"/>
        <v>7144.1925654451925</v>
      </c>
      <c r="EM64" s="798">
        <f t="shared" ca="1" si="134"/>
        <v>1288.6076595744682</v>
      </c>
      <c r="EN64" s="892">
        <f t="shared" ca="1" si="134"/>
        <v>16472.003862976522</v>
      </c>
      <c r="EO64" s="892">
        <f t="shared" ca="1" si="135"/>
        <v>2464.1260866644898</v>
      </c>
      <c r="EP64" s="892">
        <f t="shared" ca="1" si="135"/>
        <v>14123.637857598189</v>
      </c>
      <c r="EQ64" s="887">
        <f t="shared" ca="1" si="135"/>
        <v>4564.8044345056887</v>
      </c>
      <c r="ER64" s="795">
        <f t="shared" ca="1" si="135"/>
        <v>7094.7073364280095</v>
      </c>
      <c r="ES64" s="887"/>
      <c r="ET64" s="887"/>
      <c r="EU64" s="887"/>
      <c r="EV64" s="887"/>
    </row>
    <row r="65" spans="1:152" ht="15.75" thickBot="1" x14ac:dyDescent="0.3">
      <c r="A65" s="258" t="s">
        <v>111</v>
      </c>
      <c r="B65" s="9" t="s">
        <v>271</v>
      </c>
      <c r="C65" s="236" t="s">
        <v>398</v>
      </c>
      <c r="D65" s="342">
        <f t="shared" ca="1" si="94"/>
        <v>896.9205479452055</v>
      </c>
      <c r="E65" s="342">
        <f ca="1">INDEX(INDIRECT("SSW_WTPCore_DCE_"&amp;$B65&amp;"_UnitValues"),MATCH("COMBINED-NHH",WTPCore_Group,0),MATCH("LOW",LMH,0))</f>
        <v>896.9205479452055</v>
      </c>
      <c r="F65" s="342">
        <f ca="1">INDEX(INDIRECT("SSW_WTPCore_DCE_"&amp;$B65&amp;"_UnitValues"),MATCH("COMBINED-NHH",WTPCore_Group,0),MATCH("HIGH",LMH,0))</f>
        <v>1345.3808219178081</v>
      </c>
      <c r="G65" s="342"/>
      <c r="H65" s="343">
        <f ca="1">INDEX(SSW_WTPMaxdiff_WTP_NHH_Unitvalues,MATCH($B65,WTPMaxdiff_WTP_options,0))</f>
        <v>1870.3079808393054</v>
      </c>
      <c r="I65" s="342"/>
      <c r="J65" s="342"/>
      <c r="K65" s="342"/>
      <c r="L65" s="342"/>
      <c r="M65" s="342"/>
      <c r="N65" s="342"/>
      <c r="O65" s="342"/>
      <c r="P65" s="342" t="str">
        <f t="shared" si="71"/>
        <v/>
      </c>
      <c r="Q65" s="342" t="str">
        <f>IFERROR(INDEX(SSW_WRMP_Online_UnitValues,MATCH($A65,WRMP_Online_WTPAtts,0)),"")</f>
        <v/>
      </c>
      <c r="R65" s="342" t="str">
        <f>IFERROR(INDEX(SSW_WRMP_Workshop_UnitValues,MATCH($A65,WRMP_Workshop_WTPAtts,0)),"")</f>
        <v/>
      </c>
      <c r="S65" s="342"/>
      <c r="T65" s="342">
        <f t="shared" ca="1" si="116"/>
        <v>386.74510086994275</v>
      </c>
      <c r="U65" s="342"/>
      <c r="V65" s="342" t="str">
        <f t="shared" ca="1" si="118"/>
        <v/>
      </c>
      <c r="W65" s="342" t="str">
        <f t="shared" ca="1" si="118"/>
        <v/>
      </c>
      <c r="X65" s="342" t="str">
        <f t="shared" ca="1" si="118"/>
        <v/>
      </c>
      <c r="Y65" s="342" t="str">
        <f t="shared" ca="1" si="118"/>
        <v/>
      </c>
      <c r="Z65" s="342" t="str">
        <f t="shared" ca="1" si="118"/>
        <v/>
      </c>
      <c r="AA65" s="342" t="str">
        <f t="shared" ca="1" si="122"/>
        <v/>
      </c>
      <c r="AB65" s="342" t="str">
        <f t="shared" ca="1" si="119"/>
        <v/>
      </c>
      <c r="AC65" s="342" t="str">
        <f t="shared" ca="1" si="119"/>
        <v/>
      </c>
      <c r="AD65" s="342"/>
      <c r="AE65" s="342" t="str">
        <f t="shared" ca="1" si="123"/>
        <v/>
      </c>
      <c r="AF65" s="342" t="str">
        <f t="shared" ca="1" si="123"/>
        <v/>
      </c>
      <c r="AG65" s="342" t="str">
        <f t="shared" ca="1" si="123"/>
        <v/>
      </c>
      <c r="AH65" s="342" t="str">
        <f ca="1">IFERROR(INDEX(INDIRECT("PR14_Comp"&amp;AH$23&amp;"_NHH_UnitValues"),MATCH($B65,INDIRECT("PR14_Comp"&amp;AH$23&amp;"_WTPCore_Options"),0)),"")</f>
        <v/>
      </c>
      <c r="AI65" s="342" t="str">
        <f t="shared" ca="1" si="124"/>
        <v/>
      </c>
      <c r="AJ65" s="342" t="str">
        <f t="shared" ca="1" si="124"/>
        <v/>
      </c>
      <c r="AK65" s="342" t="str">
        <f t="shared" ca="1" si="125"/>
        <v/>
      </c>
      <c r="AL65" s="342" t="str">
        <f t="shared" ca="1" si="125"/>
        <v/>
      </c>
      <c r="AM65" s="342">
        <f t="shared" ca="1" si="128"/>
        <v>596.36586890151659</v>
      </c>
      <c r="AN65" s="342">
        <f t="shared" ca="1" si="128"/>
        <v>456.26186392008987</v>
      </c>
      <c r="AO65" s="342" t="str">
        <f t="shared" ca="1" si="128"/>
        <v/>
      </c>
      <c r="AP65" s="342"/>
      <c r="AQ65" s="342" t="str">
        <f t="shared" ca="1" si="129"/>
        <v/>
      </c>
      <c r="AR65" s="342" t="str">
        <f t="shared" ca="1" si="129"/>
        <v/>
      </c>
      <c r="AS65" s="342" t="str">
        <f t="shared" ca="1" si="129"/>
        <v/>
      </c>
      <c r="AT65" s="342">
        <f t="shared" ca="1" si="129"/>
        <v>107.6075697882218</v>
      </c>
      <c r="AU65" s="342" t="str">
        <f t="shared" ca="1" si="129"/>
        <v/>
      </c>
      <c r="AV65" s="342" t="str">
        <f t="shared" ca="1" si="129"/>
        <v/>
      </c>
      <c r="AW65" s="342" t="str">
        <f t="shared" ca="1" si="126"/>
        <v/>
      </c>
      <c r="AX65" s="342" t="str">
        <f t="shared" ca="1" si="126"/>
        <v/>
      </c>
      <c r="AY65" s="646">
        <f t="shared" ca="1" si="97"/>
        <v>1102.149036332768</v>
      </c>
      <c r="AZ65" s="543">
        <f t="shared" ca="1" si="98"/>
        <v>386.74510086994275</v>
      </c>
      <c r="BA65" s="543">
        <f t="shared" ca="1" si="99"/>
        <v>1870.3079808393054</v>
      </c>
      <c r="BB65" s="14">
        <f t="shared" ca="1" si="100"/>
        <v>529.82588796250775</v>
      </c>
      <c r="BC65" s="543">
        <f t="shared" ca="1" si="101"/>
        <v>1716.6761919379981</v>
      </c>
      <c r="BD65" s="543">
        <f t="shared" ca="1" si="102"/>
        <v>572.32314837026024</v>
      </c>
      <c r="BE65" s="543">
        <f ca="1">BC65-AY65</f>
        <v>614.52715560523006</v>
      </c>
      <c r="BF65" s="543"/>
      <c r="BG65" s="543"/>
      <c r="BH65" s="543"/>
      <c r="BI65" s="543"/>
      <c r="BJ65" s="543"/>
      <c r="BK65" s="543"/>
      <c r="BL65" s="543"/>
      <c r="BM65" s="543"/>
      <c r="BN65" s="543"/>
      <c r="BO65" s="953"/>
      <c r="BP65" s="342">
        <f t="shared" ca="1" si="103"/>
        <v>1683.2876712328768</v>
      </c>
      <c r="BQ65" s="342">
        <f ca="1">INDEX(INDIRECT("CAM_WTPCore_"&amp;$B65&amp;"_UnitValues"),MATCH("COMBINED-NHH",WTPCore_Group,0),MATCH("LOW",LMH,0))</f>
        <v>1262.4657534246576</v>
      </c>
      <c r="BR65" s="342">
        <f ca="1">INDEX(INDIRECT("CAM_WTPCore_"&amp;$B65&amp;"_UnitValues"),MATCH("COMBINED-NHH",WTPCore_Group,0),MATCH("HIGH",LMH,0))</f>
        <v>1893.6986301369866</v>
      </c>
      <c r="BS65" s="342"/>
      <c r="BT65" s="343">
        <f ca="1">INDEX(CAM_WTPMaxdiff_WTP_NHH_Unitvalues,MATCH($B65,WTPMaxdiff_WTP_options,0))</f>
        <v>2410.0861922210679</v>
      </c>
      <c r="BU65" s="342"/>
      <c r="BV65" s="342"/>
      <c r="BW65" s="342"/>
      <c r="BX65" s="342"/>
      <c r="BY65" s="342"/>
      <c r="BZ65" s="342"/>
      <c r="CA65" s="342"/>
      <c r="CB65" s="342"/>
      <c r="CC65" s="342" t="str">
        <f>IFERROR(INDEX(CAM_WRMP_Online_UnitValues,MATCH($A65,WRMP_Online_WTPAtts,0)),"")</f>
        <v/>
      </c>
      <c r="CD65" s="342" t="str">
        <f>IFERROR(INDEX(CAM_WRMP_Workshop_UnitValues,MATCH($A65,WRMP_Workshop_WTPAtts,0)),"")</f>
        <v/>
      </c>
      <c r="CE65" s="342"/>
      <c r="CF65" s="342">
        <f t="shared" ca="1" si="82"/>
        <v>1905.4540597725761</v>
      </c>
      <c r="CG65" s="342"/>
      <c r="CH65" s="342" t="str">
        <f t="shared" ca="1" si="132"/>
        <v/>
      </c>
      <c r="CI65" s="342" t="str">
        <f t="shared" ca="1" si="132"/>
        <v/>
      </c>
      <c r="CJ65" s="342" t="str">
        <f t="shared" ca="1" si="132"/>
        <v/>
      </c>
      <c r="CK65" s="342" t="str">
        <f t="shared" ca="1" si="132"/>
        <v/>
      </c>
      <c r="CL65" s="342" t="str">
        <f t="shared" ca="1" si="132"/>
        <v/>
      </c>
      <c r="CM65" s="342" t="str">
        <f t="shared" ca="1" si="132"/>
        <v/>
      </c>
      <c r="CN65" s="342" t="str">
        <f t="shared" ca="1" si="132"/>
        <v/>
      </c>
      <c r="CO65" s="342" t="str">
        <f t="shared" ca="1" si="132"/>
        <v/>
      </c>
      <c r="CP65" s="342"/>
      <c r="CQ65" s="342" t="str">
        <f t="shared" ca="1" si="133"/>
        <v/>
      </c>
      <c r="CR65" s="342" t="str">
        <f t="shared" ca="1" si="133"/>
        <v/>
      </c>
      <c r="CS65" s="342" t="str">
        <f t="shared" ca="1" si="133"/>
        <v/>
      </c>
      <c r="CT65" s="342" t="str">
        <f t="shared" ca="1" si="133"/>
        <v/>
      </c>
      <c r="CU65" s="342" t="str">
        <f t="shared" ca="1" si="133"/>
        <v/>
      </c>
      <c r="CV65" s="342" t="str">
        <f t="shared" ca="1" si="133"/>
        <v/>
      </c>
      <c r="CW65" s="342" t="str">
        <f t="shared" ca="1" si="127"/>
        <v/>
      </c>
      <c r="CX65" s="342" t="str">
        <f t="shared" ca="1" si="127"/>
        <v/>
      </c>
      <c r="CY65" s="342">
        <f t="shared" ca="1" si="130"/>
        <v>2542.646926821842</v>
      </c>
      <c r="CZ65" s="342">
        <f t="shared" ca="1" si="130"/>
        <v>2852.3999865506994</v>
      </c>
      <c r="DA65" s="342" t="str">
        <f t="shared" ca="1" si="130"/>
        <v/>
      </c>
      <c r="DB65" s="342"/>
      <c r="DC65" s="342" t="str">
        <f t="shared" ca="1" si="131"/>
        <v/>
      </c>
      <c r="DD65" s="342" t="str">
        <f t="shared" ca="1" si="131"/>
        <v/>
      </c>
      <c r="DE65" s="342" t="str">
        <f t="shared" ca="1" si="131"/>
        <v/>
      </c>
      <c r="DF65" s="342">
        <f t="shared" ca="1" si="131"/>
        <v>321.31526594518573</v>
      </c>
      <c r="DG65" s="342" t="str">
        <f t="shared" ca="1" si="131"/>
        <v/>
      </c>
      <c r="DH65" s="342" t="str">
        <f t="shared" ca="1" si="131"/>
        <v/>
      </c>
      <c r="DI65" s="342" t="str">
        <f t="shared" ca="1" si="131"/>
        <v/>
      </c>
      <c r="DJ65" s="342" t="str">
        <f ca="1">IFERROR(INDEX(INDIRECT("PR19_Comp"&amp;DJ$47&amp;"_UnitValues_NHH_CAM"),MATCH($B65,INDIRECT("PR19_Comp"&amp;DJ$47&amp;"_WTPCore_Options"),0)),"")</f>
        <v/>
      </c>
      <c r="DK65" s="342"/>
      <c r="DL65" s="342"/>
      <c r="DM65" s="342"/>
      <c r="DN65" s="342"/>
      <c r="DO65" s="342"/>
      <c r="DP65" s="342"/>
      <c r="DQ65" s="342"/>
      <c r="DR65" s="342"/>
      <c r="DS65" s="342"/>
      <c r="DT65" s="342"/>
      <c r="DU65" s="342"/>
      <c r="DV65" s="342"/>
      <c r="DW65" s="342"/>
      <c r="DX65" s="342"/>
      <c r="DY65" s="342"/>
      <c r="DZ65" s="342"/>
      <c r="EA65" s="342"/>
      <c r="EB65" s="342"/>
      <c r="EC65" s="646">
        <f ca="1">SUMPRODUCT($BP$48:$CG$48,BP65:CG65)/SUMIF($BP65:$CG65,"&gt;0",$BP$48:$CG$48)</f>
        <v>1922.6824470208885</v>
      </c>
      <c r="ED65" s="543">
        <f t="shared" ca="1" si="109"/>
        <v>1262.4657534246576</v>
      </c>
      <c r="EE65" s="543">
        <f t="shared" ca="1" si="110"/>
        <v>2410.0861922210679</v>
      </c>
      <c r="EF65" s="14">
        <f t="shared" ca="1" si="111"/>
        <v>1394.5090921439037</v>
      </c>
      <c r="EG65" s="543">
        <f t="shared" ca="1" si="112"/>
        <v>2312.6054431810321</v>
      </c>
      <c r="EH65" s="543">
        <f ca="1">EC65-EF65</f>
        <v>528.17335487698483</v>
      </c>
      <c r="EI65" s="543">
        <f ca="1">EG65-EC65</f>
        <v>389.92299616014361</v>
      </c>
      <c r="EL65" s="646">
        <f t="shared" ca="1" si="134"/>
        <v>1276.7306130749212</v>
      </c>
      <c r="EM65" s="799">
        <f t="shared" ca="1" si="134"/>
        <v>573.06864396669062</v>
      </c>
      <c r="EN65" s="894">
        <f t="shared" ca="1" si="134"/>
        <v>1985.1544087928717</v>
      </c>
      <c r="EO65" s="894">
        <f t="shared" ca="1" si="135"/>
        <v>695.67288612907123</v>
      </c>
      <c r="EP65" s="894">
        <f t="shared" ca="1" si="135"/>
        <v>1830.9759458367353</v>
      </c>
      <c r="EQ65" s="891">
        <f t="shared" ca="1" si="135"/>
        <v>563.85517919365827</v>
      </c>
      <c r="ER65" s="796">
        <f t="shared" ca="1" si="135"/>
        <v>571.44788051400565</v>
      </c>
      <c r="ES65" s="887"/>
      <c r="ET65" s="887"/>
      <c r="EU65" s="887"/>
      <c r="EV65" s="887"/>
    </row>
    <row r="66" spans="1:152" x14ac:dyDescent="0.25">
      <c r="A66" s="60"/>
      <c r="B66" s="60"/>
      <c r="C66" s="60"/>
      <c r="D66" s="60"/>
      <c r="E66" s="60"/>
      <c r="F66" s="60"/>
      <c r="G66" s="60"/>
      <c r="H66" s="339"/>
      <c r="I66" s="339"/>
      <c r="J66" s="339"/>
      <c r="K66" s="339"/>
      <c r="L66" s="339"/>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P66" s="60"/>
      <c r="BQ66" s="60"/>
      <c r="BR66" s="60"/>
      <c r="BS66" s="60"/>
      <c r="BT66" s="60"/>
      <c r="BU66" s="339"/>
      <c r="BV66" s="339"/>
      <c r="BW66" s="339"/>
      <c r="BX66" s="339"/>
      <c r="BY66" s="60"/>
      <c r="BZ66" s="60"/>
      <c r="CA66" s="60"/>
      <c r="CB66" s="60"/>
      <c r="CC66" s="60"/>
      <c r="CD66" s="60"/>
      <c r="CE66" s="60"/>
      <c r="CF66" s="60"/>
      <c r="CG66" s="60"/>
      <c r="CH66" s="60"/>
      <c r="CI66" s="60"/>
      <c r="CJ66" s="60"/>
      <c r="CK66" s="60"/>
      <c r="CL66" s="60"/>
      <c r="CM66" s="60"/>
      <c r="CN66" s="60"/>
      <c r="CO66" s="60"/>
      <c r="CP66" s="60"/>
      <c r="CQ66" s="60"/>
      <c r="CR66" s="60"/>
      <c r="CS66" s="60"/>
      <c r="CT66" s="60"/>
      <c r="CU66" s="60"/>
      <c r="CV66" s="60"/>
      <c r="CW66" s="60"/>
      <c r="CX66" s="60"/>
      <c r="CY66" s="60"/>
      <c r="CZ66" s="60"/>
      <c r="DA66" s="60"/>
      <c r="DB66" s="60"/>
      <c r="DC66" s="60"/>
      <c r="DD66" s="60"/>
      <c r="DE66" s="60"/>
      <c r="DF66" s="60"/>
      <c r="DG66" s="60"/>
      <c r="DH66" s="60"/>
      <c r="DI66" s="60"/>
      <c r="DJ66" s="60"/>
      <c r="DK66" s="60"/>
      <c r="DL66" s="60"/>
      <c r="DM66" s="60"/>
      <c r="DN66" s="60"/>
      <c r="DO66" s="60"/>
      <c r="DP66" s="60"/>
      <c r="DQ66" s="60"/>
      <c r="DR66" s="60"/>
      <c r="DS66" s="60"/>
      <c r="DT66" s="60"/>
      <c r="DU66" s="60"/>
      <c r="DV66" s="60"/>
      <c r="DW66" s="60"/>
      <c r="DX66" s="60"/>
      <c r="DY66" s="60"/>
      <c r="DZ66" s="60"/>
      <c r="EA66" s="60"/>
      <c r="EB66" s="60"/>
      <c r="EC66" s="60"/>
      <c r="ED66" s="60"/>
      <c r="EE66" s="60"/>
      <c r="EF66" s="60"/>
      <c r="EG66" s="60"/>
      <c r="EH66" s="60"/>
      <c r="EI66" s="60"/>
      <c r="EL66" s="778"/>
      <c r="EM66" s="60"/>
      <c r="EN66" s="60"/>
      <c r="EO66" s="60"/>
      <c r="EP66" s="60"/>
      <c r="EQ66" s="60"/>
    </row>
    <row r="67" spans="1:152" x14ac:dyDescent="0.25">
      <c r="C67" s="156"/>
      <c r="D67" s="162" t="s">
        <v>512</v>
      </c>
      <c r="E67" s="162"/>
      <c r="F67" s="162"/>
      <c r="G67" s="162"/>
      <c r="U67" s="9"/>
      <c r="AA67" s="588" t="s">
        <v>501</v>
      </c>
      <c r="AY67" s="64"/>
      <c r="AZ67" s="64"/>
      <c r="BA67" s="64"/>
      <c r="BB67" s="64"/>
      <c r="BC67" s="64"/>
      <c r="BD67" s="64"/>
      <c r="BP67" s="9"/>
      <c r="BQ67" s="9"/>
      <c r="BR67" s="9"/>
      <c r="BS67" s="9"/>
      <c r="BT67" s="9"/>
      <c r="BU67" s="9"/>
      <c r="BV67" s="9"/>
      <c r="BW67" s="9"/>
      <c r="BX67" s="9"/>
      <c r="BY67" s="9"/>
      <c r="BZ67" s="9"/>
      <c r="CA67" s="9"/>
      <c r="CB67" s="162"/>
      <c r="CC67" s="9"/>
      <c r="CH67" s="9"/>
      <c r="CI67" s="9"/>
      <c r="CJ67" s="9"/>
      <c r="CK67" s="9"/>
      <c r="CL67" s="9"/>
      <c r="CM67" s="588" t="s">
        <v>501</v>
      </c>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L67" s="779"/>
    </row>
    <row r="68" spans="1:152" x14ac:dyDescent="0.25">
      <c r="C68" s="156"/>
      <c r="U68" s="9"/>
      <c r="AA68" s="575"/>
      <c r="AY68" s="64"/>
      <c r="AZ68" s="64"/>
      <c r="BA68" s="64"/>
      <c r="BB68" s="64"/>
      <c r="BC68" s="64"/>
      <c r="BD68" s="64"/>
      <c r="BP68" s="9"/>
      <c r="BQ68" s="9"/>
      <c r="BR68" s="9"/>
      <c r="BS68" s="9"/>
      <c r="BT68" s="9"/>
      <c r="BU68" s="9"/>
      <c r="BV68" s="9"/>
      <c r="BW68" s="9"/>
      <c r="BX68" s="9"/>
      <c r="BY68" s="9"/>
      <c r="BZ68" s="9"/>
      <c r="CA68" s="9"/>
      <c r="CB68" s="162"/>
      <c r="CC68" s="9"/>
      <c r="CH68" s="9"/>
      <c r="CI68" s="9"/>
      <c r="CJ68" s="9"/>
      <c r="CK68" s="9"/>
      <c r="CL68" s="9"/>
      <c r="CM68" s="575"/>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L68" s="779"/>
    </row>
    <row r="69" spans="1:152" ht="19.5" x14ac:dyDescent="0.3">
      <c r="A69" s="112" t="s">
        <v>509</v>
      </c>
      <c r="B69" s="180"/>
      <c r="C69" s="129"/>
      <c r="D69" s="129"/>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253"/>
      <c r="AZ69" s="253"/>
      <c r="BA69" s="253"/>
      <c r="BB69" s="253"/>
      <c r="BC69" s="253"/>
      <c r="BD69" s="253"/>
      <c r="BE69" s="253"/>
      <c r="BF69" s="253"/>
      <c r="BG69" s="253"/>
      <c r="BH69" s="253"/>
      <c r="BI69" s="253"/>
      <c r="BJ69" s="253"/>
      <c r="BK69" s="253"/>
      <c r="BL69" s="253"/>
      <c r="BM69" s="253"/>
      <c r="BN69" s="253"/>
      <c r="BO69" s="950"/>
      <c r="BP69" s="129"/>
      <c r="BQ69" s="129"/>
      <c r="BR69" s="129"/>
      <c r="BS69" s="129"/>
      <c r="BT69" s="129"/>
      <c r="BU69" s="129"/>
      <c r="BV69" s="129"/>
      <c r="BW69" s="129"/>
      <c r="BX69" s="129"/>
      <c r="BY69" s="129"/>
      <c r="BZ69" s="129"/>
      <c r="CA69" s="129"/>
      <c r="CB69" s="129"/>
      <c r="CC69" s="129"/>
      <c r="CD69" s="273"/>
      <c r="CE69" s="273"/>
      <c r="CF69" s="273"/>
      <c r="CG69" s="273"/>
      <c r="CH69" s="129"/>
      <c r="CI69" s="129"/>
      <c r="CJ69" s="129"/>
      <c r="CK69" s="129"/>
      <c r="CL69" s="129"/>
      <c r="CM69" s="129"/>
      <c r="CN69" s="129"/>
      <c r="CO69" s="129"/>
      <c r="CP69" s="129"/>
      <c r="CQ69" s="129"/>
      <c r="CR69" s="129"/>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60"/>
      <c r="ED69" s="253"/>
      <c r="EE69" s="253"/>
      <c r="EF69" s="253"/>
      <c r="EG69" s="253"/>
      <c r="EH69" s="253"/>
      <c r="EI69" s="253"/>
      <c r="EL69" s="778"/>
      <c r="EM69" s="60"/>
      <c r="EN69" s="60"/>
      <c r="EO69" s="60"/>
      <c r="EP69" s="60"/>
      <c r="EQ69" s="60"/>
      <c r="ER69" s="60"/>
      <c r="ES69" s="60"/>
      <c r="ET69" s="60"/>
      <c r="EU69" s="60"/>
      <c r="EV69" s="60"/>
    </row>
    <row r="70" spans="1:152" ht="20.25" thickBot="1" x14ac:dyDescent="0.35">
      <c r="A70" s="112"/>
      <c r="B70" s="180"/>
      <c r="C70" s="180"/>
      <c r="D70" s="180"/>
      <c r="E70" s="180"/>
      <c r="F70" s="180"/>
      <c r="G70" s="180"/>
      <c r="H70" s="180"/>
      <c r="I70" s="180"/>
      <c r="J70" s="180"/>
      <c r="K70" s="180"/>
      <c r="L70" s="180"/>
      <c r="M70" s="180"/>
      <c r="N70" s="180"/>
      <c r="O70" s="180"/>
      <c r="P70" s="338"/>
      <c r="Q70" s="180"/>
      <c r="R70" s="180"/>
      <c r="S70" s="180"/>
      <c r="T70" s="180"/>
      <c r="U70" s="129"/>
      <c r="V70" s="944" t="s">
        <v>1048</v>
      </c>
      <c r="W70" s="944"/>
      <c r="X70" s="944"/>
      <c r="Y70" s="944"/>
      <c r="Z70" s="944"/>
      <c r="AA70" s="944"/>
      <c r="AB70" s="944"/>
      <c r="AC70" s="944"/>
      <c r="AD70" s="944"/>
      <c r="AE70" s="944"/>
      <c r="AF70" s="944"/>
      <c r="AG70" s="944"/>
      <c r="AH70" s="944"/>
      <c r="AI70" s="944"/>
      <c r="AJ70" s="947"/>
      <c r="AK70" s="947" t="s">
        <v>1048</v>
      </c>
      <c r="AL70" s="947"/>
      <c r="AM70" s="947"/>
      <c r="AN70" s="947"/>
      <c r="AO70" s="947"/>
      <c r="AP70" s="947"/>
      <c r="AQ70" s="947"/>
      <c r="AR70" s="947"/>
      <c r="AS70" s="947"/>
      <c r="AT70" s="947"/>
      <c r="AU70" s="947"/>
      <c r="AV70" s="947"/>
      <c r="AW70" s="947"/>
      <c r="AX70" s="947"/>
      <c r="AY70" s="180"/>
      <c r="AZ70" s="180"/>
      <c r="BA70" s="180"/>
      <c r="BB70" s="180"/>
      <c r="BC70" s="180"/>
      <c r="BD70" s="180"/>
      <c r="BE70" s="180"/>
      <c r="BF70" s="180"/>
      <c r="BG70" s="180"/>
      <c r="BH70" s="180"/>
      <c r="BI70" s="180"/>
      <c r="BJ70" s="180"/>
      <c r="BK70" s="180"/>
      <c r="BL70" s="180"/>
      <c r="BM70" s="180"/>
      <c r="BN70" s="180"/>
      <c r="BO70" s="951"/>
      <c r="BP70" s="180"/>
      <c r="BQ70" s="180"/>
      <c r="BR70" s="180"/>
      <c r="BS70" s="180"/>
      <c r="BT70" s="180"/>
      <c r="BU70" s="180"/>
      <c r="BV70" s="180"/>
      <c r="BW70" s="180"/>
      <c r="BX70" s="180"/>
      <c r="BY70" s="180"/>
      <c r="BZ70" s="180"/>
      <c r="CA70" s="180"/>
      <c r="CB70" s="180"/>
      <c r="CC70" s="180"/>
      <c r="CD70" s="180"/>
      <c r="CE70" s="180"/>
      <c r="CF70" s="180"/>
      <c r="CG70" s="180"/>
      <c r="CH70" s="944" t="s">
        <v>1050</v>
      </c>
      <c r="CI70" s="944"/>
      <c r="CJ70" s="944"/>
      <c r="CK70" s="944"/>
      <c r="CL70" s="944"/>
      <c r="CM70" s="944"/>
      <c r="CN70" s="944"/>
      <c r="CO70" s="944"/>
      <c r="CP70" s="944"/>
      <c r="CQ70" s="944"/>
      <c r="CR70" s="944"/>
      <c r="CS70" s="944"/>
      <c r="CT70" s="944"/>
      <c r="CU70" s="944"/>
      <c r="CV70" s="944"/>
      <c r="CW70" s="944" t="s">
        <v>1048</v>
      </c>
      <c r="CX70" s="944"/>
      <c r="CY70" s="944"/>
      <c r="CZ70" s="944"/>
      <c r="DA70" s="944"/>
      <c r="DB70" s="944"/>
      <c r="DC70" s="944"/>
      <c r="DD70" s="944"/>
      <c r="DE70" s="944"/>
      <c r="DF70" s="944"/>
      <c r="DG70" s="944"/>
      <c r="DH70" s="944"/>
      <c r="DI70" s="944"/>
      <c r="DJ70" s="944"/>
      <c r="DK70" s="944"/>
      <c r="DL70" s="944"/>
      <c r="DM70" s="944"/>
      <c r="DN70" s="944"/>
      <c r="DO70" s="944"/>
      <c r="DP70" s="944"/>
      <c r="DQ70" s="944"/>
      <c r="DR70" s="944"/>
      <c r="DS70" s="944"/>
      <c r="DT70" s="944"/>
      <c r="DU70" s="944"/>
      <c r="DV70" s="944"/>
      <c r="DW70" s="944"/>
      <c r="DX70" s="944"/>
      <c r="DY70" s="944"/>
      <c r="DZ70" s="944"/>
      <c r="EA70" s="944"/>
      <c r="EB70" s="944"/>
      <c r="EC70" s="60"/>
      <c r="ED70" s="180"/>
      <c r="EE70" s="180"/>
      <c r="EF70" s="180"/>
      <c r="EG70" s="180"/>
      <c r="EH70" s="180"/>
      <c r="EI70" s="180"/>
      <c r="EL70" s="778"/>
      <c r="EM70" s="60"/>
      <c r="EN70" s="60"/>
      <c r="EO70" s="60"/>
      <c r="EP70" s="60"/>
      <c r="EQ70" s="60"/>
      <c r="ER70" s="60"/>
      <c r="ES70" s="60"/>
      <c r="ET70" s="60"/>
      <c r="EU70" s="60"/>
      <c r="EV70" s="60"/>
    </row>
    <row r="71" spans="1:152" s="349" customFormat="1" ht="47.25" customHeight="1" x14ac:dyDescent="0.25">
      <c r="A71" s="66"/>
      <c r="B71" s="66"/>
      <c r="C71" s="347"/>
      <c r="D71" s="347" t="s">
        <v>307</v>
      </c>
      <c r="E71" s="788" t="s">
        <v>976</v>
      </c>
      <c r="F71" s="788" t="s">
        <v>977</v>
      </c>
      <c r="G71" s="788" t="s">
        <v>1047</v>
      </c>
      <c r="H71" s="788" t="s">
        <v>1044</v>
      </c>
      <c r="I71" s="788" t="s">
        <v>972</v>
      </c>
      <c r="J71" s="788" t="s">
        <v>978</v>
      </c>
      <c r="K71" s="788" t="s">
        <v>979</v>
      </c>
      <c r="L71" s="784" t="s">
        <v>984</v>
      </c>
      <c r="M71" s="347" t="s">
        <v>446</v>
      </c>
      <c r="N71" s="347" t="s">
        <v>445</v>
      </c>
      <c r="O71" s="347" t="s">
        <v>447</v>
      </c>
      <c r="P71" s="347" t="s">
        <v>448</v>
      </c>
      <c r="Q71" s="348" t="s">
        <v>243</v>
      </c>
      <c r="R71" s="348" t="s">
        <v>244</v>
      </c>
      <c r="S71" s="348" t="s">
        <v>877</v>
      </c>
      <c r="T71" s="348" t="s">
        <v>876</v>
      </c>
      <c r="U71" s="347" t="s">
        <v>964</v>
      </c>
      <c r="V71" s="941" t="s">
        <v>172</v>
      </c>
      <c r="W71" s="941" t="s">
        <v>178</v>
      </c>
      <c r="X71" s="941" t="s">
        <v>173</v>
      </c>
      <c r="Y71" s="941" t="s">
        <v>175</v>
      </c>
      <c r="Z71" s="941" t="s">
        <v>164</v>
      </c>
      <c r="AA71" s="942" t="s">
        <v>166</v>
      </c>
      <c r="AB71" s="941" t="s">
        <v>167</v>
      </c>
      <c r="AC71" s="941" t="s">
        <v>170</v>
      </c>
      <c r="AD71" s="941" t="s">
        <v>179</v>
      </c>
      <c r="AE71" s="941" t="s">
        <v>174</v>
      </c>
      <c r="AF71" s="941" t="s">
        <v>171</v>
      </c>
      <c r="AG71" s="941" t="s">
        <v>168</v>
      </c>
      <c r="AH71" s="941" t="s">
        <v>165</v>
      </c>
      <c r="AI71" s="941" t="s">
        <v>40</v>
      </c>
      <c r="AJ71" s="941" t="s">
        <v>169</v>
      </c>
      <c r="AK71" s="941" t="s">
        <v>172</v>
      </c>
      <c r="AL71" s="941" t="s">
        <v>178</v>
      </c>
      <c r="AM71" s="941" t="s">
        <v>173</v>
      </c>
      <c r="AN71" s="941" t="s">
        <v>175</v>
      </c>
      <c r="AO71" s="941" t="s">
        <v>164</v>
      </c>
      <c r="AP71" s="941" t="s">
        <v>166</v>
      </c>
      <c r="AQ71" s="941" t="s">
        <v>167</v>
      </c>
      <c r="AR71" s="941" t="s">
        <v>179</v>
      </c>
      <c r="AS71" s="941" t="s">
        <v>174</v>
      </c>
      <c r="AT71" s="941" t="s">
        <v>168</v>
      </c>
      <c r="AU71" s="941" t="s">
        <v>165</v>
      </c>
      <c r="AV71" s="941" t="s">
        <v>602</v>
      </c>
      <c r="AW71" s="941" t="s">
        <v>556</v>
      </c>
      <c r="AX71" s="941" t="s">
        <v>516</v>
      </c>
      <c r="AY71" s="540" t="s">
        <v>334</v>
      </c>
      <c r="AZ71" s="316" t="s">
        <v>436</v>
      </c>
      <c r="BA71" s="316" t="s">
        <v>437</v>
      </c>
      <c r="BB71" s="316" t="s">
        <v>981</v>
      </c>
      <c r="BC71" s="316" t="s">
        <v>982</v>
      </c>
      <c r="BD71" s="316" t="s">
        <v>438</v>
      </c>
      <c r="BE71" s="316" t="s">
        <v>439</v>
      </c>
      <c r="BF71" s="316"/>
      <c r="BG71" s="316"/>
      <c r="BH71" s="316"/>
      <c r="BI71" s="316"/>
      <c r="BJ71" s="316"/>
      <c r="BK71" s="316"/>
      <c r="BL71" s="316"/>
      <c r="BM71" s="316"/>
      <c r="BN71" s="316"/>
      <c r="BO71" s="952"/>
      <c r="BP71" s="347" t="s">
        <v>307</v>
      </c>
      <c r="BQ71" s="788" t="s">
        <v>976</v>
      </c>
      <c r="BR71" s="347" t="s">
        <v>977</v>
      </c>
      <c r="BS71" s="788" t="s">
        <v>1047</v>
      </c>
      <c r="BT71" s="784" t="s">
        <v>1044</v>
      </c>
      <c r="BU71" s="347" t="s">
        <v>972</v>
      </c>
      <c r="BV71" s="347" t="s">
        <v>978</v>
      </c>
      <c r="BW71" s="347" t="s">
        <v>979</v>
      </c>
      <c r="BX71" s="784" t="s">
        <v>984</v>
      </c>
      <c r="BY71" s="347" t="s">
        <v>446</v>
      </c>
      <c r="BZ71" s="347" t="s">
        <v>445</v>
      </c>
      <c r="CA71" s="347" t="s">
        <v>447</v>
      </c>
      <c r="CB71" s="539" t="s">
        <v>448</v>
      </c>
      <c r="CC71" s="348" t="s">
        <v>243</v>
      </c>
      <c r="CD71" s="787" t="s">
        <v>244</v>
      </c>
      <c r="CE71" s="348" t="s">
        <v>877</v>
      </c>
      <c r="CF71" s="348" t="s">
        <v>876</v>
      </c>
      <c r="CG71" s="347" t="s">
        <v>964</v>
      </c>
      <c r="CH71" s="941" t="s">
        <v>172</v>
      </c>
      <c r="CI71" s="941" t="s">
        <v>178</v>
      </c>
      <c r="CJ71" s="941" t="s">
        <v>173</v>
      </c>
      <c r="CK71" s="941" t="s">
        <v>175</v>
      </c>
      <c r="CL71" s="941" t="s">
        <v>164</v>
      </c>
      <c r="CM71" s="942" t="s">
        <v>166</v>
      </c>
      <c r="CN71" s="941" t="s">
        <v>167</v>
      </c>
      <c r="CO71" s="941" t="s">
        <v>170</v>
      </c>
      <c r="CP71" s="941" t="s">
        <v>179</v>
      </c>
      <c r="CQ71" s="941" t="s">
        <v>174</v>
      </c>
      <c r="CR71" s="941" t="s">
        <v>171</v>
      </c>
      <c r="CS71" s="941" t="s">
        <v>168</v>
      </c>
      <c r="CT71" s="941" t="s">
        <v>165</v>
      </c>
      <c r="CU71" s="941" t="s">
        <v>40</v>
      </c>
      <c r="CV71" s="941" t="s">
        <v>169</v>
      </c>
      <c r="CW71" s="941" t="s">
        <v>172</v>
      </c>
      <c r="CX71" s="941" t="s">
        <v>178</v>
      </c>
      <c r="CY71" s="941" t="s">
        <v>173</v>
      </c>
      <c r="CZ71" s="941" t="s">
        <v>175</v>
      </c>
      <c r="DA71" s="941" t="s">
        <v>164</v>
      </c>
      <c r="DB71" s="941" t="s">
        <v>166</v>
      </c>
      <c r="DC71" s="941" t="s">
        <v>167</v>
      </c>
      <c r="DD71" s="941" t="s">
        <v>179</v>
      </c>
      <c r="DE71" s="941" t="s">
        <v>174</v>
      </c>
      <c r="DF71" s="941" t="s">
        <v>168</v>
      </c>
      <c r="DG71" s="941" t="s">
        <v>165</v>
      </c>
      <c r="DH71" s="941" t="s">
        <v>602</v>
      </c>
      <c r="DI71" s="941" t="s">
        <v>556</v>
      </c>
      <c r="DJ71" s="941" t="s">
        <v>516</v>
      </c>
      <c r="DK71" s="941"/>
      <c r="DL71" s="941"/>
      <c r="DM71" s="941"/>
      <c r="DN71" s="941"/>
      <c r="DO71" s="941"/>
      <c r="DP71" s="941"/>
      <c r="DQ71" s="941"/>
      <c r="DR71" s="941"/>
      <c r="DS71" s="941"/>
      <c r="DT71" s="941"/>
      <c r="DU71" s="941"/>
      <c r="DV71" s="941"/>
      <c r="DW71" s="941"/>
      <c r="DX71" s="941"/>
      <c r="DY71" s="941"/>
      <c r="DZ71" s="941"/>
      <c r="EA71" s="941"/>
      <c r="EB71" s="941"/>
      <c r="EC71" s="540" t="s">
        <v>334</v>
      </c>
      <c r="ED71" s="316" t="s">
        <v>436</v>
      </c>
      <c r="EE71" s="316" t="s">
        <v>437</v>
      </c>
      <c r="EF71" s="316" t="s">
        <v>981</v>
      </c>
      <c r="EG71" s="316" t="s">
        <v>982</v>
      </c>
      <c r="EH71" s="316" t="s">
        <v>438</v>
      </c>
      <c r="EI71" s="316" t="s">
        <v>439</v>
      </c>
      <c r="EJ71" s="958"/>
      <c r="EL71" s="540" t="s">
        <v>334</v>
      </c>
      <c r="EM71" s="797" t="s">
        <v>1016</v>
      </c>
      <c r="EN71" s="889" t="s">
        <v>1017</v>
      </c>
      <c r="EO71" s="889" t="s">
        <v>1018</v>
      </c>
      <c r="EP71" s="889" t="s">
        <v>1019</v>
      </c>
      <c r="EQ71" s="890" t="s">
        <v>1009</v>
      </c>
      <c r="ER71" s="800" t="s">
        <v>1010</v>
      </c>
      <c r="ES71" s="388"/>
      <c r="ET71" s="388"/>
      <c r="EU71" s="388"/>
      <c r="EV71" s="388"/>
    </row>
    <row r="72" spans="1:152" x14ac:dyDescent="0.25">
      <c r="A72" s="66"/>
      <c r="B72" s="66"/>
      <c r="C72" s="263" t="s">
        <v>247</v>
      </c>
      <c r="D72" s="345"/>
      <c r="E72" s="345"/>
      <c r="F72" s="345"/>
      <c r="G72" s="345"/>
      <c r="H72" s="345"/>
      <c r="I72" s="345"/>
      <c r="J72" s="345"/>
      <c r="K72" s="345"/>
      <c r="L72" s="345"/>
      <c r="M72" s="345"/>
      <c r="N72" s="345"/>
      <c r="O72" s="345"/>
      <c r="P72" s="345"/>
      <c r="Q72" s="345"/>
      <c r="R72" s="345"/>
      <c r="S72" s="345"/>
      <c r="T72" s="345"/>
      <c r="U72" s="345"/>
      <c r="V72" s="346"/>
      <c r="W72" s="346"/>
      <c r="X72" s="346"/>
      <c r="Y72" s="346"/>
      <c r="Z72" s="346"/>
      <c r="AA72" s="346"/>
      <c r="AB72" s="346"/>
      <c r="AC72" s="346"/>
      <c r="AD72" s="346"/>
      <c r="AE72" s="346"/>
      <c r="AF72" s="346"/>
      <c r="AG72" s="346"/>
      <c r="AH72" s="346"/>
      <c r="AI72" s="346"/>
      <c r="AJ72" s="346"/>
      <c r="AK72" s="346"/>
      <c r="AL72" s="346"/>
      <c r="AM72" s="346"/>
      <c r="AN72" s="346"/>
      <c r="AO72" s="346"/>
      <c r="AP72" s="346"/>
      <c r="AQ72" s="346"/>
      <c r="AR72" s="346"/>
      <c r="AS72" s="346"/>
      <c r="AT72" s="346"/>
      <c r="AU72" s="346"/>
      <c r="AV72" s="346"/>
      <c r="AW72" s="346"/>
      <c r="AX72" s="346"/>
      <c r="AY72" s="572"/>
      <c r="AZ72" s="64"/>
      <c r="BA72" s="64"/>
      <c r="BB72" s="64"/>
      <c r="BC72" s="64"/>
      <c r="BD72" s="64"/>
      <c r="BP72" s="345"/>
      <c r="BQ72" s="345"/>
      <c r="BR72" s="345"/>
      <c r="BS72" s="345"/>
      <c r="BT72" s="345"/>
      <c r="BU72" s="345"/>
      <c r="BV72" s="345"/>
      <c r="BW72" s="345"/>
      <c r="BX72" s="345"/>
      <c r="BY72" s="345"/>
      <c r="BZ72" s="345"/>
      <c r="CA72" s="345"/>
      <c r="CB72" s="345"/>
      <c r="CC72" s="345"/>
      <c r="CD72" s="345"/>
      <c r="CE72" s="345"/>
      <c r="CF72" s="345"/>
      <c r="CG72" s="345"/>
      <c r="CH72" s="345"/>
      <c r="CI72" s="345"/>
      <c r="CJ72" s="345"/>
      <c r="CK72" s="345"/>
      <c r="CL72" s="345"/>
      <c r="CM72" s="345"/>
      <c r="CN72" s="345"/>
      <c r="CO72" s="345"/>
      <c r="CP72" s="345"/>
      <c r="CQ72" s="345"/>
      <c r="CR72" s="345"/>
      <c r="CS72" s="345"/>
      <c r="CT72" s="345"/>
      <c r="CU72" s="345"/>
      <c r="CV72" s="345"/>
      <c r="CW72" s="345"/>
      <c r="CX72" s="345"/>
      <c r="CY72" s="345"/>
      <c r="CZ72" s="345"/>
      <c r="DA72" s="345"/>
      <c r="DB72" s="345"/>
      <c r="DC72" s="345"/>
      <c r="DD72" s="345"/>
      <c r="DE72" s="345"/>
      <c r="DF72" s="345"/>
      <c r="DG72" s="345"/>
      <c r="DH72" s="345"/>
      <c r="DI72" s="345"/>
      <c r="DJ72" s="345"/>
      <c r="DK72" s="345"/>
      <c r="DL72" s="345"/>
      <c r="DM72" s="345"/>
      <c r="DN72" s="345"/>
      <c r="DO72" s="345"/>
      <c r="DP72" s="345"/>
      <c r="DQ72" s="345"/>
      <c r="DR72" s="345"/>
      <c r="DS72" s="345"/>
      <c r="DT72" s="345"/>
      <c r="DU72" s="345"/>
      <c r="DV72" s="345"/>
      <c r="DW72" s="345"/>
      <c r="DX72" s="345"/>
      <c r="DY72" s="345"/>
      <c r="DZ72" s="345"/>
      <c r="EA72" s="345"/>
      <c r="EB72" s="345"/>
      <c r="EC72" s="541"/>
      <c r="EL72" s="541"/>
      <c r="EM72" s="793"/>
      <c r="EN72" s="128"/>
      <c r="EO72" s="128"/>
      <c r="EP72" s="128"/>
      <c r="EQ72" s="128"/>
      <c r="ER72" s="794"/>
      <c r="ES72" s="128"/>
      <c r="ET72" s="128"/>
      <c r="EU72" s="128"/>
      <c r="EV72" s="128"/>
    </row>
    <row r="73" spans="1:152" x14ac:dyDescent="0.25">
      <c r="A73" s="66" t="s">
        <v>317</v>
      </c>
      <c r="B73" s="66" t="s">
        <v>450</v>
      </c>
      <c r="C73" s="66" t="s">
        <v>368</v>
      </c>
      <c r="D73" s="64"/>
      <c r="E73" s="64"/>
      <c r="F73" s="64"/>
      <c r="G73" s="64"/>
      <c r="H73" s="64"/>
      <c r="I73" s="64"/>
      <c r="J73" s="64"/>
      <c r="K73" s="64"/>
      <c r="L73" s="64"/>
      <c r="M73" s="64"/>
      <c r="N73" s="64"/>
      <c r="O73" s="64"/>
      <c r="P73" s="64"/>
      <c r="Q73" s="64"/>
      <c r="R73" s="64"/>
      <c r="S73" s="64"/>
      <c r="T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542"/>
      <c r="AZ73" s="64"/>
      <c r="BA73" s="64"/>
      <c r="BB73" s="64"/>
      <c r="BC73" s="64"/>
      <c r="BD73" s="64"/>
      <c r="EC73" s="542"/>
      <c r="EL73" s="542"/>
      <c r="EM73" s="793"/>
      <c r="EN73" s="128"/>
      <c r="EO73" s="128"/>
      <c r="EP73" s="128"/>
      <c r="EQ73" s="128"/>
      <c r="ER73" s="794"/>
      <c r="ES73" s="128"/>
      <c r="ET73" s="128"/>
      <c r="EU73" s="128"/>
      <c r="EV73" s="128"/>
    </row>
    <row r="74" spans="1:152" x14ac:dyDescent="0.25">
      <c r="A74" s="258" t="s">
        <v>370</v>
      </c>
      <c r="B74" s="9" t="s">
        <v>399</v>
      </c>
      <c r="C74" s="236" t="s">
        <v>369</v>
      </c>
      <c r="D74" s="342"/>
      <c r="E74" s="342"/>
      <c r="F74" s="342"/>
      <c r="G74" s="342"/>
      <c r="H74" s="342"/>
      <c r="I74" s="342"/>
      <c r="J74" s="342"/>
      <c r="K74" s="342"/>
      <c r="L74" s="342"/>
      <c r="M74" s="342"/>
      <c r="N74" s="342"/>
      <c r="O74" s="342"/>
      <c r="P74" s="342"/>
      <c r="Q74" s="342"/>
      <c r="R74" s="342"/>
      <c r="S74" s="342"/>
      <c r="T74" s="342"/>
      <c r="U74" s="342"/>
      <c r="V74" s="342"/>
      <c r="W74" s="342"/>
      <c r="X74" s="342"/>
      <c r="Y74" s="342"/>
      <c r="Z74" s="342"/>
      <c r="AA74" s="342"/>
      <c r="AB74" s="342"/>
      <c r="AC74" s="342"/>
      <c r="AD74" s="342"/>
      <c r="AE74" s="342"/>
      <c r="AF74" s="342"/>
      <c r="AG74" s="342"/>
      <c r="AH74" s="342"/>
      <c r="AI74" s="342"/>
      <c r="AJ74" s="342"/>
      <c r="AK74" s="342"/>
      <c r="AL74" s="342"/>
      <c r="AM74" s="342"/>
      <c r="AN74" s="342"/>
      <c r="AO74" s="342"/>
      <c r="AP74" s="342"/>
      <c r="AQ74" s="342"/>
      <c r="AR74" s="342"/>
      <c r="AS74" s="342"/>
      <c r="AT74" s="342"/>
      <c r="AU74" s="342"/>
      <c r="AV74" s="342"/>
      <c r="AW74" s="342"/>
      <c r="AX74" s="342"/>
      <c r="AY74" s="645">
        <f ca="1">SUM(AY26+AY50)</f>
        <v>1452.9099720059705</v>
      </c>
      <c r="AZ74" s="543">
        <f ca="1">SUM(AZ26+AZ50)</f>
        <v>70.594524080282042</v>
      </c>
      <c r="BA74" s="543">
        <f ca="1">SUM(BA26+BA50)</f>
        <v>4921.4302752056647</v>
      </c>
      <c r="BB74" s="14">
        <f ca="1">0.8*AZ74+0.2*AY74</f>
        <v>347.05761366541975</v>
      </c>
      <c r="BC74" s="543">
        <f ca="1">0.8*BA74+0.2*AY74</f>
        <v>4227.726214565726</v>
      </c>
      <c r="BD74" s="543">
        <f ca="1">AY74-BB74</f>
        <v>1105.8523583405508</v>
      </c>
      <c r="BE74" s="543">
        <f t="shared" ref="BE74:BE89" ca="1" si="136">BC74-AY74</f>
        <v>2774.8162425597557</v>
      </c>
      <c r="BF74" s="543"/>
      <c r="BG74" s="543"/>
      <c r="BH74" s="543"/>
      <c r="BI74" s="543"/>
      <c r="BJ74" s="543"/>
      <c r="BK74" s="543"/>
      <c r="BL74" s="543"/>
      <c r="BM74" s="543"/>
      <c r="BN74" s="543"/>
      <c r="BO74" s="953"/>
      <c r="BP74" s="342"/>
      <c r="BQ74" s="342"/>
      <c r="BR74" s="342"/>
      <c r="BS74" s="342"/>
      <c r="BT74" s="342"/>
      <c r="BU74" s="342"/>
      <c r="BV74" s="342"/>
      <c r="BW74" s="342"/>
      <c r="BX74" s="342"/>
      <c r="BY74" s="342"/>
      <c r="BZ74" s="342"/>
      <c r="CA74" s="342"/>
      <c r="CB74" s="342"/>
      <c r="CC74" s="342"/>
      <c r="CD74" s="342"/>
      <c r="CE74" s="342"/>
      <c r="CF74" s="342"/>
      <c r="CG74" s="342"/>
      <c r="CH74" s="342"/>
      <c r="CI74" s="342"/>
      <c r="CJ74" s="342"/>
      <c r="CK74" s="342"/>
      <c r="CL74" s="342"/>
      <c r="CM74" s="342"/>
      <c r="CN74" s="342"/>
      <c r="CO74" s="342"/>
      <c r="CP74" s="342"/>
      <c r="CQ74" s="342"/>
      <c r="CR74" s="342"/>
      <c r="CS74" s="342"/>
      <c r="CT74" s="342"/>
      <c r="CU74" s="342"/>
      <c r="CV74" s="342"/>
      <c r="CW74" s="342"/>
      <c r="CX74" s="342"/>
      <c r="CY74" s="342"/>
      <c r="CZ74" s="342"/>
      <c r="DA74" s="342"/>
      <c r="DB74" s="342"/>
      <c r="DC74" s="342"/>
      <c r="DD74" s="342"/>
      <c r="DE74" s="342"/>
      <c r="DF74" s="342"/>
      <c r="DG74" s="342"/>
      <c r="DH74" s="342"/>
      <c r="DI74" s="342"/>
      <c r="DJ74" s="342"/>
      <c r="DK74" s="342"/>
      <c r="DL74" s="342"/>
      <c r="DM74" s="342"/>
      <c r="DN74" s="342"/>
      <c r="DO74" s="342"/>
      <c r="DP74" s="342"/>
      <c r="DQ74" s="342"/>
      <c r="DR74" s="342"/>
      <c r="DS74" s="342"/>
      <c r="DT74" s="342"/>
      <c r="DU74" s="342"/>
      <c r="DV74" s="342"/>
      <c r="DW74" s="342"/>
      <c r="DX74" s="342"/>
      <c r="DY74" s="342"/>
      <c r="DZ74" s="342"/>
      <c r="EA74" s="342"/>
      <c r="EB74" s="342"/>
      <c r="EC74" s="645">
        <f ca="1">SUM(EC26+EC50)</f>
        <v>2544.7197920068247</v>
      </c>
      <c r="ED74" s="543">
        <f ca="1">SUM(ED26+ED50)</f>
        <v>15.864610482106528</v>
      </c>
      <c r="EE74" s="543">
        <f ca="1">SUM(EE26+EE50)</f>
        <v>12954.014473646217</v>
      </c>
      <c r="EF74" s="14">
        <f ca="1">0.8*ED74+0.2*EC74</f>
        <v>521.63564678705018</v>
      </c>
      <c r="EG74" s="543">
        <f ca="1">0.8*EE74+0.2*EC74</f>
        <v>10872.15553731834</v>
      </c>
      <c r="EH74" s="543">
        <f ca="1">EC74-EF74</f>
        <v>2023.0841452197747</v>
      </c>
      <c r="EI74" s="543">
        <f ca="1">EG74-EC74</f>
        <v>8327.4357453115153</v>
      </c>
      <c r="EL74" s="645">
        <f ca="1">(AY74*AllProps_SSW+EC74*AllProps_CAM)/AllProps_All</f>
        <v>1663.7937865540807</v>
      </c>
      <c r="EM74" s="798">
        <f t="shared" ref="EM74:EM89" ca="1" si="137">(AZ74*AllProps_SSW+ED74*AllProps_CAM)/AllProps_All</f>
        <v>60.023403782552258</v>
      </c>
      <c r="EN74" s="892">
        <f t="shared" ref="EN74:EN89" ca="1" si="138">(BA74*AllProps_SSW+EE74*AllProps_CAM)/AllProps_All</f>
        <v>6472.9294149044563</v>
      </c>
      <c r="EO74" s="892">
        <f t="shared" ref="EO74:EO89" ca="1" si="139">(BB74*HHProps_SSW+EF74*HHProps_CAM)/HHProps_All</f>
        <v>380.54183378098867</v>
      </c>
      <c r="EP74" s="892">
        <f t="shared" ref="EP74:EP89" ca="1" si="140">(BC74*HHProps_SSW+EG74*HHProps_CAM)/HHProps_All</f>
        <v>5502.1335956500488</v>
      </c>
      <c r="EQ74" s="887">
        <f t="shared" ref="EQ74:EQ89" ca="1" si="141">(BD74*HHProps_SSW+EH74*HHProps_CAM)/HHProps_All</f>
        <v>1281.7782208312951</v>
      </c>
      <c r="ER74" s="795">
        <f t="shared" ref="ER74:ER89" ca="1" si="142">(BE74*HHProps_SSW+EI74*HHProps_CAM)/HHProps_All</f>
        <v>3839.8135410377649</v>
      </c>
      <c r="ES74" s="887"/>
      <c r="ET74" s="887"/>
      <c r="EU74" s="887"/>
      <c r="EV74" s="887"/>
    </row>
    <row r="75" spans="1:152" x14ac:dyDescent="0.25">
      <c r="A75" s="258" t="s">
        <v>25</v>
      </c>
      <c r="B75" s="9" t="s">
        <v>266</v>
      </c>
      <c r="C75" s="236" t="s">
        <v>369</v>
      </c>
      <c r="D75" s="342"/>
      <c r="E75" s="342"/>
      <c r="F75" s="342"/>
      <c r="G75" s="342"/>
      <c r="H75" s="342"/>
      <c r="I75" s="342"/>
      <c r="J75" s="342"/>
      <c r="K75" s="342"/>
      <c r="L75" s="342"/>
      <c r="M75" s="342"/>
      <c r="N75" s="342"/>
      <c r="O75" s="342"/>
      <c r="P75" s="342"/>
      <c r="Q75" s="342"/>
      <c r="R75" s="342"/>
      <c r="S75" s="342"/>
      <c r="T75" s="342"/>
      <c r="U75" s="342"/>
      <c r="V75" s="342"/>
      <c r="W75" s="342"/>
      <c r="X75" s="342"/>
      <c r="Y75" s="342"/>
      <c r="Z75" s="342"/>
      <c r="AA75" s="342"/>
      <c r="AB75" s="342"/>
      <c r="AC75" s="342"/>
      <c r="AD75" s="342"/>
      <c r="AE75" s="342"/>
      <c r="AF75" s="342"/>
      <c r="AG75" s="342"/>
      <c r="AH75" s="342"/>
      <c r="AI75" s="342"/>
      <c r="AJ75" s="342"/>
      <c r="AK75" s="342"/>
      <c r="AL75" s="342"/>
      <c r="AM75" s="342"/>
      <c r="AN75" s="342"/>
      <c r="AO75" s="342"/>
      <c r="AP75" s="342"/>
      <c r="AQ75" s="342"/>
      <c r="AR75" s="342"/>
      <c r="AS75" s="342"/>
      <c r="AT75" s="342"/>
      <c r="AU75" s="342"/>
      <c r="AV75" s="342"/>
      <c r="AW75" s="342"/>
      <c r="AX75" s="342"/>
      <c r="AY75" s="645">
        <f ca="1">SUM(AY27+AY51)</f>
        <v>193.37006930959473</v>
      </c>
      <c r="AZ75" s="543">
        <f t="shared" ref="AY75:BA89" ca="1" si="143">SUM(AZ27+AZ51)</f>
        <v>68.543126747665752</v>
      </c>
      <c r="BA75" s="543">
        <f t="shared" ca="1" si="143"/>
        <v>404.86342038963807</v>
      </c>
      <c r="BB75" s="14">
        <f t="shared" ref="BB75:BB89" ca="1" si="144">0.8*AZ75+0.2*AY75</f>
        <v>93.508515260051553</v>
      </c>
      <c r="BC75" s="543">
        <f t="shared" ref="BC75:BC89" ca="1" si="145">0.8*BA75+0.2*AY75</f>
        <v>362.56475017362948</v>
      </c>
      <c r="BD75" s="543">
        <f t="shared" ref="BD75:BD89" ca="1" si="146">AY75-BB75</f>
        <v>99.861554049543173</v>
      </c>
      <c r="BE75" s="543">
        <f t="shared" ca="1" si="136"/>
        <v>169.19468086403475</v>
      </c>
      <c r="BF75" s="543"/>
      <c r="BG75" s="543"/>
      <c r="BH75" s="543"/>
      <c r="BI75" s="543"/>
      <c r="BJ75" s="543"/>
      <c r="BK75" s="543"/>
      <c r="BL75" s="543"/>
      <c r="BM75" s="543"/>
      <c r="BN75" s="543"/>
      <c r="BO75" s="953"/>
      <c r="BP75" s="342"/>
      <c r="BQ75" s="342"/>
      <c r="BR75" s="342"/>
      <c r="BS75" s="342"/>
      <c r="BT75" s="342"/>
      <c r="BU75" s="342"/>
      <c r="BV75" s="342"/>
      <c r="BW75" s="342"/>
      <c r="BX75" s="342"/>
      <c r="BY75" s="342"/>
      <c r="BZ75" s="342"/>
      <c r="CA75" s="342"/>
      <c r="CB75" s="342"/>
      <c r="CC75" s="342"/>
      <c r="CD75" s="342"/>
      <c r="CE75" s="342"/>
      <c r="CF75" s="342"/>
      <c r="CG75" s="342"/>
      <c r="CH75" s="342"/>
      <c r="CI75" s="342"/>
      <c r="CJ75" s="342"/>
      <c r="CK75" s="342"/>
      <c r="CL75" s="342"/>
      <c r="CM75" s="342"/>
      <c r="CN75" s="342"/>
      <c r="CO75" s="342"/>
      <c r="CP75" s="342"/>
      <c r="CQ75" s="342"/>
      <c r="CR75" s="342"/>
      <c r="CS75" s="342"/>
      <c r="CT75" s="342"/>
      <c r="CU75" s="342"/>
      <c r="CV75" s="342"/>
      <c r="CW75" s="342"/>
      <c r="CX75" s="342"/>
      <c r="CY75" s="342"/>
      <c r="CZ75" s="342"/>
      <c r="DA75" s="342"/>
      <c r="DB75" s="342"/>
      <c r="DC75" s="342"/>
      <c r="DD75" s="342"/>
      <c r="DE75" s="342"/>
      <c r="DF75" s="342"/>
      <c r="DG75" s="342"/>
      <c r="DH75" s="342"/>
      <c r="DI75" s="342"/>
      <c r="DJ75" s="342"/>
      <c r="DK75" s="342"/>
      <c r="DL75" s="342"/>
      <c r="DM75" s="342"/>
      <c r="DN75" s="342"/>
      <c r="DO75" s="342"/>
      <c r="DP75" s="342"/>
      <c r="DQ75" s="342"/>
      <c r="DR75" s="342"/>
      <c r="DS75" s="342"/>
      <c r="DT75" s="342"/>
      <c r="DU75" s="342"/>
      <c r="DV75" s="342"/>
      <c r="DW75" s="342"/>
      <c r="DX75" s="342"/>
      <c r="DY75" s="342"/>
      <c r="DZ75" s="342"/>
      <c r="EA75" s="342"/>
      <c r="EB75" s="342"/>
      <c r="EC75" s="645">
        <f t="shared" ref="EC75:EE89" ca="1" si="147">SUM(EC27+EC51)</f>
        <v>1037.5601068753365</v>
      </c>
      <c r="ED75" s="543">
        <f t="shared" ca="1" si="147"/>
        <v>311.97740553654774</v>
      </c>
      <c r="EE75" s="543">
        <f t="shared" ca="1" si="147"/>
        <v>3731.7728389668464</v>
      </c>
      <c r="EF75" s="14">
        <f t="shared" ref="EF75:EF89" ca="1" si="148">0.8*ED75+0.2*EC75</f>
        <v>457.09394580430552</v>
      </c>
      <c r="EG75" s="543">
        <f t="shared" ref="EG75:EG89" ca="1" si="149">0.8*EE75+0.2*EC75</f>
        <v>3192.9302925485449</v>
      </c>
      <c r="EH75" s="543">
        <f t="shared" ref="EH75:EH89" ca="1" si="150">EC75-EF75</f>
        <v>580.46616107103091</v>
      </c>
      <c r="EI75" s="543">
        <f t="shared" ref="EI75:EI89" ca="1" si="151">EG75-EC75</f>
        <v>2155.3701856732087</v>
      </c>
      <c r="EL75" s="645">
        <f t="shared" ref="EL75:EL89" ca="1" si="152">(AY75*AllProps_SSW+EC75*AllProps_CAM)/AllProps_All</f>
        <v>356.42595327777224</v>
      </c>
      <c r="EM75" s="798">
        <f t="shared" ca="1" si="137"/>
        <v>115.56262443154569</v>
      </c>
      <c r="EN75" s="892">
        <f t="shared" ca="1" si="138"/>
        <v>1047.4582532929071</v>
      </c>
      <c r="EO75" s="892">
        <f t="shared" ca="1" si="139"/>
        <v>163.24452023998899</v>
      </c>
      <c r="EP75" s="892">
        <f t="shared" ca="1" si="140"/>
        <v>905.43134761303497</v>
      </c>
      <c r="EQ75" s="887">
        <f t="shared" ca="1" si="141"/>
        <v>192.04193987650496</v>
      </c>
      <c r="ER75" s="795">
        <f t="shared" ca="1" si="142"/>
        <v>550.14488749654106</v>
      </c>
      <c r="ES75" s="887"/>
      <c r="ET75" s="887"/>
      <c r="EU75" s="887"/>
      <c r="EV75" s="887"/>
    </row>
    <row r="76" spans="1:152" x14ac:dyDescent="0.25">
      <c r="A76" s="258" t="s">
        <v>117</v>
      </c>
      <c r="B76" s="9" t="s">
        <v>265</v>
      </c>
      <c r="C76" s="236" t="s">
        <v>369</v>
      </c>
      <c r="D76" s="342"/>
      <c r="E76" s="342"/>
      <c r="F76" s="342"/>
      <c r="G76" s="342"/>
      <c r="H76" s="342"/>
      <c r="I76" s="342"/>
      <c r="J76" s="342"/>
      <c r="K76" s="342"/>
      <c r="L76" s="342"/>
      <c r="M76" s="342"/>
      <c r="N76" s="342"/>
      <c r="O76" s="342"/>
      <c r="P76" s="342"/>
      <c r="Q76" s="342"/>
      <c r="R76" s="342"/>
      <c r="S76" s="342"/>
      <c r="T76" s="342"/>
      <c r="U76" s="342"/>
      <c r="V76" s="342"/>
      <c r="W76" s="342"/>
      <c r="X76" s="342"/>
      <c r="Y76" s="342"/>
      <c r="Z76" s="342"/>
      <c r="AA76" s="342"/>
      <c r="AB76" s="342"/>
      <c r="AC76" s="342"/>
      <c r="AD76" s="342"/>
      <c r="AE76" s="342"/>
      <c r="AF76" s="342"/>
      <c r="AG76" s="342"/>
      <c r="AH76" s="342"/>
      <c r="AI76" s="342"/>
      <c r="AJ76" s="342"/>
      <c r="AK76" s="342"/>
      <c r="AL76" s="342"/>
      <c r="AM76" s="342"/>
      <c r="AN76" s="342"/>
      <c r="AO76" s="342"/>
      <c r="AP76" s="342"/>
      <c r="AQ76" s="342"/>
      <c r="AR76" s="342"/>
      <c r="AS76" s="342"/>
      <c r="AT76" s="342"/>
      <c r="AU76" s="342"/>
      <c r="AV76" s="342"/>
      <c r="AW76" s="342"/>
      <c r="AX76" s="342"/>
      <c r="AY76" s="645">
        <f t="shared" ca="1" si="143"/>
        <v>373.65738040810317</v>
      </c>
      <c r="AZ76" s="543">
        <f t="shared" ca="1" si="143"/>
        <v>106.71520930909463</v>
      </c>
      <c r="BA76" s="543">
        <f t="shared" ca="1" si="143"/>
        <v>839.14927862309128</v>
      </c>
      <c r="BB76" s="14">
        <f t="shared" ca="1" si="144"/>
        <v>160.10364352889636</v>
      </c>
      <c r="BC76" s="543">
        <f t="shared" ca="1" si="145"/>
        <v>746.05089898009362</v>
      </c>
      <c r="BD76" s="543">
        <f t="shared" ca="1" si="146"/>
        <v>213.55373687920681</v>
      </c>
      <c r="BE76" s="543">
        <f t="shared" ca="1" si="136"/>
        <v>372.39351857199046</v>
      </c>
      <c r="BF76" s="543"/>
      <c r="BG76" s="543"/>
      <c r="BH76" s="543"/>
      <c r="BI76" s="543"/>
      <c r="BJ76" s="543"/>
      <c r="BK76" s="543"/>
      <c r="BL76" s="543"/>
      <c r="BM76" s="543"/>
      <c r="BN76" s="543"/>
      <c r="BO76" s="953"/>
      <c r="BP76" s="342"/>
      <c r="BQ76" s="342"/>
      <c r="BR76" s="342"/>
      <c r="BS76" s="342"/>
      <c r="BT76" s="342"/>
      <c r="BU76" s="342"/>
      <c r="BV76" s="342"/>
      <c r="BW76" s="342"/>
      <c r="BX76" s="342"/>
      <c r="BY76" s="342"/>
      <c r="BZ76" s="342"/>
      <c r="CA76" s="342"/>
      <c r="CB76" s="342"/>
      <c r="CC76" s="342"/>
      <c r="CD76" s="342"/>
      <c r="CE76" s="342"/>
      <c r="CF76" s="342"/>
      <c r="CG76" s="342"/>
      <c r="CH76" s="342"/>
      <c r="CI76" s="342"/>
      <c r="CJ76" s="342"/>
      <c r="CK76" s="342"/>
      <c r="CL76" s="342"/>
      <c r="CM76" s="342"/>
      <c r="CN76" s="342"/>
      <c r="CO76" s="342"/>
      <c r="CP76" s="342"/>
      <c r="CQ76" s="342"/>
      <c r="CR76" s="342"/>
      <c r="CS76" s="342"/>
      <c r="CT76" s="342"/>
      <c r="CU76" s="342"/>
      <c r="CV76" s="342"/>
      <c r="CW76" s="342"/>
      <c r="CX76" s="342"/>
      <c r="CY76" s="342"/>
      <c r="CZ76" s="342"/>
      <c r="DA76" s="342"/>
      <c r="DB76" s="342"/>
      <c r="DC76" s="342"/>
      <c r="DD76" s="342"/>
      <c r="DE76" s="342"/>
      <c r="DF76" s="342"/>
      <c r="DG76" s="342"/>
      <c r="DH76" s="342"/>
      <c r="DI76" s="342"/>
      <c r="DJ76" s="342"/>
      <c r="DK76" s="342"/>
      <c r="DL76" s="342"/>
      <c r="DM76" s="342"/>
      <c r="DN76" s="342"/>
      <c r="DO76" s="342"/>
      <c r="DP76" s="342"/>
      <c r="DQ76" s="342"/>
      <c r="DR76" s="342"/>
      <c r="DS76" s="342"/>
      <c r="DT76" s="342"/>
      <c r="DU76" s="342"/>
      <c r="DV76" s="342"/>
      <c r="DW76" s="342"/>
      <c r="DX76" s="342"/>
      <c r="DY76" s="342"/>
      <c r="DZ76" s="342"/>
      <c r="EA76" s="342"/>
      <c r="EB76" s="342"/>
      <c r="EC76" s="645">
        <f t="shared" ca="1" si="147"/>
        <v>1429.2305829276133</v>
      </c>
      <c r="ED76" s="543">
        <f t="shared" ca="1" si="147"/>
        <v>177.04344440809794</v>
      </c>
      <c r="EE76" s="543">
        <f t="shared" ca="1" si="147"/>
        <v>125357.99503222857</v>
      </c>
      <c r="EF76" s="14">
        <f t="shared" ca="1" si="148"/>
        <v>427.48087211200107</v>
      </c>
      <c r="EG76" s="543">
        <f t="shared" ca="1" si="149"/>
        <v>100572.24214236838</v>
      </c>
      <c r="EH76" s="543">
        <f t="shared" ca="1" si="150"/>
        <v>1001.7497108156123</v>
      </c>
      <c r="EI76" s="543">
        <f t="shared" ca="1" si="151"/>
        <v>99143.011559440769</v>
      </c>
      <c r="EL76" s="645">
        <f t="shared" ca="1" si="152"/>
        <v>577.54206747009073</v>
      </c>
      <c r="EM76" s="798">
        <f t="shared" ca="1" si="137"/>
        <v>120.29915608849115</v>
      </c>
      <c r="EN76" s="892">
        <f t="shared" ca="1" si="138"/>
        <v>24890.049622812643</v>
      </c>
      <c r="EO76" s="892">
        <f t="shared" ca="1" si="139"/>
        <v>211.38683085596327</v>
      </c>
      <c r="EP76" s="892">
        <f t="shared" ca="1" si="140"/>
        <v>19892.802074505518</v>
      </c>
      <c r="EQ76" s="887">
        <f t="shared" ca="1" si="141"/>
        <v>364.7304170924852</v>
      </c>
      <c r="ER76" s="795">
        <f t="shared" ca="1" si="142"/>
        <v>19316.684826557073</v>
      </c>
      <c r="ES76" s="887"/>
      <c r="ET76" s="887"/>
      <c r="EU76" s="887"/>
      <c r="EV76" s="887"/>
    </row>
    <row r="77" spans="1:152" x14ac:dyDescent="0.25">
      <c r="A77" s="258" t="s">
        <v>81</v>
      </c>
      <c r="B77" s="9" t="s">
        <v>267</v>
      </c>
      <c r="C77" s="236" t="s">
        <v>369</v>
      </c>
      <c r="D77" s="342"/>
      <c r="E77" s="342"/>
      <c r="F77" s="342"/>
      <c r="G77" s="342"/>
      <c r="H77" s="342"/>
      <c r="I77" s="342"/>
      <c r="J77" s="342"/>
      <c r="K77" s="342"/>
      <c r="L77" s="342"/>
      <c r="M77" s="342"/>
      <c r="N77" s="342"/>
      <c r="O77" s="342"/>
      <c r="P77" s="342"/>
      <c r="Q77" s="342"/>
      <c r="R77" s="342"/>
      <c r="S77" s="342"/>
      <c r="T77" s="342"/>
      <c r="U77" s="342"/>
      <c r="V77" s="342"/>
      <c r="W77" s="342"/>
      <c r="X77" s="342"/>
      <c r="Y77" s="342"/>
      <c r="Z77" s="342"/>
      <c r="AA77" s="342"/>
      <c r="AB77" s="342"/>
      <c r="AC77" s="342"/>
      <c r="AD77" s="342"/>
      <c r="AE77" s="342"/>
      <c r="AF77" s="342"/>
      <c r="AG77" s="342"/>
      <c r="AH77" s="342"/>
      <c r="AI77" s="342"/>
      <c r="AJ77" s="342"/>
      <c r="AK77" s="342"/>
      <c r="AL77" s="342"/>
      <c r="AM77" s="342"/>
      <c r="AN77" s="342"/>
      <c r="AO77" s="342"/>
      <c r="AP77" s="342"/>
      <c r="AQ77" s="342"/>
      <c r="AR77" s="342"/>
      <c r="AS77" s="342"/>
      <c r="AT77" s="342"/>
      <c r="AU77" s="342"/>
      <c r="AV77" s="342"/>
      <c r="AW77" s="342"/>
      <c r="AX77" s="342"/>
      <c r="AY77" s="645">
        <f t="shared" ca="1" si="143"/>
        <v>43.901514280815427</v>
      </c>
      <c r="AZ77" s="543">
        <f t="shared" ca="1" si="143"/>
        <v>18.431061367902419</v>
      </c>
      <c r="BA77" s="543">
        <f t="shared" ca="1" si="143"/>
        <v>73.243721561969437</v>
      </c>
      <c r="BB77" s="14">
        <f t="shared" ca="1" si="144"/>
        <v>23.525151950485022</v>
      </c>
      <c r="BC77" s="543">
        <f t="shared" ca="1" si="145"/>
        <v>67.375280105738639</v>
      </c>
      <c r="BD77" s="543">
        <f t="shared" ca="1" si="146"/>
        <v>20.376362330330405</v>
      </c>
      <c r="BE77" s="543">
        <f t="shared" ca="1" si="136"/>
        <v>23.473765824923213</v>
      </c>
      <c r="BF77" s="543"/>
      <c r="BG77" s="543"/>
      <c r="BH77" s="543"/>
      <c r="BI77" s="543"/>
      <c r="BJ77" s="543"/>
      <c r="BK77" s="543"/>
      <c r="BL77" s="543"/>
      <c r="BM77" s="543"/>
      <c r="BN77" s="543"/>
      <c r="BO77" s="953"/>
      <c r="BP77" s="342"/>
      <c r="BQ77" s="342"/>
      <c r="BR77" s="342"/>
      <c r="BS77" s="342"/>
      <c r="BT77" s="342"/>
      <c r="BU77" s="342"/>
      <c r="BV77" s="342"/>
      <c r="BW77" s="342"/>
      <c r="BX77" s="342"/>
      <c r="BY77" s="342"/>
      <c r="BZ77" s="342"/>
      <c r="CA77" s="342"/>
      <c r="CB77" s="342"/>
      <c r="CC77" s="342"/>
      <c r="CD77" s="342"/>
      <c r="CE77" s="342"/>
      <c r="CF77" s="342"/>
      <c r="CG77" s="342"/>
      <c r="CH77" s="342"/>
      <c r="CI77" s="342"/>
      <c r="CJ77" s="342"/>
      <c r="CK77" s="342"/>
      <c r="CL77" s="342"/>
      <c r="CM77" s="342"/>
      <c r="CN77" s="342"/>
      <c r="CO77" s="342"/>
      <c r="CP77" s="342"/>
      <c r="CQ77" s="342"/>
      <c r="CR77" s="342"/>
      <c r="CS77" s="342"/>
      <c r="CT77" s="342"/>
      <c r="CU77" s="342"/>
      <c r="CV77" s="342"/>
      <c r="CW77" s="342"/>
      <c r="CX77" s="342"/>
      <c r="CY77" s="342"/>
      <c r="CZ77" s="342"/>
      <c r="DA77" s="342"/>
      <c r="DB77" s="342"/>
      <c r="DC77" s="342"/>
      <c r="DD77" s="342"/>
      <c r="DE77" s="342"/>
      <c r="DF77" s="342"/>
      <c r="DG77" s="342"/>
      <c r="DH77" s="342"/>
      <c r="DI77" s="342"/>
      <c r="DJ77" s="342"/>
      <c r="DK77" s="342"/>
      <c r="DL77" s="342"/>
      <c r="DM77" s="342"/>
      <c r="DN77" s="342"/>
      <c r="DO77" s="342"/>
      <c r="DP77" s="342"/>
      <c r="DQ77" s="342"/>
      <c r="DR77" s="342"/>
      <c r="DS77" s="342"/>
      <c r="DT77" s="342"/>
      <c r="DU77" s="342"/>
      <c r="DV77" s="342"/>
      <c r="DW77" s="342"/>
      <c r="DX77" s="342"/>
      <c r="DY77" s="342"/>
      <c r="DZ77" s="342"/>
      <c r="EA77" s="342"/>
      <c r="EB77" s="342"/>
      <c r="EC77" s="645">
        <f t="shared" ca="1" si="147"/>
        <v>52.23876599432414</v>
      </c>
      <c r="ED77" s="543">
        <f t="shared" ca="1" si="147"/>
        <v>23.4934460433685</v>
      </c>
      <c r="EE77" s="543">
        <f t="shared" ca="1" si="147"/>
        <v>231.10659574468085</v>
      </c>
      <c r="EF77" s="14">
        <f t="shared" ca="1" si="148"/>
        <v>29.242510033559633</v>
      </c>
      <c r="EG77" s="543">
        <f t="shared" ca="1" si="149"/>
        <v>195.33302979460953</v>
      </c>
      <c r="EH77" s="543">
        <f t="shared" ca="1" si="150"/>
        <v>22.996255960764508</v>
      </c>
      <c r="EI77" s="543">
        <f t="shared" ca="1" si="151"/>
        <v>143.09426380028538</v>
      </c>
      <c r="EL77" s="645">
        <f t="shared" ca="1" si="152"/>
        <v>45.511860159726012</v>
      </c>
      <c r="EM77" s="798">
        <f t="shared" ca="1" si="137"/>
        <v>19.408864435355458</v>
      </c>
      <c r="EN77" s="892">
        <f t="shared" ca="1" si="138"/>
        <v>103.73504383561644</v>
      </c>
      <c r="EO77" s="892">
        <f t="shared" ca="1" si="139"/>
        <v>24.621746253388061</v>
      </c>
      <c r="EP77" s="892">
        <f t="shared" ca="1" si="140"/>
        <v>91.917688904043303</v>
      </c>
      <c r="EQ77" s="887">
        <f t="shared" ca="1" si="141"/>
        <v>20.878860230164765</v>
      </c>
      <c r="ER77" s="795">
        <f t="shared" ca="1" si="142"/>
        <v>46.417082420490487</v>
      </c>
      <c r="ES77" s="887"/>
      <c r="ET77" s="887"/>
      <c r="EU77" s="887"/>
      <c r="EV77" s="887"/>
    </row>
    <row r="78" spans="1:152" x14ac:dyDescent="0.25">
      <c r="A78" s="258" t="s">
        <v>82</v>
      </c>
      <c r="B78" s="9" t="s">
        <v>268</v>
      </c>
      <c r="C78" s="236" t="s">
        <v>369</v>
      </c>
      <c r="D78" s="342"/>
      <c r="E78" s="342"/>
      <c r="F78" s="342"/>
      <c r="G78" s="342"/>
      <c r="H78" s="342"/>
      <c r="I78" s="342"/>
      <c r="J78" s="342"/>
      <c r="K78" s="342"/>
      <c r="L78" s="342"/>
      <c r="M78" s="342"/>
      <c r="N78" s="342"/>
      <c r="O78" s="342"/>
      <c r="P78" s="342"/>
      <c r="Q78" s="342"/>
      <c r="R78" s="342"/>
      <c r="S78" s="342"/>
      <c r="T78" s="342"/>
      <c r="U78" s="342"/>
      <c r="V78" s="342"/>
      <c r="W78" s="342"/>
      <c r="X78" s="342"/>
      <c r="Y78" s="342"/>
      <c r="Z78" s="342"/>
      <c r="AA78" s="342"/>
      <c r="AB78" s="342"/>
      <c r="AC78" s="342"/>
      <c r="AD78" s="342"/>
      <c r="AE78" s="342"/>
      <c r="AF78" s="342"/>
      <c r="AG78" s="342"/>
      <c r="AH78" s="342"/>
      <c r="AI78" s="342"/>
      <c r="AJ78" s="342"/>
      <c r="AK78" s="342"/>
      <c r="AL78" s="342"/>
      <c r="AM78" s="342"/>
      <c r="AN78" s="342"/>
      <c r="AO78" s="342"/>
      <c r="AP78" s="342"/>
      <c r="AQ78" s="342"/>
      <c r="AR78" s="342"/>
      <c r="AS78" s="342"/>
      <c r="AT78" s="342"/>
      <c r="AU78" s="342"/>
      <c r="AV78" s="342"/>
      <c r="AW78" s="342"/>
      <c r="AX78" s="342"/>
      <c r="AY78" s="645">
        <f t="shared" ca="1" si="143"/>
        <v>401.22638875551917</v>
      </c>
      <c r="AZ78" s="543">
        <f t="shared" ca="1" si="143"/>
        <v>9.4328744522488304</v>
      </c>
      <c r="BA78" s="543">
        <f t="shared" ca="1" si="143"/>
        <v>1117.0165545604307</v>
      </c>
      <c r="BB78" s="14">
        <f t="shared" ca="1" si="144"/>
        <v>87.791577312902902</v>
      </c>
      <c r="BC78" s="543">
        <f t="shared" ca="1" si="145"/>
        <v>973.85852139944836</v>
      </c>
      <c r="BD78" s="543">
        <f t="shared" ca="1" si="146"/>
        <v>313.43481144261625</v>
      </c>
      <c r="BE78" s="543">
        <f t="shared" ca="1" si="136"/>
        <v>572.63213264392925</v>
      </c>
      <c r="BF78" s="543"/>
      <c r="BG78" s="543"/>
      <c r="BH78" s="543"/>
      <c r="BI78" s="543"/>
      <c r="BJ78" s="543"/>
      <c r="BK78" s="543"/>
      <c r="BL78" s="543"/>
      <c r="BM78" s="543"/>
      <c r="BN78" s="543"/>
      <c r="BO78" s="953"/>
      <c r="BP78" s="342"/>
      <c r="BQ78" s="342"/>
      <c r="BR78" s="342"/>
      <c r="BS78" s="342"/>
      <c r="BT78" s="342"/>
      <c r="BU78" s="342"/>
      <c r="BV78" s="342"/>
      <c r="BW78" s="342"/>
      <c r="BX78" s="342"/>
      <c r="BY78" s="342"/>
      <c r="BZ78" s="342"/>
      <c r="CA78" s="342"/>
      <c r="CB78" s="342"/>
      <c r="CC78" s="342"/>
      <c r="CD78" s="342"/>
      <c r="CE78" s="342"/>
      <c r="CF78" s="342"/>
      <c r="CG78" s="342"/>
      <c r="CH78" s="342"/>
      <c r="CI78" s="342"/>
      <c r="CJ78" s="342"/>
      <c r="CK78" s="342"/>
      <c r="CL78" s="342"/>
      <c r="CM78" s="342"/>
      <c r="CN78" s="342"/>
      <c r="CO78" s="342"/>
      <c r="CP78" s="342"/>
      <c r="CQ78" s="342"/>
      <c r="CR78" s="342"/>
      <c r="CS78" s="342"/>
      <c r="CT78" s="342"/>
      <c r="CU78" s="342"/>
      <c r="CV78" s="342"/>
      <c r="CW78" s="342"/>
      <c r="CX78" s="342"/>
      <c r="CY78" s="342"/>
      <c r="CZ78" s="342"/>
      <c r="DA78" s="342"/>
      <c r="DB78" s="342"/>
      <c r="DC78" s="342"/>
      <c r="DD78" s="342"/>
      <c r="DE78" s="342"/>
      <c r="DF78" s="342"/>
      <c r="DG78" s="342"/>
      <c r="DH78" s="342"/>
      <c r="DI78" s="342"/>
      <c r="DJ78" s="342"/>
      <c r="DK78" s="342"/>
      <c r="DL78" s="342"/>
      <c r="DM78" s="342"/>
      <c r="DN78" s="342"/>
      <c r="DO78" s="342"/>
      <c r="DP78" s="342"/>
      <c r="DQ78" s="342"/>
      <c r="DR78" s="342"/>
      <c r="DS78" s="342"/>
      <c r="DT78" s="342"/>
      <c r="DU78" s="342"/>
      <c r="DV78" s="342"/>
      <c r="DW78" s="342"/>
      <c r="DX78" s="342"/>
      <c r="DY78" s="342"/>
      <c r="DZ78" s="342"/>
      <c r="EA78" s="342"/>
      <c r="EB78" s="342"/>
      <c r="EC78" s="645">
        <f t="shared" ca="1" si="147"/>
        <v>430.67277089801928</v>
      </c>
      <c r="ED78" s="543">
        <f t="shared" ca="1" si="147"/>
        <v>4.7210411924158651</v>
      </c>
      <c r="EE78" s="543">
        <f t="shared" ca="1" si="147"/>
        <v>2656.312426207387</v>
      </c>
      <c r="EF78" s="14">
        <f t="shared" ca="1" si="148"/>
        <v>89.911387133536564</v>
      </c>
      <c r="EG78" s="543">
        <f t="shared" ca="1" si="149"/>
        <v>2211.1844951455137</v>
      </c>
      <c r="EH78" s="543">
        <f t="shared" ca="1" si="150"/>
        <v>340.76138376448273</v>
      </c>
      <c r="EI78" s="543">
        <f t="shared" ca="1" si="151"/>
        <v>1780.5117242474944</v>
      </c>
      <c r="EL78" s="645">
        <f t="shared" ca="1" si="152"/>
        <v>406.91397763509798</v>
      </c>
      <c r="EM78" s="938">
        <f t="shared" ca="1" si="137"/>
        <v>8.5227806308290379</v>
      </c>
      <c r="EN78" s="892">
        <f t="shared" ca="1" si="138"/>
        <v>1414.3326064812811</v>
      </c>
      <c r="EO78" s="892">
        <f t="shared" ca="1" si="139"/>
        <v>88.198158698705257</v>
      </c>
      <c r="EP78" s="892">
        <f t="shared" ca="1" si="140"/>
        <v>1211.1787301267318</v>
      </c>
      <c r="EQ78" s="887">
        <f t="shared" ca="1" si="141"/>
        <v>318.6760720197239</v>
      </c>
      <c r="ER78" s="795">
        <f t="shared" ca="1" si="142"/>
        <v>804.30449940830272</v>
      </c>
      <c r="ES78" s="887"/>
      <c r="ET78" s="887"/>
      <c r="EU78" s="887"/>
      <c r="EV78" s="887"/>
    </row>
    <row r="79" spans="1:152" x14ac:dyDescent="0.25">
      <c r="A79" s="258" t="s">
        <v>83</v>
      </c>
      <c r="B79" s="9" t="s">
        <v>269</v>
      </c>
      <c r="C79" s="236" t="s">
        <v>369</v>
      </c>
      <c r="D79" s="342"/>
      <c r="E79" s="342"/>
      <c r="F79" s="342"/>
      <c r="G79" s="342"/>
      <c r="H79" s="342"/>
      <c r="I79" s="342"/>
      <c r="J79" s="342"/>
      <c r="K79" s="342"/>
      <c r="L79" s="342"/>
      <c r="M79" s="342"/>
      <c r="N79" s="342"/>
      <c r="O79" s="342"/>
      <c r="P79" s="342"/>
      <c r="Q79" s="342"/>
      <c r="R79" s="342"/>
      <c r="S79" s="342"/>
      <c r="T79" s="342"/>
      <c r="U79" s="342"/>
      <c r="V79" s="342"/>
      <c r="W79" s="342"/>
      <c r="X79" s="342"/>
      <c r="Y79" s="342"/>
      <c r="Z79" s="342"/>
      <c r="AA79" s="342"/>
      <c r="AB79" s="342"/>
      <c r="AC79" s="342"/>
      <c r="AD79" s="342"/>
      <c r="AE79" s="342"/>
      <c r="AF79" s="342"/>
      <c r="AG79" s="342"/>
      <c r="AH79" s="342"/>
      <c r="AI79" s="342"/>
      <c r="AJ79" s="342"/>
      <c r="AK79" s="342"/>
      <c r="AL79" s="342"/>
      <c r="AM79" s="342"/>
      <c r="AN79" s="342"/>
      <c r="AO79" s="342"/>
      <c r="AP79" s="342"/>
      <c r="AQ79" s="342"/>
      <c r="AR79" s="342"/>
      <c r="AS79" s="342"/>
      <c r="AT79" s="342"/>
      <c r="AU79" s="342"/>
      <c r="AV79" s="342"/>
      <c r="AW79" s="342"/>
      <c r="AX79" s="342"/>
      <c r="AY79" s="645">
        <f t="shared" ca="1" si="143"/>
        <v>545.87314651273914</v>
      </c>
      <c r="AZ79" s="543">
        <f t="shared" ca="1" si="143"/>
        <v>37.006892657375317</v>
      </c>
      <c r="BA79" s="543">
        <f t="shared" ca="1" si="143"/>
        <v>1436.8177629040617</v>
      </c>
      <c r="BB79" s="14">
        <f t="shared" ca="1" si="144"/>
        <v>138.78014342844807</v>
      </c>
      <c r="BC79" s="543">
        <f t="shared" ca="1" si="145"/>
        <v>1258.6288396257974</v>
      </c>
      <c r="BD79" s="543">
        <f t="shared" ca="1" si="146"/>
        <v>407.09300308429107</v>
      </c>
      <c r="BE79" s="543">
        <f t="shared" ca="1" si="136"/>
        <v>712.75569311305821</v>
      </c>
      <c r="BF79" s="543"/>
      <c r="BG79" s="543"/>
      <c r="BH79" s="543"/>
      <c r="BI79" s="543"/>
      <c r="BJ79" s="543"/>
      <c r="BK79" s="543"/>
      <c r="BL79" s="543"/>
      <c r="BM79" s="543"/>
      <c r="BN79" s="543"/>
      <c r="BO79" s="953"/>
      <c r="BP79" s="342"/>
      <c r="BQ79" s="342"/>
      <c r="BR79" s="342"/>
      <c r="BS79" s="342"/>
      <c r="BT79" s="342"/>
      <c r="BU79" s="342"/>
      <c r="BV79" s="342"/>
      <c r="BW79" s="342"/>
      <c r="BX79" s="342"/>
      <c r="BY79" s="342"/>
      <c r="BZ79" s="342"/>
      <c r="CA79" s="342"/>
      <c r="CB79" s="342"/>
      <c r="CC79" s="342"/>
      <c r="CD79" s="342"/>
      <c r="CE79" s="342"/>
      <c r="CF79" s="342"/>
      <c r="CG79" s="342"/>
      <c r="CH79" s="342"/>
      <c r="CI79" s="342"/>
      <c r="CJ79" s="342"/>
      <c r="CK79" s="342"/>
      <c r="CL79" s="342"/>
      <c r="CM79" s="342"/>
      <c r="CN79" s="342"/>
      <c r="CO79" s="342"/>
      <c r="CP79" s="342"/>
      <c r="CQ79" s="342"/>
      <c r="CR79" s="342"/>
      <c r="CS79" s="342"/>
      <c r="CT79" s="342"/>
      <c r="CU79" s="342"/>
      <c r="CV79" s="342"/>
      <c r="CW79" s="342"/>
      <c r="CX79" s="342"/>
      <c r="CY79" s="342"/>
      <c r="CZ79" s="342"/>
      <c r="DA79" s="342"/>
      <c r="DB79" s="342"/>
      <c r="DC79" s="342"/>
      <c r="DD79" s="342"/>
      <c r="DE79" s="342"/>
      <c r="DF79" s="342"/>
      <c r="DG79" s="342"/>
      <c r="DH79" s="342"/>
      <c r="DI79" s="342"/>
      <c r="DJ79" s="342"/>
      <c r="DK79" s="342"/>
      <c r="DL79" s="342"/>
      <c r="DM79" s="342"/>
      <c r="DN79" s="342"/>
      <c r="DO79" s="342"/>
      <c r="DP79" s="342"/>
      <c r="DQ79" s="342"/>
      <c r="DR79" s="342"/>
      <c r="DS79" s="342"/>
      <c r="DT79" s="342"/>
      <c r="DU79" s="342"/>
      <c r="DV79" s="342"/>
      <c r="DW79" s="342"/>
      <c r="DX79" s="342"/>
      <c r="DY79" s="342"/>
      <c r="DZ79" s="342"/>
      <c r="EA79" s="342"/>
      <c r="EB79" s="342"/>
      <c r="EC79" s="645">
        <f t="shared" ca="1" si="147"/>
        <v>626.362133653407</v>
      </c>
      <c r="ED79" s="543">
        <f t="shared" ca="1" si="147"/>
        <v>31.229407138178122</v>
      </c>
      <c r="EE79" s="543">
        <f t="shared" ca="1" si="147"/>
        <v>1604.5320483570695</v>
      </c>
      <c r="EF79" s="14">
        <f t="shared" ca="1" si="148"/>
        <v>150.25595244122391</v>
      </c>
      <c r="EG79" s="543">
        <f t="shared" ca="1" si="149"/>
        <v>1408.8980654163372</v>
      </c>
      <c r="EH79" s="543">
        <f t="shared" ca="1" si="150"/>
        <v>476.10618121218306</v>
      </c>
      <c r="EI79" s="543">
        <f t="shared" ca="1" si="151"/>
        <v>782.5359317629302</v>
      </c>
      <c r="EL79" s="645">
        <f t="shared" ca="1" si="152"/>
        <v>561.41964950840236</v>
      </c>
      <c r="EM79" s="798">
        <f t="shared" ca="1" si="137"/>
        <v>35.890967372160517</v>
      </c>
      <c r="EN79" s="892">
        <f t="shared" ca="1" si="138"/>
        <v>1469.2118920121086</v>
      </c>
      <c r="EO79" s="892">
        <f t="shared" ca="1" si="139"/>
        <v>140.98121367833627</v>
      </c>
      <c r="EP79" s="892">
        <f t="shared" ca="1" si="140"/>
        <v>1287.4506091405276</v>
      </c>
      <c r="EQ79" s="887">
        <f t="shared" ca="1" si="141"/>
        <v>420.32979127573157</v>
      </c>
      <c r="ER79" s="795">
        <f t="shared" ca="1" si="142"/>
        <v>726.13960418645979</v>
      </c>
      <c r="ES79" s="887"/>
      <c r="ET79" s="887"/>
      <c r="EU79" s="887"/>
      <c r="EV79" s="887"/>
    </row>
    <row r="80" spans="1:152" x14ac:dyDescent="0.25">
      <c r="A80" s="258" t="s">
        <v>85</v>
      </c>
      <c r="B80" s="9" t="s">
        <v>270</v>
      </c>
      <c r="C80" s="236" t="s">
        <v>369</v>
      </c>
      <c r="D80" s="342"/>
      <c r="E80" s="342"/>
      <c r="F80" s="342"/>
      <c r="G80" s="342"/>
      <c r="H80" s="342"/>
      <c r="I80" s="342"/>
      <c r="J80" s="342"/>
      <c r="K80" s="342"/>
      <c r="L80" s="342"/>
      <c r="M80" s="342"/>
      <c r="N80" s="342"/>
      <c r="O80" s="342"/>
      <c r="P80" s="342"/>
      <c r="Q80" s="342"/>
      <c r="R80" s="342"/>
      <c r="S80" s="342"/>
      <c r="T80" s="342"/>
      <c r="U80" s="342"/>
      <c r="V80" s="342"/>
      <c r="W80" s="342"/>
      <c r="X80" s="342"/>
      <c r="Y80" s="342"/>
      <c r="Z80" s="342"/>
      <c r="AA80" s="342"/>
      <c r="AB80" s="342"/>
      <c r="AC80" s="342"/>
      <c r="AD80" s="342"/>
      <c r="AE80" s="342"/>
      <c r="AF80" s="342"/>
      <c r="AG80" s="342"/>
      <c r="AH80" s="342"/>
      <c r="AI80" s="342"/>
      <c r="AJ80" s="342"/>
      <c r="AK80" s="342"/>
      <c r="AL80" s="342"/>
      <c r="AM80" s="342"/>
      <c r="AN80" s="342"/>
      <c r="AO80" s="342"/>
      <c r="AP80" s="342"/>
      <c r="AQ80" s="342"/>
      <c r="AR80" s="342"/>
      <c r="AS80" s="342"/>
      <c r="AT80" s="342"/>
      <c r="AU80" s="342"/>
      <c r="AV80" s="342"/>
      <c r="AW80" s="342"/>
      <c r="AX80" s="342"/>
      <c r="AY80" s="645">
        <f t="shared" ca="1" si="143"/>
        <v>63.473901160007046</v>
      </c>
      <c r="AZ80" s="543">
        <f t="shared" ca="1" si="143"/>
        <v>12.329912183139422</v>
      </c>
      <c r="BA80" s="543">
        <f t="shared" ca="1" si="143"/>
        <v>229.03740912115728</v>
      </c>
      <c r="BB80" s="14">
        <f t="shared" ca="1" si="144"/>
        <v>22.558709978512947</v>
      </c>
      <c r="BC80" s="543">
        <f t="shared" ca="1" si="145"/>
        <v>195.92470752892726</v>
      </c>
      <c r="BD80" s="543">
        <f t="shared" ca="1" si="146"/>
        <v>40.915191181494095</v>
      </c>
      <c r="BE80" s="543">
        <f t="shared" ca="1" si="136"/>
        <v>132.45080636892021</v>
      </c>
      <c r="BF80" s="543"/>
      <c r="BG80" s="543"/>
      <c r="BH80" s="543"/>
      <c r="BI80" s="543"/>
      <c r="BJ80" s="543"/>
      <c r="BK80" s="543"/>
      <c r="BL80" s="543"/>
      <c r="BM80" s="543"/>
      <c r="BN80" s="543"/>
      <c r="BO80" s="953"/>
      <c r="BP80" s="342"/>
      <c r="BQ80" s="342"/>
      <c r="BR80" s="342"/>
      <c r="BS80" s="342"/>
      <c r="BT80" s="342"/>
      <c r="BU80" s="342"/>
      <c r="BV80" s="342"/>
      <c r="BW80" s="342"/>
      <c r="BX80" s="342"/>
      <c r="BY80" s="342"/>
      <c r="BZ80" s="342"/>
      <c r="CA80" s="342"/>
      <c r="CB80" s="342"/>
      <c r="CC80" s="342"/>
      <c r="CD80" s="342"/>
      <c r="CE80" s="342"/>
      <c r="CF80" s="342"/>
      <c r="CG80" s="342"/>
      <c r="CH80" s="342"/>
      <c r="CI80" s="342"/>
      <c r="CJ80" s="342"/>
      <c r="CK80" s="342"/>
      <c r="CL80" s="342"/>
      <c r="CM80" s="342"/>
      <c r="CN80" s="342"/>
      <c r="CO80" s="342"/>
      <c r="CP80" s="342"/>
      <c r="CQ80" s="342"/>
      <c r="CR80" s="342"/>
      <c r="CS80" s="342"/>
      <c r="CT80" s="342"/>
      <c r="CU80" s="342"/>
      <c r="CV80" s="342"/>
      <c r="CW80" s="342"/>
      <c r="CX80" s="342"/>
      <c r="CY80" s="342"/>
      <c r="CZ80" s="342"/>
      <c r="DA80" s="342"/>
      <c r="DB80" s="342"/>
      <c r="DC80" s="342"/>
      <c r="DD80" s="342"/>
      <c r="DE80" s="342"/>
      <c r="DF80" s="342"/>
      <c r="DG80" s="342"/>
      <c r="DH80" s="342"/>
      <c r="DI80" s="342"/>
      <c r="DJ80" s="342"/>
      <c r="DK80" s="342"/>
      <c r="DL80" s="342"/>
      <c r="DM80" s="342"/>
      <c r="DN80" s="342"/>
      <c r="DO80" s="342"/>
      <c r="DP80" s="342"/>
      <c r="DQ80" s="342"/>
      <c r="DR80" s="342"/>
      <c r="DS80" s="342"/>
      <c r="DT80" s="342"/>
      <c r="DU80" s="342"/>
      <c r="DV80" s="342"/>
      <c r="DW80" s="342"/>
      <c r="DX80" s="342"/>
      <c r="DY80" s="342"/>
      <c r="DZ80" s="342"/>
      <c r="EA80" s="342"/>
      <c r="EB80" s="342"/>
      <c r="EC80" s="645">
        <f t="shared" ca="1" si="147"/>
        <v>144.66899718413438</v>
      </c>
      <c r="ED80" s="543">
        <f t="shared" ca="1" si="147"/>
        <v>32.569206401743145</v>
      </c>
      <c r="EE80" s="543">
        <f t="shared" ca="1" si="147"/>
        <v>310.47400597306932</v>
      </c>
      <c r="EF80" s="14">
        <f t="shared" ca="1" si="148"/>
        <v>54.98916455822139</v>
      </c>
      <c r="EG80" s="543">
        <f t="shared" ca="1" si="149"/>
        <v>277.31300421528232</v>
      </c>
      <c r="EH80" s="543">
        <f t="shared" ca="1" si="150"/>
        <v>89.679832625912994</v>
      </c>
      <c r="EI80" s="543">
        <f t="shared" ca="1" si="151"/>
        <v>132.64400703114794</v>
      </c>
      <c r="EL80" s="645">
        <f t="shared" ca="1" si="152"/>
        <v>79.156789570146714</v>
      </c>
      <c r="EM80" s="798">
        <f t="shared" ca="1" si="137"/>
        <v>16.239145723993019</v>
      </c>
      <c r="EN80" s="892">
        <f t="shared" ca="1" si="138"/>
        <v>244.76694358159509</v>
      </c>
      <c r="EO80" s="892">
        <f t="shared" ca="1" si="139"/>
        <v>28.7788996563194</v>
      </c>
      <c r="EP80" s="892">
        <f t="shared" ca="1" si="140"/>
        <v>211.53505433114179</v>
      </c>
      <c r="EQ80" s="887">
        <f t="shared" ca="1" si="141"/>
        <v>50.268292249164482</v>
      </c>
      <c r="ER80" s="795">
        <f t="shared" ca="1" si="142"/>
        <v>132.48786242565791</v>
      </c>
      <c r="ES80" s="887"/>
      <c r="ET80" s="887"/>
      <c r="EU80" s="887"/>
      <c r="EV80" s="887"/>
    </row>
    <row r="81" spans="1:152" x14ac:dyDescent="0.25">
      <c r="A81" s="258" t="s">
        <v>84</v>
      </c>
      <c r="B81" s="9" t="s">
        <v>272</v>
      </c>
      <c r="C81" s="236" t="s">
        <v>369</v>
      </c>
      <c r="D81" s="342"/>
      <c r="E81" s="342"/>
      <c r="F81" s="342"/>
      <c r="G81" s="342"/>
      <c r="H81" s="342"/>
      <c r="I81" s="342"/>
      <c r="J81" s="342"/>
      <c r="K81" s="342"/>
      <c r="L81" s="342"/>
      <c r="M81" s="342"/>
      <c r="N81" s="342"/>
      <c r="O81" s="342"/>
      <c r="P81" s="342"/>
      <c r="Q81" s="342"/>
      <c r="R81" s="342"/>
      <c r="S81" s="342"/>
      <c r="T81" s="342"/>
      <c r="U81" s="342"/>
      <c r="V81" s="342"/>
      <c r="W81" s="342"/>
      <c r="X81" s="342"/>
      <c r="Y81" s="342"/>
      <c r="Z81" s="342"/>
      <c r="AA81" s="342"/>
      <c r="AB81" s="342"/>
      <c r="AC81" s="342"/>
      <c r="AD81" s="342"/>
      <c r="AE81" s="342"/>
      <c r="AF81" s="342"/>
      <c r="AG81" s="342"/>
      <c r="AH81" s="342"/>
      <c r="AI81" s="342"/>
      <c r="AJ81" s="342"/>
      <c r="AK81" s="342"/>
      <c r="AL81" s="342"/>
      <c r="AM81" s="342"/>
      <c r="AN81" s="342"/>
      <c r="AO81" s="342"/>
      <c r="AP81" s="342"/>
      <c r="AQ81" s="342"/>
      <c r="AR81" s="342"/>
      <c r="AS81" s="342"/>
      <c r="AT81" s="342"/>
      <c r="AU81" s="342"/>
      <c r="AV81" s="342"/>
      <c r="AW81" s="342"/>
      <c r="AX81" s="342"/>
      <c r="AY81" s="645">
        <f t="shared" ca="1" si="143"/>
        <v>817.86998013959521</v>
      </c>
      <c r="AZ81" s="543">
        <f t="shared" ca="1" si="143"/>
        <v>569.49996009399115</v>
      </c>
      <c r="BA81" s="543">
        <f t="shared" ca="1" si="143"/>
        <v>4587.4602376910007</v>
      </c>
      <c r="BB81" s="14">
        <f t="shared" ca="1" si="144"/>
        <v>619.17396410311198</v>
      </c>
      <c r="BC81" s="543">
        <f t="shared" ca="1" si="145"/>
        <v>3833.5421861807199</v>
      </c>
      <c r="BD81" s="543">
        <f t="shared" ca="1" si="146"/>
        <v>198.69601603648323</v>
      </c>
      <c r="BE81" s="543">
        <f t="shared" ca="1" si="136"/>
        <v>3015.6722060411248</v>
      </c>
      <c r="BF81" s="543"/>
      <c r="BG81" s="543"/>
      <c r="BH81" s="543"/>
      <c r="BI81" s="543"/>
      <c r="BJ81" s="543"/>
      <c r="BK81" s="543"/>
      <c r="BL81" s="543"/>
      <c r="BM81" s="543"/>
      <c r="BN81" s="543"/>
      <c r="BO81" s="953"/>
      <c r="BP81" s="342"/>
      <c r="BQ81" s="342"/>
      <c r="BR81" s="342"/>
      <c r="BS81" s="342"/>
      <c r="BT81" s="342"/>
      <c r="BU81" s="342"/>
      <c r="BV81" s="342"/>
      <c r="BW81" s="342"/>
      <c r="BX81" s="342"/>
      <c r="BY81" s="342"/>
      <c r="BZ81" s="342"/>
      <c r="CA81" s="342"/>
      <c r="CB81" s="342"/>
      <c r="CC81" s="342"/>
      <c r="CD81" s="342"/>
      <c r="CE81" s="342"/>
      <c r="CF81" s="342"/>
      <c r="CG81" s="342"/>
      <c r="CH81" s="342"/>
      <c r="CI81" s="342"/>
      <c r="CJ81" s="342"/>
      <c r="CK81" s="342"/>
      <c r="CL81" s="342"/>
      <c r="CM81" s="342"/>
      <c r="CN81" s="342"/>
      <c r="CO81" s="342"/>
      <c r="CP81" s="342"/>
      <c r="CQ81" s="342"/>
      <c r="CR81" s="342"/>
      <c r="CS81" s="342"/>
      <c r="CT81" s="342"/>
      <c r="CU81" s="342"/>
      <c r="CV81" s="342"/>
      <c r="CW81" s="342"/>
      <c r="CX81" s="342"/>
      <c r="CY81" s="342"/>
      <c r="CZ81" s="342"/>
      <c r="DA81" s="342"/>
      <c r="DB81" s="342"/>
      <c r="DC81" s="342"/>
      <c r="DD81" s="342"/>
      <c r="DE81" s="342"/>
      <c r="DF81" s="342"/>
      <c r="DG81" s="342"/>
      <c r="DH81" s="342"/>
      <c r="DI81" s="342"/>
      <c r="DJ81" s="342"/>
      <c r="DK81" s="342"/>
      <c r="DL81" s="342"/>
      <c r="DM81" s="342"/>
      <c r="DN81" s="342"/>
      <c r="DO81" s="342"/>
      <c r="DP81" s="342"/>
      <c r="DQ81" s="342"/>
      <c r="DR81" s="342"/>
      <c r="DS81" s="342"/>
      <c r="DT81" s="342"/>
      <c r="DU81" s="342"/>
      <c r="DV81" s="342"/>
      <c r="DW81" s="342"/>
      <c r="DX81" s="342"/>
      <c r="DY81" s="342"/>
      <c r="DZ81" s="342"/>
      <c r="EA81" s="342"/>
      <c r="EB81" s="342"/>
      <c r="EC81" s="645">
        <f t="shared" ca="1" si="147"/>
        <v>2598.2926119411236</v>
      </c>
      <c r="ED81" s="543">
        <f t="shared" ca="1" si="147"/>
        <v>392.52271619703686</v>
      </c>
      <c r="EE81" s="543">
        <f t="shared" ca="1" si="147"/>
        <v>3877.4638297872339</v>
      </c>
      <c r="EF81" s="14">
        <f t="shared" ca="1" si="148"/>
        <v>833.67669534585423</v>
      </c>
      <c r="EG81" s="543">
        <f t="shared" ca="1" si="149"/>
        <v>3621.6295862180123</v>
      </c>
      <c r="EH81" s="543">
        <f t="shared" ca="1" si="150"/>
        <v>1764.6159165952695</v>
      </c>
      <c r="EI81" s="543">
        <f t="shared" ca="1" si="151"/>
        <v>1023.3369742768887</v>
      </c>
      <c r="EL81" s="645">
        <f t="shared" ca="1" si="152"/>
        <v>1161.7598309396167</v>
      </c>
      <c r="EM81" s="798">
        <f t="shared" ca="1" si="137"/>
        <v>535.31668421800407</v>
      </c>
      <c r="EN81" s="892">
        <f t="shared" ca="1" si="138"/>
        <v>4450.3239452054786</v>
      </c>
      <c r="EO81" s="892">
        <f t="shared" ca="1" si="139"/>
        <v>660.31577639125135</v>
      </c>
      <c r="EP81" s="892">
        <f t="shared" ca="1" si="140"/>
        <v>3792.897163347463</v>
      </c>
      <c r="EQ81" s="887">
        <f t="shared" ca="1" si="141"/>
        <v>499.0408285887541</v>
      </c>
      <c r="ER81" s="795">
        <f t="shared" ca="1" si="142"/>
        <v>2633.5405583674574</v>
      </c>
      <c r="ES81" s="887"/>
      <c r="ET81" s="887"/>
      <c r="EU81" s="887"/>
      <c r="EV81" s="887"/>
    </row>
    <row r="82" spans="1:152" x14ac:dyDescent="0.25">
      <c r="A82" s="258" t="s">
        <v>28</v>
      </c>
      <c r="B82" s="9" t="s">
        <v>319</v>
      </c>
      <c r="C82" s="236" t="s">
        <v>422</v>
      </c>
      <c r="D82" s="342"/>
      <c r="E82" s="342"/>
      <c r="F82" s="342"/>
      <c r="G82" s="342"/>
      <c r="H82" s="342"/>
      <c r="I82" s="342"/>
      <c r="J82" s="342"/>
      <c r="K82" s="342"/>
      <c r="L82" s="342"/>
      <c r="M82" s="342"/>
      <c r="N82" s="342"/>
      <c r="O82" s="342"/>
      <c r="P82" s="342"/>
      <c r="Q82" s="342"/>
      <c r="R82" s="342"/>
      <c r="S82" s="342"/>
      <c r="T82" s="342"/>
      <c r="U82" s="342"/>
      <c r="V82" s="342"/>
      <c r="W82" s="342"/>
      <c r="X82" s="342"/>
      <c r="Y82" s="342"/>
      <c r="Z82" s="342"/>
      <c r="AA82" s="342"/>
      <c r="AB82" s="342"/>
      <c r="AC82" s="342"/>
      <c r="AD82" s="342"/>
      <c r="AE82" s="342"/>
      <c r="AF82" s="342"/>
      <c r="AG82" s="342"/>
      <c r="AH82" s="342"/>
      <c r="AI82" s="342"/>
      <c r="AJ82" s="342"/>
      <c r="AK82" s="342"/>
      <c r="AL82" s="342"/>
      <c r="AM82" s="342"/>
      <c r="AN82" s="342"/>
      <c r="AO82" s="342"/>
      <c r="AP82" s="342"/>
      <c r="AQ82" s="342"/>
      <c r="AR82" s="342"/>
      <c r="AS82" s="342"/>
      <c r="AT82" s="342"/>
      <c r="AU82" s="342"/>
      <c r="AV82" s="342"/>
      <c r="AW82" s="342"/>
      <c r="AX82" s="342"/>
      <c r="AY82" s="645">
        <f t="shared" ca="1" si="143"/>
        <v>638832.8051816317</v>
      </c>
      <c r="AZ82" s="543">
        <f t="shared" ca="1" si="143"/>
        <v>87848.870613680294</v>
      </c>
      <c r="BA82" s="543">
        <f t="shared" ca="1" si="143"/>
        <v>2196705.0289148972</v>
      </c>
      <c r="BB82" s="14">
        <f t="shared" ca="1" si="144"/>
        <v>198045.65752727058</v>
      </c>
      <c r="BC82" s="543">
        <f t="shared" ca="1" si="145"/>
        <v>1885130.5841682442</v>
      </c>
      <c r="BD82" s="543">
        <f t="shared" ca="1" si="146"/>
        <v>440787.14765436109</v>
      </c>
      <c r="BE82" s="543">
        <f t="shared" ca="1" si="136"/>
        <v>1246297.7789866123</v>
      </c>
      <c r="BF82" s="543"/>
      <c r="BG82" s="543"/>
      <c r="BH82" s="543"/>
      <c r="BI82" s="543"/>
      <c r="BJ82" s="543"/>
      <c r="BK82" s="543"/>
      <c r="BL82" s="543"/>
      <c r="BM82" s="543"/>
      <c r="BN82" s="543"/>
      <c r="BO82" s="953"/>
      <c r="BP82" s="342"/>
      <c r="BQ82" s="342"/>
      <c r="BR82" s="342"/>
      <c r="BS82" s="342"/>
      <c r="BT82" s="342"/>
      <c r="BU82" s="342"/>
      <c r="BV82" s="342"/>
      <c r="BW82" s="342"/>
      <c r="BX82" s="342"/>
      <c r="BY82" s="342"/>
      <c r="BZ82" s="342"/>
      <c r="CA82" s="342"/>
      <c r="CB82" s="342"/>
      <c r="CC82" s="342"/>
      <c r="CD82" s="342"/>
      <c r="CE82" s="342"/>
      <c r="CF82" s="342"/>
      <c r="CG82" s="342"/>
      <c r="CH82" s="342"/>
      <c r="CI82" s="342"/>
      <c r="CJ82" s="342"/>
      <c r="CK82" s="342"/>
      <c r="CL82" s="342"/>
      <c r="CM82" s="342"/>
      <c r="CN82" s="342"/>
      <c r="CO82" s="342"/>
      <c r="CP82" s="342"/>
      <c r="CQ82" s="342"/>
      <c r="CR82" s="342"/>
      <c r="CS82" s="342"/>
      <c r="CT82" s="342"/>
      <c r="CU82" s="342"/>
      <c r="CV82" s="342"/>
      <c r="CW82" s="342"/>
      <c r="CX82" s="342"/>
      <c r="CY82" s="342"/>
      <c r="CZ82" s="342"/>
      <c r="DA82" s="342"/>
      <c r="DB82" s="342"/>
      <c r="DC82" s="342"/>
      <c r="DD82" s="342"/>
      <c r="DE82" s="342"/>
      <c r="DF82" s="342"/>
      <c r="DG82" s="342"/>
      <c r="DH82" s="342"/>
      <c r="DI82" s="342"/>
      <c r="DJ82" s="342"/>
      <c r="DK82" s="342"/>
      <c r="DL82" s="342"/>
      <c r="DM82" s="342"/>
      <c r="DN82" s="342"/>
      <c r="DO82" s="342"/>
      <c r="DP82" s="342"/>
      <c r="DQ82" s="342"/>
      <c r="DR82" s="342"/>
      <c r="DS82" s="342"/>
      <c r="DT82" s="342"/>
      <c r="DU82" s="342"/>
      <c r="DV82" s="342"/>
      <c r="DW82" s="342"/>
      <c r="DX82" s="342"/>
      <c r="DY82" s="342"/>
      <c r="DZ82" s="342"/>
      <c r="EA82" s="342"/>
      <c r="EB82" s="342"/>
      <c r="EC82" s="645">
        <f t="shared" ca="1" si="147"/>
        <v>1083378.236029218</v>
      </c>
      <c r="ED82" s="543">
        <f t="shared" ca="1" si="147"/>
        <v>122061.86521674925</v>
      </c>
      <c r="EE82" s="543">
        <f t="shared" ca="1" si="147"/>
        <v>1734983.9999999995</v>
      </c>
      <c r="EF82" s="14">
        <f t="shared" ca="1" si="148"/>
        <v>314325.13937924302</v>
      </c>
      <c r="EG82" s="543">
        <f t="shared" ca="1" si="149"/>
        <v>1604662.8472058433</v>
      </c>
      <c r="EH82" s="543">
        <f t="shared" ca="1" si="150"/>
        <v>769053.09664997493</v>
      </c>
      <c r="EI82" s="543">
        <f t="shared" ca="1" si="151"/>
        <v>521284.61117662536</v>
      </c>
      <c r="EL82" s="645">
        <f t="shared" ca="1" si="152"/>
        <v>724697.05963301484</v>
      </c>
      <c r="EM82" s="798">
        <f t="shared" ca="1" si="137"/>
        <v>94457.133954821024</v>
      </c>
      <c r="EN82" s="892">
        <f t="shared" ca="1" si="138"/>
        <v>2107523.2959327046</v>
      </c>
      <c r="EO82" s="892">
        <f t="shared" ca="1" si="139"/>
        <v>220348.16429536484</v>
      </c>
      <c r="EP82" s="892">
        <f t="shared" ca="1" si="140"/>
        <v>1831336.6258343137</v>
      </c>
      <c r="EQ82" s="887">
        <f t="shared" ca="1" si="141"/>
        <v>503748.84504590638</v>
      </c>
      <c r="ER82" s="795">
        <f t="shared" ca="1" si="142"/>
        <v>1107239.6164930423</v>
      </c>
      <c r="ES82" s="887"/>
      <c r="ET82" s="887"/>
      <c r="EU82" s="887"/>
      <c r="EV82" s="887"/>
    </row>
    <row r="83" spans="1:152" x14ac:dyDescent="0.25">
      <c r="A83" s="258" t="s">
        <v>86</v>
      </c>
      <c r="B83" s="9" t="s">
        <v>323</v>
      </c>
      <c r="C83" s="236" t="s">
        <v>422</v>
      </c>
      <c r="D83" s="342"/>
      <c r="E83" s="342"/>
      <c r="F83" s="342"/>
      <c r="G83" s="342"/>
      <c r="H83" s="342"/>
      <c r="I83" s="342"/>
      <c r="J83" s="342"/>
      <c r="K83" s="342"/>
      <c r="L83" s="342"/>
      <c r="M83" s="342"/>
      <c r="N83" s="342"/>
      <c r="O83" s="342"/>
      <c r="P83" s="342"/>
      <c r="Q83" s="342"/>
      <c r="R83" s="342"/>
      <c r="S83" s="342"/>
      <c r="T83" s="342"/>
      <c r="U83" s="342"/>
      <c r="V83" s="342"/>
      <c r="W83" s="342"/>
      <c r="X83" s="342"/>
      <c r="Y83" s="342"/>
      <c r="Z83" s="342"/>
      <c r="AA83" s="342"/>
      <c r="AB83" s="342"/>
      <c r="AC83" s="342"/>
      <c r="AD83" s="342"/>
      <c r="AE83" s="342"/>
      <c r="AF83" s="342"/>
      <c r="AG83" s="342"/>
      <c r="AH83" s="342"/>
      <c r="AI83" s="342"/>
      <c r="AJ83" s="342"/>
      <c r="AK83" s="342"/>
      <c r="AL83" s="342"/>
      <c r="AM83" s="342"/>
      <c r="AN83" s="342"/>
      <c r="AO83" s="342"/>
      <c r="AP83" s="342"/>
      <c r="AQ83" s="342"/>
      <c r="AR83" s="342"/>
      <c r="AS83" s="342"/>
      <c r="AT83" s="342"/>
      <c r="AU83" s="342"/>
      <c r="AV83" s="342"/>
      <c r="AW83" s="342"/>
      <c r="AX83" s="342"/>
      <c r="AY83" s="645">
        <f t="shared" ca="1" si="143"/>
        <v>1060280.5026510479</v>
      </c>
      <c r="AZ83" s="543">
        <f t="shared" ca="1" si="143"/>
        <v>79487.999999999985</v>
      </c>
      <c r="BA83" s="543">
        <f t="shared" ca="1" si="143"/>
        <v>2323125.8514069873</v>
      </c>
      <c r="BB83" s="14">
        <f t="shared" ca="1" si="144"/>
        <v>275646.50053020963</v>
      </c>
      <c r="BC83" s="543">
        <f t="shared" ca="1" si="145"/>
        <v>2070556.7816557996</v>
      </c>
      <c r="BD83" s="543">
        <f t="shared" ca="1" si="146"/>
        <v>784634.00212083827</v>
      </c>
      <c r="BE83" s="543">
        <f t="shared" ca="1" si="136"/>
        <v>1010276.2790047517</v>
      </c>
      <c r="BF83" s="543"/>
      <c r="BG83" s="543"/>
      <c r="BH83" s="543"/>
      <c r="BI83" s="543"/>
      <c r="BJ83" s="543"/>
      <c r="BK83" s="543"/>
      <c r="BL83" s="543"/>
      <c r="BM83" s="543"/>
      <c r="BN83" s="543"/>
      <c r="BO83" s="953"/>
      <c r="BP83" s="342"/>
      <c r="BQ83" s="342"/>
      <c r="BR83" s="342"/>
      <c r="BS83" s="342"/>
      <c r="BT83" s="342"/>
      <c r="BU83" s="342"/>
      <c r="BV83" s="342"/>
      <c r="BW83" s="342"/>
      <c r="BX83" s="342"/>
      <c r="BY83" s="342"/>
      <c r="BZ83" s="342"/>
      <c r="CA83" s="342"/>
      <c r="CB83" s="342"/>
      <c r="CC83" s="342"/>
      <c r="CD83" s="342"/>
      <c r="CE83" s="342"/>
      <c r="CF83" s="342"/>
      <c r="CG83" s="342"/>
      <c r="CH83" s="342"/>
      <c r="CI83" s="342"/>
      <c r="CJ83" s="342"/>
      <c r="CK83" s="342"/>
      <c r="CL83" s="342"/>
      <c r="CM83" s="342"/>
      <c r="CN83" s="342"/>
      <c r="CO83" s="342"/>
      <c r="CP83" s="342"/>
      <c r="CQ83" s="342"/>
      <c r="CR83" s="342"/>
      <c r="CS83" s="342"/>
      <c r="CT83" s="342"/>
      <c r="CU83" s="342"/>
      <c r="CV83" s="342"/>
      <c r="CW83" s="342"/>
      <c r="CX83" s="342"/>
      <c r="CY83" s="342"/>
      <c r="CZ83" s="342"/>
      <c r="DA83" s="342"/>
      <c r="DB83" s="342"/>
      <c r="DC83" s="342"/>
      <c r="DD83" s="342"/>
      <c r="DE83" s="342"/>
      <c r="DF83" s="342"/>
      <c r="DG83" s="342"/>
      <c r="DH83" s="342"/>
      <c r="DI83" s="342"/>
      <c r="DJ83" s="342"/>
      <c r="DK83" s="342"/>
      <c r="DL83" s="342"/>
      <c r="DM83" s="342"/>
      <c r="DN83" s="342"/>
      <c r="DO83" s="342"/>
      <c r="DP83" s="342"/>
      <c r="DQ83" s="342"/>
      <c r="DR83" s="342"/>
      <c r="DS83" s="342"/>
      <c r="DT83" s="342"/>
      <c r="DU83" s="342"/>
      <c r="DV83" s="342"/>
      <c r="DW83" s="342"/>
      <c r="DX83" s="342"/>
      <c r="DY83" s="342"/>
      <c r="DZ83" s="342"/>
      <c r="EA83" s="342"/>
      <c r="EB83" s="342"/>
      <c r="EC83" s="645">
        <f t="shared" ca="1" si="147"/>
        <v>1511602.8643979887</v>
      </c>
      <c r="ED83" s="543">
        <f t="shared" ca="1" si="147"/>
        <v>780165.33776065358</v>
      </c>
      <c r="EE83" s="543">
        <f t="shared" ca="1" si="147"/>
        <v>2021200.6247474719</v>
      </c>
      <c r="EF83" s="14">
        <f t="shared" ca="1" si="148"/>
        <v>926452.84308812069</v>
      </c>
      <c r="EG83" s="543">
        <f t="shared" ca="1" si="149"/>
        <v>1919281.0726775753</v>
      </c>
      <c r="EH83" s="543">
        <f t="shared" ca="1" si="150"/>
        <v>585150.02130986797</v>
      </c>
      <c r="EI83" s="543">
        <f t="shared" ca="1" si="151"/>
        <v>407678.20827958663</v>
      </c>
      <c r="EL83" s="645">
        <f t="shared" ca="1" si="152"/>
        <v>1147453.7259473747</v>
      </c>
      <c r="EM83" s="798">
        <f t="shared" ca="1" si="137"/>
        <v>214824.30770445499</v>
      </c>
      <c r="EN83" s="892">
        <f t="shared" ca="1" si="138"/>
        <v>2264808.7870796015</v>
      </c>
      <c r="EO83" s="892">
        <f t="shared" ca="1" si="139"/>
        <v>400471.72875141952</v>
      </c>
      <c r="EP83" s="892">
        <f t="shared" ca="1" si="140"/>
        <v>2041541.9677814993</v>
      </c>
      <c r="EQ83" s="887">
        <f t="shared" ca="1" si="141"/>
        <v>746372.79935914406</v>
      </c>
      <c r="ER83" s="795">
        <f t="shared" ca="1" si="142"/>
        <v>894697.43967093527</v>
      </c>
      <c r="ES83" s="887"/>
      <c r="ET83" s="887"/>
      <c r="EU83" s="887"/>
      <c r="EV83" s="887"/>
    </row>
    <row r="84" spans="1:152" x14ac:dyDescent="0.25">
      <c r="A84" s="258" t="s">
        <v>3</v>
      </c>
      <c r="B84" s="9" t="s">
        <v>3</v>
      </c>
      <c r="C84" s="236" t="s">
        <v>396</v>
      </c>
      <c r="D84" s="342"/>
      <c r="E84" s="342"/>
      <c r="F84" s="342"/>
      <c r="G84" s="342"/>
      <c r="H84" s="342"/>
      <c r="I84" s="342"/>
      <c r="J84" s="342"/>
      <c r="K84" s="342"/>
      <c r="L84" s="342"/>
      <c r="M84" s="342"/>
      <c r="N84" s="342"/>
      <c r="O84" s="342"/>
      <c r="P84" s="342"/>
      <c r="Q84" s="342"/>
      <c r="R84" s="342"/>
      <c r="S84" s="342"/>
      <c r="T84" s="342"/>
      <c r="U84" s="342"/>
      <c r="V84" s="342"/>
      <c r="W84" s="342"/>
      <c r="X84" s="342"/>
      <c r="Y84" s="342"/>
      <c r="Z84" s="342"/>
      <c r="AA84" s="342"/>
      <c r="AB84" s="342"/>
      <c r="AC84" s="342"/>
      <c r="AD84" s="342"/>
      <c r="AE84" s="342"/>
      <c r="AF84" s="342"/>
      <c r="AG84" s="342"/>
      <c r="AH84" s="342"/>
      <c r="AI84" s="342"/>
      <c r="AJ84" s="342"/>
      <c r="AK84" s="342"/>
      <c r="AL84" s="342"/>
      <c r="AM84" s="342"/>
      <c r="AN84" s="342"/>
      <c r="AO84" s="342"/>
      <c r="AP84" s="342"/>
      <c r="AQ84" s="342"/>
      <c r="AR84" s="342"/>
      <c r="AS84" s="342"/>
      <c r="AT84" s="342"/>
      <c r="AU84" s="342"/>
      <c r="AV84" s="342"/>
      <c r="AW84" s="342"/>
      <c r="AX84" s="342"/>
      <c r="AY84" s="645">
        <f t="shared" ca="1" si="143"/>
        <v>91221.709805785125</v>
      </c>
      <c r="AZ84" s="543">
        <f t="shared" ca="1" si="143"/>
        <v>10575.624844162328</v>
      </c>
      <c r="BA84" s="543">
        <f t="shared" ca="1" si="143"/>
        <v>267882.69723331765</v>
      </c>
      <c r="BB84" s="14">
        <f t="shared" ca="1" si="144"/>
        <v>26704.841836486885</v>
      </c>
      <c r="BC84" s="543">
        <f t="shared" ca="1" si="145"/>
        <v>232550.49974781115</v>
      </c>
      <c r="BD84" s="543">
        <f t="shared" ca="1" si="146"/>
        <v>64516.86796929824</v>
      </c>
      <c r="BE84" s="543">
        <f t="shared" ca="1" si="136"/>
        <v>141328.78994202602</v>
      </c>
      <c r="BF84" s="543"/>
      <c r="BG84" s="543"/>
      <c r="BH84" s="543"/>
      <c r="BI84" s="543"/>
      <c r="BJ84" s="543"/>
      <c r="BK84" s="543"/>
      <c r="BL84" s="543"/>
      <c r="BM84" s="543"/>
      <c r="BN84" s="543"/>
      <c r="BO84" s="953"/>
      <c r="BP84" s="342"/>
      <c r="BQ84" s="342"/>
      <c r="BR84" s="342"/>
      <c r="BS84" s="342"/>
      <c r="BT84" s="342"/>
      <c r="BU84" s="342"/>
      <c r="BV84" s="342"/>
      <c r="BW84" s="342"/>
      <c r="BX84" s="342"/>
      <c r="BY84" s="342"/>
      <c r="BZ84" s="342"/>
      <c r="CA84" s="342"/>
      <c r="CB84" s="342"/>
      <c r="CC84" s="342"/>
      <c r="CD84" s="342"/>
      <c r="CE84" s="342"/>
      <c r="CF84" s="342"/>
      <c r="CG84" s="342"/>
      <c r="CH84" s="342"/>
      <c r="CI84" s="342"/>
      <c r="CJ84" s="342"/>
      <c r="CK84" s="342"/>
      <c r="CL84" s="342"/>
      <c r="CM84" s="342"/>
      <c r="CN84" s="342"/>
      <c r="CO84" s="342"/>
      <c r="CP84" s="342"/>
      <c r="CQ84" s="342"/>
      <c r="CR84" s="342"/>
      <c r="CS84" s="342"/>
      <c r="CT84" s="342"/>
      <c r="CU84" s="342"/>
      <c r="CV84" s="342"/>
      <c r="CW84" s="342"/>
      <c r="CX84" s="342"/>
      <c r="CY84" s="342"/>
      <c r="CZ84" s="342"/>
      <c r="DA84" s="342"/>
      <c r="DB84" s="342"/>
      <c r="DC84" s="342"/>
      <c r="DD84" s="342"/>
      <c r="DE84" s="342"/>
      <c r="DF84" s="342"/>
      <c r="DG84" s="342"/>
      <c r="DH84" s="342"/>
      <c r="DI84" s="342"/>
      <c r="DJ84" s="342"/>
      <c r="DK84" s="342"/>
      <c r="DL84" s="342"/>
      <c r="DM84" s="342"/>
      <c r="DN84" s="342"/>
      <c r="DO84" s="342"/>
      <c r="DP84" s="342"/>
      <c r="DQ84" s="342"/>
      <c r="DR84" s="342"/>
      <c r="DS84" s="342"/>
      <c r="DT84" s="342"/>
      <c r="DU84" s="342"/>
      <c r="DV84" s="342"/>
      <c r="DW84" s="342"/>
      <c r="DX84" s="342"/>
      <c r="DY84" s="342"/>
      <c r="DZ84" s="342"/>
      <c r="EA84" s="342"/>
      <c r="EB84" s="342"/>
      <c r="EC84" s="645">
        <f t="shared" ca="1" si="147"/>
        <v>216976.90315908345</v>
      </c>
      <c r="ED84" s="543">
        <f t="shared" ca="1" si="147"/>
        <v>40885.00234515479</v>
      </c>
      <c r="EE84" s="543">
        <f t="shared" ca="1" si="147"/>
        <v>1067615.0013336618</v>
      </c>
      <c r="EF84" s="14">
        <f t="shared" ca="1" si="148"/>
        <v>76103.382507940521</v>
      </c>
      <c r="EG84" s="543">
        <f t="shared" ca="1" si="149"/>
        <v>897487.38169874623</v>
      </c>
      <c r="EH84" s="543">
        <f t="shared" ca="1" si="150"/>
        <v>140873.52065114293</v>
      </c>
      <c r="EI84" s="543">
        <f t="shared" ca="1" si="151"/>
        <v>680510.47853966278</v>
      </c>
      <c r="EL84" s="645">
        <f t="shared" ca="1" si="152"/>
        <v>115511.41153566878</v>
      </c>
      <c r="EM84" s="798">
        <f t="shared" ca="1" si="137"/>
        <v>16429.901868326626</v>
      </c>
      <c r="EN84" s="892">
        <f t="shared" ca="1" si="138"/>
        <v>422351.53953215131</v>
      </c>
      <c r="EO84" s="892">
        <f t="shared" ca="1" si="139"/>
        <v>36179.525332768622</v>
      </c>
      <c r="EP84" s="892">
        <f t="shared" ca="1" si="140"/>
        <v>360085.97783796123</v>
      </c>
      <c r="EQ84" s="887">
        <f t="shared" ca="1" si="141"/>
        <v>79162.141031262596</v>
      </c>
      <c r="ER84" s="795">
        <f t="shared" ca="1" si="142"/>
        <v>244744.31147393002</v>
      </c>
      <c r="ES84" s="887"/>
      <c r="ET84" s="887"/>
      <c r="EU84" s="887"/>
      <c r="EV84" s="887"/>
    </row>
    <row r="85" spans="1:152" x14ac:dyDescent="0.25">
      <c r="A85" s="258" t="s">
        <v>324</v>
      </c>
      <c r="B85" s="9" t="s">
        <v>318</v>
      </c>
      <c r="C85" s="236" t="s">
        <v>423</v>
      </c>
      <c r="D85" s="344"/>
      <c r="E85" s="342"/>
      <c r="F85" s="342"/>
      <c r="G85" s="342"/>
      <c r="H85" s="344"/>
      <c r="I85" s="342"/>
      <c r="J85" s="342"/>
      <c r="K85" s="342"/>
      <c r="L85" s="342"/>
      <c r="M85" s="342"/>
      <c r="N85" s="342"/>
      <c r="O85" s="342"/>
      <c r="P85" s="342"/>
      <c r="Q85" s="342"/>
      <c r="R85" s="342"/>
      <c r="S85" s="342"/>
      <c r="T85" s="342"/>
      <c r="U85" s="342"/>
      <c r="V85" s="342"/>
      <c r="W85" s="342"/>
      <c r="X85" s="342"/>
      <c r="Y85" s="342"/>
      <c r="Z85" s="342"/>
      <c r="AA85" s="342"/>
      <c r="AB85" s="342"/>
      <c r="AC85" s="342"/>
      <c r="AD85" s="342"/>
      <c r="AE85" s="342"/>
      <c r="AF85" s="342"/>
      <c r="AG85" s="342"/>
      <c r="AH85" s="342"/>
      <c r="AI85" s="342"/>
      <c r="AJ85" s="342"/>
      <c r="AK85" s="342"/>
      <c r="AL85" s="342"/>
      <c r="AM85" s="342"/>
      <c r="AN85" s="342"/>
      <c r="AO85" s="342"/>
      <c r="AP85" s="342"/>
      <c r="AQ85" s="342"/>
      <c r="AR85" s="342"/>
      <c r="AS85" s="342"/>
      <c r="AT85" s="342"/>
      <c r="AU85" s="342"/>
      <c r="AV85" s="342"/>
      <c r="AW85" s="342"/>
      <c r="AX85" s="342"/>
      <c r="AY85" s="645">
        <f t="shared" ca="1" si="143"/>
        <v>10.690109023584879</v>
      </c>
      <c r="AZ85" s="543">
        <f t="shared" ca="1" si="143"/>
        <v>1.5614035087719296</v>
      </c>
      <c r="BA85" s="543">
        <f t="shared" ca="1" si="143"/>
        <v>29.010399888989348</v>
      </c>
      <c r="BB85" s="14">
        <f t="shared" ca="1" si="144"/>
        <v>3.3871446117345196</v>
      </c>
      <c r="BC85" s="543">
        <f t="shared" ca="1" si="145"/>
        <v>25.346341715908459</v>
      </c>
      <c r="BD85" s="543">
        <f t="shared" ca="1" si="146"/>
        <v>7.3029644118503594</v>
      </c>
      <c r="BE85" s="543">
        <f t="shared" ca="1" si="136"/>
        <v>14.656232692323579</v>
      </c>
      <c r="BF85" s="543"/>
      <c r="BG85" s="543"/>
      <c r="BH85" s="543"/>
      <c r="BI85" s="543"/>
      <c r="BJ85" s="543"/>
      <c r="BK85" s="543"/>
      <c r="BL85" s="543"/>
      <c r="BM85" s="543"/>
      <c r="BN85" s="543"/>
      <c r="BO85" s="953"/>
      <c r="BP85" s="342"/>
      <c r="BQ85" s="342"/>
      <c r="BR85" s="342"/>
      <c r="BS85" s="342"/>
      <c r="BT85" s="342"/>
      <c r="BU85" s="342"/>
      <c r="BV85" s="342"/>
      <c r="BW85" s="342"/>
      <c r="BX85" s="342"/>
      <c r="BY85" s="342"/>
      <c r="BZ85" s="342"/>
      <c r="CA85" s="342"/>
      <c r="CB85" s="342"/>
      <c r="CC85" s="342"/>
      <c r="CD85" s="342"/>
      <c r="CE85" s="342"/>
      <c r="CF85" s="342"/>
      <c r="CG85" s="342"/>
      <c r="CH85" s="342"/>
      <c r="CI85" s="342"/>
      <c r="CJ85" s="342"/>
      <c r="CK85" s="342"/>
      <c r="CL85" s="342"/>
      <c r="CM85" s="342"/>
      <c r="CN85" s="342"/>
      <c r="CO85" s="342"/>
      <c r="CP85" s="342"/>
      <c r="CQ85" s="342"/>
      <c r="CR85" s="342"/>
      <c r="CS85" s="342"/>
      <c r="CT85" s="342"/>
      <c r="CU85" s="342"/>
      <c r="CV85" s="342"/>
      <c r="CW85" s="342"/>
      <c r="CX85" s="342"/>
      <c r="CY85" s="342"/>
      <c r="CZ85" s="342"/>
      <c r="DA85" s="342"/>
      <c r="DB85" s="342"/>
      <c r="DC85" s="342"/>
      <c r="DD85" s="342"/>
      <c r="DE85" s="342"/>
      <c r="DF85" s="342"/>
      <c r="DG85" s="342"/>
      <c r="DH85" s="342"/>
      <c r="DI85" s="342"/>
      <c r="DJ85" s="342"/>
      <c r="DK85" s="342"/>
      <c r="DL85" s="342"/>
      <c r="DM85" s="342"/>
      <c r="DN85" s="342"/>
      <c r="DO85" s="342"/>
      <c r="DP85" s="342"/>
      <c r="DQ85" s="342"/>
      <c r="DR85" s="342"/>
      <c r="DS85" s="342"/>
      <c r="DT85" s="342"/>
      <c r="DU85" s="342"/>
      <c r="DV85" s="342"/>
      <c r="DW85" s="342"/>
      <c r="DX85" s="342"/>
      <c r="DY85" s="342"/>
      <c r="DZ85" s="342"/>
      <c r="EA85" s="342"/>
      <c r="EB85" s="342"/>
      <c r="EC85" s="645">
        <f t="shared" ca="1" si="147"/>
        <v>7.1076022792989635</v>
      </c>
      <c r="ED85" s="543">
        <f t="shared" ca="1" si="147"/>
        <v>1.6568526033734807</v>
      </c>
      <c r="EE85" s="543">
        <f t="shared" ca="1" si="147"/>
        <v>10.399387473657285</v>
      </c>
      <c r="EF85" s="14">
        <f t="shared" ca="1" si="148"/>
        <v>2.7470025385585775</v>
      </c>
      <c r="EG85" s="543">
        <f t="shared" ca="1" si="149"/>
        <v>9.7410304347856211</v>
      </c>
      <c r="EH85" s="543">
        <f t="shared" ca="1" si="150"/>
        <v>4.360599740740386</v>
      </c>
      <c r="EI85" s="543">
        <f t="shared" ca="1" si="151"/>
        <v>2.6334281554866577</v>
      </c>
      <c r="EL85" s="645">
        <f t="shared" ca="1" si="152"/>
        <v>9.9981453921543135</v>
      </c>
      <c r="EM85" s="798">
        <f t="shared" ca="1" si="137"/>
        <v>1.5798395667703113</v>
      </c>
      <c r="EN85" s="892">
        <f t="shared" ca="1" si="138"/>
        <v>25.415670093699184</v>
      </c>
      <c r="EO85" s="892">
        <f t="shared" ca="1" si="139"/>
        <v>3.2643647997490897</v>
      </c>
      <c r="EP85" s="892">
        <f t="shared" ca="1" si="140"/>
        <v>22.353229303277285</v>
      </c>
      <c r="EQ85" s="887">
        <f t="shared" ca="1" si="141"/>
        <v>6.7386162831308773</v>
      </c>
      <c r="ER85" s="795">
        <f t="shared" ca="1" si="142"/>
        <v>12.350248220397317</v>
      </c>
      <c r="ES85" s="887"/>
      <c r="ET85" s="887"/>
      <c r="EU85" s="887"/>
      <c r="EV85" s="887"/>
    </row>
    <row r="86" spans="1:152" x14ac:dyDescent="0.25">
      <c r="A86" s="9" t="s">
        <v>373</v>
      </c>
      <c r="B86" s="9" t="s">
        <v>402</v>
      </c>
      <c r="C86" s="236" t="s">
        <v>423</v>
      </c>
      <c r="D86" s="118"/>
      <c r="E86" s="118"/>
      <c r="F86" s="118"/>
      <c r="G86" s="118"/>
      <c r="H86" s="118"/>
      <c r="I86" s="118"/>
      <c r="J86" s="118"/>
      <c r="K86" s="118"/>
      <c r="L86" s="118"/>
      <c r="M86" s="118"/>
      <c r="N86" s="118"/>
      <c r="O86" s="118"/>
      <c r="P86" s="118"/>
      <c r="Q86" s="118"/>
      <c r="R86" s="118"/>
      <c r="S86" s="342"/>
      <c r="T86" s="940"/>
      <c r="U86" s="342"/>
      <c r="V86" s="118"/>
      <c r="W86" s="342"/>
      <c r="X86" s="342"/>
      <c r="Y86" s="342"/>
      <c r="Z86" s="342"/>
      <c r="AA86" s="342"/>
      <c r="AB86" s="342"/>
      <c r="AC86" s="342"/>
      <c r="AD86" s="342"/>
      <c r="AE86" s="342"/>
      <c r="AF86" s="342"/>
      <c r="AG86" s="342"/>
      <c r="AH86" s="342"/>
      <c r="AI86" s="342"/>
      <c r="AJ86" s="342"/>
      <c r="AK86" s="342"/>
      <c r="AL86" s="342"/>
      <c r="AM86" s="342"/>
      <c r="AN86" s="342"/>
      <c r="AO86" s="342"/>
      <c r="AP86" s="342"/>
      <c r="AQ86" s="342"/>
      <c r="AR86" s="342"/>
      <c r="AS86" s="342"/>
      <c r="AT86" s="342"/>
      <c r="AU86" s="342"/>
      <c r="AV86" s="342"/>
      <c r="AW86" s="342"/>
      <c r="AX86" s="342"/>
      <c r="AY86" s="992">
        <f t="shared" ca="1" si="143"/>
        <v>0.44495840011230475</v>
      </c>
      <c r="AZ86" s="878">
        <f t="shared" ca="1" si="143"/>
        <v>0.24191753695291163</v>
      </c>
      <c r="BA86" s="543">
        <f t="shared" ca="1" si="143"/>
        <v>0.88494403629728691</v>
      </c>
      <c r="BB86" s="14">
        <f t="shared" ca="1" si="144"/>
        <v>0.28252570958479029</v>
      </c>
      <c r="BC86" s="543">
        <f t="shared" ca="1" si="145"/>
        <v>0.79694690906029053</v>
      </c>
      <c r="BD86" s="878">
        <f t="shared" ca="1" si="146"/>
        <v>0.16243269052751447</v>
      </c>
      <c r="BE86" s="878">
        <f t="shared" ca="1" si="136"/>
        <v>0.35198850894798578</v>
      </c>
      <c r="BF86" s="878"/>
      <c r="BG86" s="878"/>
      <c r="BH86" s="878"/>
      <c r="BI86" s="878"/>
      <c r="BJ86" s="878"/>
      <c r="BK86" s="878"/>
      <c r="BL86" s="878"/>
      <c r="BM86" s="878"/>
      <c r="BN86" s="878"/>
      <c r="BO86" s="954"/>
      <c r="BP86" s="342"/>
      <c r="BQ86" s="342"/>
      <c r="BR86" s="342"/>
      <c r="BS86" s="342"/>
      <c r="BT86" s="342"/>
      <c r="BU86" s="342"/>
      <c r="BV86" s="342"/>
      <c r="BW86" s="342"/>
      <c r="BX86" s="342"/>
      <c r="BY86" s="342"/>
      <c r="BZ86" s="342"/>
      <c r="CA86" s="342"/>
      <c r="CB86" s="342"/>
      <c r="CC86" s="342"/>
      <c r="CD86" s="342"/>
      <c r="CE86" s="342"/>
      <c r="CF86" s="342"/>
      <c r="CG86" s="342"/>
      <c r="CH86" s="342"/>
      <c r="CI86" s="342"/>
      <c r="CJ86" s="342"/>
      <c r="CK86" s="342"/>
      <c r="CL86" s="342"/>
      <c r="CM86" s="342"/>
      <c r="CN86" s="342"/>
      <c r="CO86" s="342"/>
      <c r="CP86" s="342"/>
      <c r="CQ86" s="342"/>
      <c r="CR86" s="342"/>
      <c r="CS86" s="342"/>
      <c r="CT86" s="342"/>
      <c r="CU86" s="342"/>
      <c r="CV86" s="342"/>
      <c r="CW86" s="342"/>
      <c r="CX86" s="342"/>
      <c r="CY86" s="342"/>
      <c r="CZ86" s="342"/>
      <c r="DA86" s="342"/>
      <c r="DB86" s="342"/>
      <c r="DC86" s="342"/>
      <c r="DD86" s="342"/>
      <c r="DE86" s="342"/>
      <c r="DF86" s="342"/>
      <c r="DG86" s="342"/>
      <c r="DH86" s="342"/>
      <c r="DI86" s="342"/>
      <c r="DJ86" s="342"/>
      <c r="DK86" s="342"/>
      <c r="DL86" s="342"/>
      <c r="DM86" s="342"/>
      <c r="DN86" s="342"/>
      <c r="DO86" s="342"/>
      <c r="DP86" s="342"/>
      <c r="DQ86" s="342"/>
      <c r="DR86" s="342"/>
      <c r="DS86" s="342"/>
      <c r="DT86" s="342"/>
      <c r="DU86" s="342"/>
      <c r="DV86" s="342"/>
      <c r="DW86" s="342"/>
      <c r="DX86" s="342"/>
      <c r="DY86" s="342"/>
      <c r="DZ86" s="342"/>
      <c r="EA86" s="342"/>
      <c r="EB86" s="342"/>
      <c r="EC86" s="645">
        <f t="shared" ca="1" si="147"/>
        <v>1.6539842281407462</v>
      </c>
      <c r="ED86" s="543">
        <f t="shared" ca="1" si="147"/>
        <v>0.32879665437162053</v>
      </c>
      <c r="EE86" s="543">
        <f t="shared" ca="1" si="147"/>
        <v>3.8879999999999999</v>
      </c>
      <c r="EF86" s="14">
        <f t="shared" ca="1" si="148"/>
        <v>0.59383416912544562</v>
      </c>
      <c r="EG86" s="543">
        <f t="shared" ca="1" si="149"/>
        <v>3.4411968456281494</v>
      </c>
      <c r="EH86" s="543">
        <f t="shared" ca="1" si="150"/>
        <v>1.0601500590153006</v>
      </c>
      <c r="EI86" s="543">
        <f t="shared" ca="1" si="151"/>
        <v>1.7872126174874032</v>
      </c>
      <c r="EL86" s="893">
        <f t="shared" ca="1" si="152"/>
        <v>0.67848256689588038</v>
      </c>
      <c r="EM86" s="973">
        <f t="shared" ca="1" si="137"/>
        <v>0.25869829798858002</v>
      </c>
      <c r="EN86" s="892">
        <f t="shared" ca="1" si="138"/>
        <v>1.464986352574112</v>
      </c>
      <c r="EO86" s="974">
        <f t="shared" ca="1" si="139"/>
        <v>0.34223494560210482</v>
      </c>
      <c r="EP86" s="892">
        <f t="shared" ca="1" si="140"/>
        <v>1.3041163698075666</v>
      </c>
      <c r="EQ86" s="888">
        <f t="shared" ca="1" si="141"/>
        <v>0.33461567042780727</v>
      </c>
      <c r="ER86" s="877">
        <f t="shared" ca="1" si="142"/>
        <v>0.62726575377765437</v>
      </c>
      <c r="ES86" s="888"/>
      <c r="ET86" s="888"/>
      <c r="EU86" s="888"/>
      <c r="EV86" s="888"/>
    </row>
    <row r="87" spans="1:152" x14ac:dyDescent="0.25">
      <c r="A87" s="258" t="s">
        <v>88</v>
      </c>
      <c r="B87" s="9" t="s">
        <v>315</v>
      </c>
      <c r="C87" s="236" t="s">
        <v>397</v>
      </c>
      <c r="D87" s="342"/>
      <c r="E87" s="342"/>
      <c r="F87" s="342"/>
      <c r="G87" s="342"/>
      <c r="H87" s="342"/>
      <c r="I87" s="342"/>
      <c r="J87" s="342"/>
      <c r="K87" s="342"/>
      <c r="L87" s="342"/>
      <c r="M87" s="342"/>
      <c r="N87" s="342"/>
      <c r="O87" s="342"/>
      <c r="P87" s="342"/>
      <c r="Q87" s="342"/>
      <c r="R87" s="342"/>
      <c r="S87" s="342"/>
      <c r="T87" s="342"/>
      <c r="U87" s="342"/>
      <c r="V87" s="342"/>
      <c r="W87" s="342"/>
      <c r="X87" s="342"/>
      <c r="Y87" s="342"/>
      <c r="Z87" s="342"/>
      <c r="AA87" s="342"/>
      <c r="AB87" s="342"/>
      <c r="AC87" s="342"/>
      <c r="AD87" s="342"/>
      <c r="AE87" s="342"/>
      <c r="AF87" s="342"/>
      <c r="AG87" s="342"/>
      <c r="AH87" s="342"/>
      <c r="AI87" s="342"/>
      <c r="AJ87" s="342"/>
      <c r="AK87" s="342"/>
      <c r="AL87" s="342"/>
      <c r="AM87" s="342"/>
      <c r="AN87" s="342"/>
      <c r="AO87" s="342"/>
      <c r="AP87" s="342"/>
      <c r="AQ87" s="342"/>
      <c r="AR87" s="342"/>
      <c r="AS87" s="342"/>
      <c r="AT87" s="342"/>
      <c r="AU87" s="342"/>
      <c r="AV87" s="342"/>
      <c r="AW87" s="342"/>
      <c r="AX87" s="342"/>
      <c r="AY87" s="645">
        <f t="shared" ca="1" si="143"/>
        <v>18048.809740546116</v>
      </c>
      <c r="AZ87" s="543">
        <f t="shared" ca="1" si="143"/>
        <v>1395.4108944129</v>
      </c>
      <c r="BA87" s="543">
        <f t="shared" ca="1" si="143"/>
        <v>40182.988973744592</v>
      </c>
      <c r="BB87" s="14">
        <f t="shared" ca="1" si="144"/>
        <v>4726.090663639543</v>
      </c>
      <c r="BC87" s="543">
        <f t="shared" ca="1" si="145"/>
        <v>35756.153127104903</v>
      </c>
      <c r="BD87" s="543">
        <f t="shared" ca="1" si="146"/>
        <v>13322.719076906573</v>
      </c>
      <c r="BE87" s="543">
        <f t="shared" ca="1" si="136"/>
        <v>17707.343386558787</v>
      </c>
      <c r="BF87" s="543"/>
      <c r="BG87" s="543"/>
      <c r="BH87" s="543"/>
      <c r="BI87" s="543"/>
      <c r="BJ87" s="543"/>
      <c r="BK87" s="543"/>
      <c r="BL87" s="543"/>
      <c r="BM87" s="543"/>
      <c r="BN87" s="543"/>
      <c r="BO87" s="953"/>
      <c r="BP87" s="342"/>
      <c r="BQ87" s="342"/>
      <c r="BR87" s="342"/>
      <c r="BS87" s="342"/>
      <c r="BT87" s="342"/>
      <c r="BU87" s="342"/>
      <c r="BV87" s="342"/>
      <c r="BW87" s="342"/>
      <c r="BX87" s="342"/>
      <c r="BY87" s="342"/>
      <c r="BZ87" s="342"/>
      <c r="CA87" s="342"/>
      <c r="CB87" s="342"/>
      <c r="CC87" s="342"/>
      <c r="CD87" s="342"/>
      <c r="CE87" s="342"/>
      <c r="CF87" s="342"/>
      <c r="CG87" s="342"/>
      <c r="CH87" s="342"/>
      <c r="CI87" s="342"/>
      <c r="CJ87" s="342"/>
      <c r="CK87" s="342"/>
      <c r="CL87" s="342"/>
      <c r="CM87" s="342"/>
      <c r="CN87" s="342"/>
      <c r="CO87" s="342"/>
      <c r="CP87" s="342"/>
      <c r="CQ87" s="342"/>
      <c r="CR87" s="342"/>
      <c r="CS87" s="342"/>
      <c r="CT87" s="342"/>
      <c r="CU87" s="342"/>
      <c r="CV87" s="342"/>
      <c r="CW87" s="342"/>
      <c r="CX87" s="342"/>
      <c r="CY87" s="342"/>
      <c r="CZ87" s="342"/>
      <c r="DA87" s="342"/>
      <c r="DB87" s="342"/>
      <c r="DC87" s="342"/>
      <c r="DD87" s="342"/>
      <c r="DE87" s="342"/>
      <c r="DF87" s="342"/>
      <c r="DG87" s="342"/>
      <c r="DH87" s="342"/>
      <c r="DI87" s="342"/>
      <c r="DJ87" s="342"/>
      <c r="DK87" s="342"/>
      <c r="DL87" s="342"/>
      <c r="DM87" s="342"/>
      <c r="DN87" s="342"/>
      <c r="DO87" s="342"/>
      <c r="DP87" s="342"/>
      <c r="DQ87" s="342"/>
      <c r="DR87" s="342"/>
      <c r="DS87" s="342"/>
      <c r="DT87" s="342"/>
      <c r="DU87" s="342"/>
      <c r="DV87" s="342"/>
      <c r="DW87" s="342"/>
      <c r="DX87" s="342"/>
      <c r="DY87" s="342"/>
      <c r="DZ87" s="342"/>
      <c r="EA87" s="342"/>
      <c r="EB87" s="342"/>
      <c r="EC87" s="645">
        <f t="shared" ca="1" si="147"/>
        <v>42233.385537830625</v>
      </c>
      <c r="ED87" s="543">
        <f t="shared" ca="1" si="147"/>
        <v>1349.8047682693043</v>
      </c>
      <c r="EE87" s="543">
        <f t="shared" ca="1" si="147"/>
        <v>904331.86199246021</v>
      </c>
      <c r="EF87" s="14">
        <f t="shared" ca="1" si="148"/>
        <v>9526.5209221815694</v>
      </c>
      <c r="EG87" s="543">
        <f ca="1">0.8*EE87+0.2*EC87</f>
        <v>731912.16670153441</v>
      </c>
      <c r="EH87" s="543">
        <f ca="1">EC87-EF87</f>
        <v>32706.864615649058</v>
      </c>
      <c r="EI87" s="543">
        <f ca="1">EG87-EC87</f>
        <v>689678.78116370377</v>
      </c>
      <c r="EL87" s="645">
        <f t="shared" ca="1" si="152"/>
        <v>22720.07712056956</v>
      </c>
      <c r="EM87" s="798">
        <f t="shared" ca="1" si="137"/>
        <v>1386.6020399111917</v>
      </c>
      <c r="EN87" s="892">
        <f t="shared" ca="1" si="138"/>
        <v>207093.93568009924</v>
      </c>
      <c r="EO87" s="892">
        <f t="shared" ca="1" si="139"/>
        <v>5646.8174042969449</v>
      </c>
      <c r="EP87" s="892">
        <f t="shared" ca="1" si="140"/>
        <v>169279.48808793986</v>
      </c>
      <c r="EQ87" s="887">
        <f t="shared" ca="1" si="141"/>
        <v>17040.615219769334</v>
      </c>
      <c r="ER87" s="795">
        <f t="shared" ca="1" si="142"/>
        <v>146592.05546387355</v>
      </c>
      <c r="ES87" s="887"/>
      <c r="ET87" s="887"/>
      <c r="EU87" s="887"/>
      <c r="EV87" s="887"/>
    </row>
    <row r="88" spans="1:152" x14ac:dyDescent="0.25">
      <c r="A88" s="258" t="s">
        <v>89</v>
      </c>
      <c r="B88" s="9" t="s">
        <v>320</v>
      </c>
      <c r="C88" s="236" t="s">
        <v>397</v>
      </c>
      <c r="D88" s="342"/>
      <c r="E88" s="342"/>
      <c r="F88" s="342"/>
      <c r="G88" s="342"/>
      <c r="H88" s="342"/>
      <c r="I88" s="342"/>
      <c r="J88" s="342"/>
      <c r="K88" s="342"/>
      <c r="L88" s="342"/>
      <c r="M88" s="342"/>
      <c r="N88" s="342"/>
      <c r="O88" s="342"/>
      <c r="P88" s="342"/>
      <c r="Q88" s="342"/>
      <c r="R88" s="342"/>
      <c r="S88" s="342"/>
      <c r="T88" s="342"/>
      <c r="U88" s="342"/>
      <c r="V88" s="342"/>
      <c r="W88" s="342"/>
      <c r="X88" s="342"/>
      <c r="Y88" s="342"/>
      <c r="Z88" s="342"/>
      <c r="AA88" s="342"/>
      <c r="AB88" s="342"/>
      <c r="AC88" s="342"/>
      <c r="AD88" s="342"/>
      <c r="AE88" s="342"/>
      <c r="AF88" s="342"/>
      <c r="AG88" s="342"/>
      <c r="AH88" s="342"/>
      <c r="AI88" s="342"/>
      <c r="AJ88" s="342"/>
      <c r="AK88" s="342"/>
      <c r="AL88" s="342"/>
      <c r="AM88" s="342"/>
      <c r="AN88" s="342"/>
      <c r="AO88" s="342"/>
      <c r="AP88" s="342"/>
      <c r="AQ88" s="342"/>
      <c r="AR88" s="342"/>
      <c r="AS88" s="342"/>
      <c r="AT88" s="342"/>
      <c r="AU88" s="342"/>
      <c r="AV88" s="342"/>
      <c r="AW88" s="342"/>
      <c r="AX88" s="342"/>
      <c r="AY88" s="645">
        <f t="shared" ca="1" si="143"/>
        <v>10649.272803353917</v>
      </c>
      <c r="AZ88" s="543">
        <f t="shared" ca="1" si="143"/>
        <v>2878.88</v>
      </c>
      <c r="BA88" s="543">
        <f t="shared" ca="1" si="143"/>
        <v>18549.125357794572</v>
      </c>
      <c r="BB88" s="14">
        <f t="shared" ca="1" si="144"/>
        <v>4432.9585606707842</v>
      </c>
      <c r="BC88" s="543">
        <f t="shared" ca="1" si="145"/>
        <v>16969.154846906444</v>
      </c>
      <c r="BD88" s="543">
        <f t="shared" ca="1" si="146"/>
        <v>6216.3142426831328</v>
      </c>
      <c r="BE88" s="543">
        <f t="shared" ca="1" si="136"/>
        <v>6319.8820435525267</v>
      </c>
      <c r="BF88" s="543"/>
      <c r="BG88" s="543"/>
      <c r="BH88" s="543"/>
      <c r="BI88" s="543"/>
      <c r="BJ88" s="543"/>
      <c r="BK88" s="543"/>
      <c r="BL88" s="543"/>
      <c r="BM88" s="543"/>
      <c r="BN88" s="543"/>
      <c r="BO88" s="953"/>
      <c r="BP88" s="342"/>
      <c r="BQ88" s="342"/>
      <c r="BR88" s="342"/>
      <c r="BS88" s="342"/>
      <c r="BT88" s="342"/>
      <c r="BU88" s="342"/>
      <c r="BV88" s="342"/>
      <c r="BW88" s="342"/>
      <c r="BX88" s="342"/>
      <c r="BY88" s="342"/>
      <c r="BZ88" s="342"/>
      <c r="CA88" s="342"/>
      <c r="CB88" s="342"/>
      <c r="CC88" s="342"/>
      <c r="CD88" s="342"/>
      <c r="CE88" s="342"/>
      <c r="CF88" s="342"/>
      <c r="CG88" s="342"/>
      <c r="CH88" s="342"/>
      <c r="CI88" s="342"/>
      <c r="CJ88" s="342"/>
      <c r="CK88" s="342"/>
      <c r="CL88" s="342"/>
      <c r="CM88" s="342"/>
      <c r="CN88" s="342"/>
      <c r="CO88" s="342"/>
      <c r="CP88" s="342"/>
      <c r="CQ88" s="342"/>
      <c r="CR88" s="342"/>
      <c r="CS88" s="342"/>
      <c r="CT88" s="342"/>
      <c r="CU88" s="342"/>
      <c r="CV88" s="342"/>
      <c r="CW88" s="342"/>
      <c r="CX88" s="342"/>
      <c r="CY88" s="342"/>
      <c r="CZ88" s="342"/>
      <c r="DA88" s="342"/>
      <c r="DB88" s="342"/>
      <c r="DC88" s="342"/>
      <c r="DD88" s="342"/>
      <c r="DE88" s="342"/>
      <c r="DF88" s="342"/>
      <c r="DG88" s="342"/>
      <c r="DH88" s="342"/>
      <c r="DI88" s="342"/>
      <c r="DJ88" s="342"/>
      <c r="DK88" s="342"/>
      <c r="DL88" s="342"/>
      <c r="DM88" s="342"/>
      <c r="DN88" s="342"/>
      <c r="DO88" s="342"/>
      <c r="DP88" s="342"/>
      <c r="DQ88" s="342"/>
      <c r="DR88" s="342"/>
      <c r="DS88" s="342"/>
      <c r="DT88" s="342"/>
      <c r="DU88" s="342"/>
      <c r="DV88" s="342"/>
      <c r="DW88" s="342"/>
      <c r="DX88" s="342"/>
      <c r="DY88" s="342"/>
      <c r="DZ88" s="342"/>
      <c r="EA88" s="342"/>
      <c r="EB88" s="342"/>
      <c r="EC88" s="645">
        <f t="shared" ca="1" si="147"/>
        <v>13603.537639484868</v>
      </c>
      <c r="ED88" s="543">
        <f t="shared" ca="1" si="147"/>
        <v>668.1</v>
      </c>
      <c r="EE88" s="543">
        <f t="shared" ca="1" si="147"/>
        <v>41384.395768790593</v>
      </c>
      <c r="EF88" s="14">
        <f t="shared" ca="1" si="148"/>
        <v>3255.1875278969737</v>
      </c>
      <c r="EG88" s="543">
        <f t="shared" ca="1" si="149"/>
        <v>35828.224142929444</v>
      </c>
      <c r="EH88" s="543">
        <f ca="1">EC88-EF88</f>
        <v>10348.350111587893</v>
      </c>
      <c r="EI88" s="543">
        <f ca="1">EG88-EC88</f>
        <v>22224.686503444576</v>
      </c>
      <c r="EL88" s="645">
        <f t="shared" ca="1" si="152"/>
        <v>11219.891079921676</v>
      </c>
      <c r="EM88" s="798">
        <f t="shared" ca="1" si="137"/>
        <v>2451.8663287671234</v>
      </c>
      <c r="EN88" s="892">
        <f t="shared" ca="1" si="138"/>
        <v>22959.773478274627</v>
      </c>
      <c r="EO88" s="892">
        <f t="shared" ca="1" si="139"/>
        <v>4207.0610419396435</v>
      </c>
      <c r="EP88" s="892">
        <f t="shared" ca="1" si="140"/>
        <v>20586.340905148045</v>
      </c>
      <c r="EQ88" s="887">
        <f t="shared" ca="1" si="141"/>
        <v>7008.8423522388048</v>
      </c>
      <c r="ER88" s="795">
        <f t="shared" ca="1" si="142"/>
        <v>9370.4375109695957</v>
      </c>
      <c r="ES88" s="887"/>
      <c r="ET88" s="887"/>
      <c r="EU88" s="887"/>
      <c r="EV88" s="887"/>
    </row>
    <row r="89" spans="1:152" ht="15.75" thickBot="1" x14ac:dyDescent="0.3">
      <c r="A89" s="258" t="s">
        <v>111</v>
      </c>
      <c r="B89" s="9" t="s">
        <v>271</v>
      </c>
      <c r="C89" s="236" t="s">
        <v>398</v>
      </c>
      <c r="D89" s="342"/>
      <c r="E89" s="342"/>
      <c r="F89" s="342"/>
      <c r="G89" s="342"/>
      <c r="H89" s="342"/>
      <c r="I89" s="342"/>
      <c r="J89" s="342"/>
      <c r="K89" s="342"/>
      <c r="L89" s="342"/>
      <c r="M89" s="342"/>
      <c r="N89" s="342"/>
      <c r="O89" s="342"/>
      <c r="P89" s="342"/>
      <c r="Q89" s="342"/>
      <c r="R89" s="342"/>
      <c r="S89" s="342"/>
      <c r="T89" s="342"/>
      <c r="U89" s="342"/>
      <c r="V89" s="342"/>
      <c r="W89" s="342"/>
      <c r="X89" s="342"/>
      <c r="Y89" s="342"/>
      <c r="Z89" s="342"/>
      <c r="AA89" s="342"/>
      <c r="AB89" s="342"/>
      <c r="AC89" s="342"/>
      <c r="AD89" s="342"/>
      <c r="AE89" s="342"/>
      <c r="AF89" s="342"/>
      <c r="AG89" s="342"/>
      <c r="AH89" s="342"/>
      <c r="AI89" s="342"/>
      <c r="AJ89" s="342"/>
      <c r="AK89" s="342"/>
      <c r="AL89" s="342"/>
      <c r="AM89" s="342"/>
      <c r="AN89" s="342"/>
      <c r="AO89" s="342"/>
      <c r="AP89" s="342"/>
      <c r="AQ89" s="342"/>
      <c r="AR89" s="342"/>
      <c r="AS89" s="342"/>
      <c r="AT89" s="342"/>
      <c r="AU89" s="342"/>
      <c r="AV89" s="342"/>
      <c r="AW89" s="342"/>
      <c r="AX89" s="342"/>
      <c r="AY89" s="646">
        <f t="shared" ca="1" si="143"/>
        <v>1745.7370894466044</v>
      </c>
      <c r="AZ89" s="543">
        <f t="shared" ca="1" si="143"/>
        <v>726.43804793999948</v>
      </c>
      <c r="BA89" s="543">
        <f t="shared" ca="1" si="143"/>
        <v>2747.4586657708123</v>
      </c>
      <c r="BB89" s="14">
        <f t="shared" ca="1" si="144"/>
        <v>930.29785624132046</v>
      </c>
      <c r="BC89" s="543">
        <f t="shared" ca="1" si="145"/>
        <v>2547.1143505059708</v>
      </c>
      <c r="BD89" s="543">
        <f t="shared" ca="1" si="146"/>
        <v>815.43923320528393</v>
      </c>
      <c r="BE89" s="543">
        <f t="shared" ca="1" si="136"/>
        <v>801.37726105936645</v>
      </c>
      <c r="BF89" s="543"/>
      <c r="BG89" s="543"/>
      <c r="BH89" s="543"/>
      <c r="BI89" s="543"/>
      <c r="BJ89" s="543"/>
      <c r="BK89" s="543"/>
      <c r="BL89" s="543"/>
      <c r="BM89" s="543"/>
      <c r="BN89" s="543"/>
      <c r="BO89" s="953"/>
      <c r="BP89" s="342"/>
      <c r="BQ89" s="342"/>
      <c r="BR89" s="342"/>
      <c r="BS89" s="342"/>
      <c r="BT89" s="342"/>
      <c r="BU89" s="342"/>
      <c r="BV89" s="342"/>
      <c r="BW89" s="342"/>
      <c r="BX89" s="342"/>
      <c r="BY89" s="342"/>
      <c r="BZ89" s="342"/>
      <c r="CA89" s="342"/>
      <c r="CB89" s="342"/>
      <c r="CC89" s="342"/>
      <c r="CD89" s="342"/>
      <c r="CE89" s="342"/>
      <c r="CF89" s="342"/>
      <c r="CG89" s="342"/>
      <c r="CH89" s="342"/>
      <c r="CI89" s="342"/>
      <c r="CJ89" s="342"/>
      <c r="CK89" s="342"/>
      <c r="CL89" s="342"/>
      <c r="CM89" s="342"/>
      <c r="CN89" s="342"/>
      <c r="CO89" s="342"/>
      <c r="CP89" s="342"/>
      <c r="CQ89" s="342"/>
      <c r="CR89" s="342"/>
      <c r="CS89" s="342"/>
      <c r="CT89" s="342"/>
      <c r="CU89" s="342"/>
      <c r="CV89" s="342"/>
      <c r="CW89" s="342"/>
      <c r="CX89" s="342"/>
      <c r="CY89" s="342"/>
      <c r="CZ89" s="342"/>
      <c r="DA89" s="342"/>
      <c r="DB89" s="342"/>
      <c r="DC89" s="342"/>
      <c r="DD89" s="342"/>
      <c r="DE89" s="342"/>
      <c r="DF89" s="342"/>
      <c r="DG89" s="342"/>
      <c r="DH89" s="342"/>
      <c r="DI89" s="342"/>
      <c r="DJ89" s="342"/>
      <c r="DK89" s="342"/>
      <c r="DL89" s="342"/>
      <c r="DM89" s="342"/>
      <c r="DN89" s="342"/>
      <c r="DO89" s="342"/>
      <c r="DP89" s="342"/>
      <c r="DQ89" s="342"/>
      <c r="DR89" s="342"/>
      <c r="DS89" s="342"/>
      <c r="DT89" s="342"/>
      <c r="DU89" s="342"/>
      <c r="DV89" s="342"/>
      <c r="DW89" s="342"/>
      <c r="DX89" s="342"/>
      <c r="DY89" s="342"/>
      <c r="DZ89" s="342"/>
      <c r="EA89" s="342"/>
      <c r="EB89" s="342"/>
      <c r="EC89" s="645">
        <f t="shared" ca="1" si="147"/>
        <v>2259.1504125404981</v>
      </c>
      <c r="ED89" s="543">
        <f t="shared" ca="1" si="147"/>
        <v>1302.8332657264466</v>
      </c>
      <c r="EE89" s="543">
        <f t="shared" ca="1" si="147"/>
        <v>2989.1115087918597</v>
      </c>
      <c r="EF89" s="14">
        <f t="shared" ca="1" si="148"/>
        <v>1494.0966950892569</v>
      </c>
      <c r="EG89" s="543">
        <f t="shared" ca="1" si="149"/>
        <v>2843.1192895415875</v>
      </c>
      <c r="EH89" s="543">
        <f t="shared" ca="1" si="150"/>
        <v>765.05371745124125</v>
      </c>
      <c r="EI89" s="543">
        <f t="shared" ca="1" si="151"/>
        <v>583.96887700108937</v>
      </c>
      <c r="EL89" s="646">
        <f t="shared" ca="1" si="152"/>
        <v>1844.9032244551508</v>
      </c>
      <c r="EM89" s="799">
        <f t="shared" ca="1" si="137"/>
        <v>837.76917904669688</v>
      </c>
      <c r="EN89" s="894">
        <f t="shared" ca="1" si="138"/>
        <v>2794.1340779159736</v>
      </c>
      <c r="EO89" s="894">
        <f t="shared" ca="1" si="139"/>
        <v>1038.4349688168397</v>
      </c>
      <c r="EP89" s="894">
        <f t="shared" ca="1" si="140"/>
        <v>2603.8883578466239</v>
      </c>
      <c r="EQ89" s="891">
        <f t="shared" ca="1" si="141"/>
        <v>805.77524702112635</v>
      </c>
      <c r="ER89" s="796">
        <f t="shared" ca="1" si="142"/>
        <v>759.67814200865746</v>
      </c>
      <c r="ES89" s="887"/>
      <c r="ET89" s="887"/>
      <c r="EU89" s="887"/>
      <c r="EV89" s="887"/>
    </row>
    <row r="90" spans="1:152" ht="15.75" thickBot="1" x14ac:dyDescent="0.3">
      <c r="A90" s="60"/>
      <c r="B90" s="60"/>
      <c r="C90" s="60"/>
      <c r="D90" s="60"/>
      <c r="E90" s="60"/>
      <c r="F90" s="60"/>
      <c r="G90" s="60"/>
      <c r="H90" s="339"/>
      <c r="I90" s="339"/>
      <c r="J90" s="339"/>
      <c r="K90" s="339"/>
      <c r="L90" s="339"/>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P90" s="60"/>
      <c r="BQ90" s="60"/>
      <c r="BR90" s="60"/>
      <c r="BS90" s="60"/>
      <c r="BT90" s="60"/>
      <c r="BU90" s="339"/>
      <c r="BV90" s="339"/>
      <c r="BW90" s="339"/>
      <c r="BX90" s="339"/>
      <c r="BY90" s="60"/>
      <c r="BZ90" s="60"/>
      <c r="CA90" s="60"/>
      <c r="CB90" s="60"/>
      <c r="CC90" s="60"/>
      <c r="CD90" s="60"/>
      <c r="CE90" s="60"/>
      <c r="CF90" s="60"/>
      <c r="CG90" s="60"/>
      <c r="CH90" s="60"/>
      <c r="CI90" s="60"/>
      <c r="CJ90" s="60"/>
      <c r="CK90" s="60"/>
      <c r="CL90" s="60"/>
      <c r="CM90" s="60"/>
      <c r="CN90" s="60"/>
      <c r="CO90" s="60"/>
      <c r="CP90" s="60"/>
      <c r="CQ90" s="60"/>
      <c r="CR90" s="60"/>
      <c r="CS90" s="60"/>
      <c r="CT90" s="60"/>
      <c r="CU90" s="60"/>
      <c r="CV90" s="60"/>
      <c r="CW90" s="60"/>
      <c r="CX90" s="60"/>
      <c r="CY90" s="60"/>
      <c r="CZ90" s="60"/>
      <c r="DA90" s="60"/>
      <c r="DB90" s="60"/>
      <c r="DC90" s="60"/>
      <c r="DD90" s="60"/>
      <c r="DE90" s="60"/>
      <c r="DF90" s="60"/>
      <c r="DG90" s="60"/>
      <c r="DH90" s="60"/>
      <c r="DI90" s="60"/>
      <c r="DJ90" s="60"/>
      <c r="DK90" s="60"/>
      <c r="DL90" s="60"/>
      <c r="DM90" s="60"/>
      <c r="DN90" s="60"/>
      <c r="DO90" s="60"/>
      <c r="DP90" s="60"/>
      <c r="DQ90" s="60"/>
      <c r="DR90" s="60"/>
      <c r="DS90" s="60"/>
      <c r="DT90" s="60"/>
      <c r="DU90" s="60"/>
      <c r="DV90" s="60"/>
      <c r="DW90" s="60"/>
      <c r="DX90" s="60"/>
      <c r="DY90" s="60"/>
      <c r="DZ90" s="60"/>
      <c r="EA90" s="60"/>
      <c r="EB90" s="60"/>
      <c r="EC90" s="792"/>
      <c r="ED90" s="60"/>
      <c r="EE90" s="60"/>
      <c r="EF90" s="60"/>
      <c r="EG90" s="60"/>
      <c r="EH90" s="60"/>
      <c r="EI90" s="60"/>
      <c r="EL90" s="60"/>
      <c r="EM90" s="60"/>
      <c r="EN90" s="60"/>
      <c r="EO90" s="60"/>
      <c r="EP90" s="60"/>
      <c r="EQ90" s="60"/>
      <c r="ER90" s="60"/>
      <c r="ES90" s="60"/>
      <c r="ET90" s="60"/>
      <c r="EU90" s="60"/>
      <c r="EV90" s="60"/>
    </row>
    <row r="91" spans="1:152" x14ac:dyDescent="0.25">
      <c r="A91" s="9" t="s">
        <v>1059</v>
      </c>
      <c r="C91" s="156"/>
      <c r="U91" s="9"/>
      <c r="AA91" s="575"/>
      <c r="AY91" s="64"/>
      <c r="AZ91" s="64"/>
      <c r="BA91" s="64"/>
      <c r="BB91" s="64"/>
      <c r="BC91" s="64"/>
      <c r="BD91" s="64"/>
      <c r="BP91" s="9"/>
      <c r="BQ91" s="9"/>
      <c r="BR91" s="9"/>
      <c r="BS91" s="9"/>
      <c r="BT91" s="9"/>
      <c r="BU91" s="9"/>
      <c r="BV91" s="9"/>
      <c r="BW91" s="9"/>
      <c r="BX91" s="9"/>
      <c r="BY91" s="9"/>
      <c r="BZ91" s="9"/>
      <c r="CA91" s="9"/>
      <c r="CB91" s="162"/>
      <c r="CC91" s="9"/>
      <c r="CH91" s="9"/>
      <c r="CI91" s="9"/>
      <c r="CJ91" s="9"/>
      <c r="CK91" s="9"/>
      <c r="CL91" s="9"/>
      <c r="CM91" s="588" t="s">
        <v>501</v>
      </c>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t="s">
        <v>1060</v>
      </c>
      <c r="ED91" s="9"/>
      <c r="EE91" s="9"/>
      <c r="EF91" s="9"/>
      <c r="EG91" s="9"/>
      <c r="EH91" s="9"/>
      <c r="EI91" s="9"/>
    </row>
    <row r="92" spans="1:152" x14ac:dyDescent="0.25">
      <c r="C92" s="156"/>
      <c r="U92" s="9"/>
      <c r="AA92" s="575"/>
      <c r="AY92" s="64"/>
      <c r="AZ92" s="64"/>
      <c r="BA92" s="64"/>
      <c r="BB92" s="64"/>
      <c r="BC92" s="64"/>
      <c r="BD92" s="64"/>
      <c r="BP92" s="9"/>
      <c r="BQ92" s="9"/>
      <c r="BR92" s="9"/>
      <c r="BS92" s="9"/>
      <c r="BT92" s="9"/>
      <c r="BU92" s="9"/>
      <c r="BV92" s="9"/>
      <c r="BW92" s="9"/>
      <c r="BX92" s="9"/>
      <c r="BY92" s="9"/>
      <c r="BZ92" s="9"/>
      <c r="CA92" s="9"/>
      <c r="CB92" s="162"/>
      <c r="CC92" s="9"/>
      <c r="CH92" s="9"/>
      <c r="CI92" s="9"/>
      <c r="CJ92" s="9"/>
      <c r="CK92" s="9"/>
      <c r="CL92" s="9"/>
      <c r="CM92" s="575"/>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row>
    <row r="93" spans="1:152" x14ac:dyDescent="0.25">
      <c r="C93" s="156"/>
      <c r="U93" s="9"/>
      <c r="AA93" s="575"/>
      <c r="AY93" s="64"/>
      <c r="AZ93" s="64"/>
      <c r="BA93" s="64"/>
      <c r="BB93" s="64"/>
      <c r="BC93" s="64"/>
      <c r="BD93" s="64"/>
      <c r="BP93" s="9"/>
      <c r="BQ93" s="9"/>
      <c r="BR93" s="9"/>
      <c r="BS93" s="9"/>
      <c r="BT93" s="9"/>
      <c r="BU93" s="9"/>
      <c r="BV93" s="9"/>
      <c r="BW93" s="9"/>
      <c r="BX93" s="9"/>
      <c r="BY93" s="9"/>
      <c r="BZ93" s="9"/>
      <c r="CA93" s="9"/>
      <c r="CB93" s="162"/>
      <c r="CC93" s="9"/>
      <c r="CH93" s="9"/>
      <c r="CI93" s="9"/>
      <c r="CJ93" s="9"/>
      <c r="CK93" s="9"/>
      <c r="CL93" s="9"/>
      <c r="CM93" s="575"/>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row>
    <row r="94" spans="1:152" x14ac:dyDescent="0.25">
      <c r="C94" s="156"/>
      <c r="U94" s="9"/>
      <c r="AA94" s="575"/>
      <c r="AY94" s="64"/>
      <c r="AZ94" s="64"/>
      <c r="BA94" s="64"/>
      <c r="BB94" s="64"/>
      <c r="BC94" s="64"/>
      <c r="BD94" s="64"/>
      <c r="BP94" s="9"/>
      <c r="BQ94" s="9"/>
      <c r="BR94" s="9"/>
      <c r="BS94" s="9"/>
      <c r="BT94" s="9"/>
      <c r="BU94" s="9"/>
      <c r="BV94" s="9"/>
      <c r="BW94" s="9"/>
      <c r="BX94" s="9"/>
      <c r="BY94" s="9"/>
      <c r="BZ94" s="9"/>
      <c r="CA94" s="9"/>
      <c r="CB94" s="162"/>
      <c r="CC94" s="9"/>
      <c r="CH94" s="9"/>
      <c r="CI94" s="9"/>
      <c r="CJ94" s="9"/>
      <c r="CK94" s="9"/>
      <c r="CL94" s="9"/>
      <c r="CM94" s="575"/>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row>
    <row r="95" spans="1:152" x14ac:dyDescent="0.25">
      <c r="C95" s="156"/>
      <c r="U95" s="9"/>
      <c r="BE95" s="9"/>
      <c r="BF95" s="9"/>
      <c r="BG95" s="9"/>
      <c r="BH95" s="9"/>
      <c r="BI95" s="9"/>
      <c r="BJ95" s="9"/>
      <c r="BK95" s="9"/>
      <c r="BL95" s="9"/>
      <c r="BM95" s="9"/>
      <c r="BN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row>
    <row r="96" spans="1:152" x14ac:dyDescent="0.25">
      <c r="C96" s="156"/>
      <c r="U96" s="9"/>
      <c r="BE96" s="9"/>
      <c r="BF96" s="9"/>
      <c r="BG96" s="9"/>
      <c r="BH96" s="9"/>
      <c r="BI96" s="9"/>
      <c r="BJ96" s="9"/>
      <c r="BK96" s="9"/>
      <c r="BL96" s="9"/>
      <c r="BM96" s="9"/>
      <c r="BN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row>
    <row r="97" spans="1:154" ht="19.5" x14ac:dyDescent="0.3">
      <c r="A97" s="876" t="s">
        <v>1080</v>
      </c>
      <c r="B97" s="876" t="s">
        <v>39</v>
      </c>
      <c r="C97" s="112"/>
      <c r="D97" s="112"/>
      <c r="E97" s="112"/>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C97" s="112"/>
      <c r="AD97" s="112"/>
      <c r="AE97" s="112"/>
      <c r="AF97" s="112"/>
      <c r="AG97" s="112"/>
      <c r="AH97" s="112"/>
      <c r="AI97" s="112"/>
      <c r="AJ97" s="112"/>
      <c r="AK97" s="112"/>
      <c r="AL97" s="112"/>
      <c r="AM97" s="112"/>
      <c r="AN97" s="112"/>
      <c r="AO97" s="112"/>
      <c r="AP97" s="112"/>
      <c r="AQ97" s="112"/>
      <c r="AR97" s="112"/>
      <c r="AS97" s="112"/>
      <c r="AT97" s="112"/>
      <c r="AU97" s="112"/>
      <c r="AV97" s="112"/>
      <c r="AW97" s="112"/>
      <c r="AX97" s="112"/>
      <c r="AY97" s="112"/>
      <c r="AZ97" s="112"/>
      <c r="BA97" s="112"/>
      <c r="BB97" s="112"/>
      <c r="BC97" s="112"/>
      <c r="BD97" s="112"/>
      <c r="BE97" s="112"/>
      <c r="BF97" s="112"/>
      <c r="BG97" s="112"/>
      <c r="BH97" s="112"/>
      <c r="BI97" s="112"/>
      <c r="BJ97" s="112"/>
      <c r="BK97" s="112"/>
      <c r="BL97" s="112"/>
      <c r="BM97" s="112"/>
      <c r="BN97" s="112"/>
      <c r="BO97" s="965"/>
      <c r="BP97" s="876" t="s">
        <v>1080</v>
      </c>
      <c r="BQ97" s="112"/>
      <c r="BR97" s="876" t="s">
        <v>118</v>
      </c>
      <c r="BS97" s="112"/>
      <c r="BT97" s="112"/>
      <c r="BU97" s="112"/>
      <c r="BV97" s="112"/>
      <c r="BW97" s="112"/>
      <c r="BX97" s="112"/>
      <c r="BY97" s="112"/>
      <c r="BZ97" s="112"/>
      <c r="CA97" s="112"/>
      <c r="CB97" s="112"/>
      <c r="CC97" s="112"/>
      <c r="CD97" s="112"/>
      <c r="CE97" s="112"/>
      <c r="CF97" s="112"/>
      <c r="CG97" s="112"/>
      <c r="CH97" s="112"/>
      <c r="CI97" s="112"/>
      <c r="CJ97" s="112"/>
      <c r="CK97" s="112"/>
      <c r="CL97" s="112"/>
      <c r="CM97" s="112"/>
      <c r="CN97" s="112"/>
      <c r="CO97" s="112"/>
      <c r="CP97" s="112"/>
      <c r="CQ97" s="112"/>
      <c r="CR97" s="112"/>
      <c r="CS97" s="112"/>
      <c r="CT97" s="112"/>
      <c r="CU97" s="112"/>
      <c r="CV97" s="112"/>
      <c r="CW97" s="112"/>
      <c r="CX97" s="112"/>
      <c r="CY97" s="112"/>
      <c r="CZ97" s="112"/>
      <c r="DA97" s="112"/>
      <c r="DB97" s="112"/>
      <c r="DC97" s="112"/>
      <c r="DD97" s="112"/>
      <c r="DE97" s="112"/>
      <c r="DF97" s="112"/>
      <c r="DG97" s="112"/>
      <c r="DH97" s="112"/>
      <c r="DI97" s="112"/>
      <c r="DJ97" s="112"/>
      <c r="DK97" s="112"/>
      <c r="DL97" s="112"/>
      <c r="DM97" s="112"/>
      <c r="DN97" s="112"/>
      <c r="DO97" s="112"/>
      <c r="DP97" s="112"/>
      <c r="DQ97" s="112"/>
      <c r="DR97" s="112"/>
      <c r="DS97" s="112"/>
      <c r="DT97" s="112"/>
      <c r="DU97" s="112"/>
      <c r="DV97" s="112"/>
      <c r="DW97" s="112"/>
      <c r="DX97" s="112"/>
      <c r="DY97" s="112"/>
      <c r="DZ97" s="112"/>
      <c r="EA97" s="112"/>
      <c r="EB97" s="112"/>
      <c r="EC97" s="112"/>
      <c r="ED97" s="112"/>
      <c r="EE97" s="112"/>
      <c r="EF97" s="112"/>
      <c r="EG97" s="112"/>
      <c r="EH97" s="60"/>
      <c r="EI97" s="60"/>
      <c r="EL97" s="60"/>
      <c r="EM97" s="60"/>
      <c r="EN97" s="60"/>
      <c r="EO97" s="60"/>
      <c r="EP97" s="60"/>
      <c r="EQ97" s="60"/>
      <c r="ER97" s="60"/>
      <c r="ES97" s="60"/>
      <c r="ET97" s="60"/>
      <c r="EU97" s="60"/>
      <c r="EV97" s="60"/>
    </row>
    <row r="98" spans="1:154" ht="19.5" x14ac:dyDescent="0.3">
      <c r="A98" s="60"/>
      <c r="B98" s="112"/>
      <c r="C98" s="112"/>
      <c r="D98" s="984"/>
      <c r="E98" s="984"/>
      <c r="F98" s="984"/>
      <c r="G98" s="112"/>
      <c r="H98" s="112"/>
      <c r="I98" s="112"/>
      <c r="J98" s="112"/>
      <c r="K98" s="112"/>
      <c r="L98" s="112"/>
      <c r="M98" s="112"/>
      <c r="N98" s="112"/>
      <c r="O98" s="112"/>
      <c r="P98" s="112"/>
      <c r="Q98" s="112"/>
      <c r="R98" s="112"/>
      <c r="S98" s="112"/>
      <c r="T98" s="112"/>
      <c r="U98" s="112"/>
      <c r="V98" s="112"/>
      <c r="W98" s="112"/>
      <c r="X98" s="112"/>
      <c r="Y98" s="112"/>
      <c r="Z98" s="112"/>
      <c r="AA98" s="112"/>
      <c r="AB98" s="112"/>
      <c r="AC98" s="112"/>
      <c r="AD98" s="112"/>
      <c r="AE98" s="112"/>
      <c r="AF98" s="112"/>
      <c r="AG98" s="112"/>
      <c r="AH98" s="112"/>
      <c r="AI98" s="112"/>
      <c r="AJ98" s="112"/>
      <c r="AK98" s="112"/>
      <c r="AL98" s="112"/>
      <c r="AM98" s="112"/>
      <c r="AN98" s="112"/>
      <c r="AO98" s="112"/>
      <c r="AP98" s="112"/>
      <c r="AQ98" s="112"/>
      <c r="AR98" s="112"/>
      <c r="AS98" s="112"/>
      <c r="AT98" s="112"/>
      <c r="AU98" s="112"/>
      <c r="AV98" s="112"/>
      <c r="AW98" s="112"/>
      <c r="AX98" s="112"/>
      <c r="AY98" s="112"/>
      <c r="AZ98" s="112"/>
      <c r="BA98" s="112"/>
      <c r="BB98" s="112"/>
      <c r="BC98" s="112"/>
      <c r="BD98" s="112"/>
      <c r="BE98" s="112"/>
      <c r="BF98" s="112"/>
      <c r="BG98" s="112"/>
      <c r="BH98" s="112"/>
      <c r="BI98" s="112"/>
      <c r="BJ98" s="112"/>
      <c r="BK98" s="112"/>
      <c r="BL98" s="112"/>
      <c r="BM98" s="112"/>
      <c r="BN98" s="112"/>
      <c r="BO98" s="965"/>
      <c r="BP98" s="112"/>
      <c r="BQ98" s="112"/>
      <c r="BR98" s="112"/>
      <c r="BS98" s="112"/>
      <c r="BT98" s="112"/>
      <c r="BU98" s="112"/>
      <c r="BV98" s="112"/>
      <c r="BW98" s="112"/>
      <c r="BX98" s="112"/>
      <c r="BY98" s="112"/>
      <c r="BZ98" s="112"/>
      <c r="CA98" s="112"/>
      <c r="CB98" s="112"/>
      <c r="CC98" s="112"/>
      <c r="CD98" s="112"/>
      <c r="CE98" s="112"/>
      <c r="CF98" s="112"/>
      <c r="CG98" s="112"/>
      <c r="CH98" s="112"/>
      <c r="CI98" s="112"/>
      <c r="CJ98" s="112"/>
      <c r="CK98" s="112"/>
      <c r="CL98" s="112"/>
      <c r="CM98" s="112"/>
      <c r="CN98" s="112"/>
      <c r="CO98" s="112"/>
      <c r="CP98" s="112"/>
      <c r="CQ98" s="112"/>
      <c r="CR98" s="112"/>
      <c r="CS98" s="112"/>
      <c r="CT98" s="112"/>
      <c r="CU98" s="112"/>
      <c r="CV98" s="112"/>
      <c r="CW98" s="112"/>
      <c r="CX98" s="112"/>
      <c r="CY98" s="112"/>
      <c r="CZ98" s="112"/>
      <c r="DA98" s="112"/>
      <c r="DB98" s="112"/>
      <c r="DC98" s="112"/>
      <c r="DD98" s="112"/>
      <c r="DE98" s="112"/>
      <c r="DF98" s="112"/>
      <c r="DG98" s="112"/>
      <c r="DH98" s="112"/>
      <c r="DI98" s="112"/>
      <c r="DJ98" s="112"/>
      <c r="DK98" s="112"/>
      <c r="DL98" s="112"/>
      <c r="DM98" s="112"/>
      <c r="DN98" s="112"/>
      <c r="DO98" s="112"/>
      <c r="DP98" s="112"/>
      <c r="DQ98" s="112"/>
      <c r="DR98" s="112"/>
      <c r="DS98" s="112"/>
      <c r="DT98" s="112"/>
      <c r="DU98" s="112"/>
      <c r="DV98" s="112"/>
      <c r="DW98" s="112"/>
      <c r="DX98" s="112"/>
      <c r="DY98" s="112"/>
      <c r="DZ98" s="112"/>
      <c r="EA98" s="112"/>
      <c r="EB98" s="112"/>
      <c r="EC98" s="112"/>
      <c r="ED98" s="112"/>
      <c r="EE98" s="112"/>
      <c r="EF98" s="112"/>
      <c r="EG98" s="112"/>
      <c r="EH98" s="60"/>
      <c r="EI98" s="60"/>
      <c r="EL98" s="60"/>
      <c r="EM98" s="60"/>
      <c r="EN98" s="60"/>
      <c r="EO98" s="60"/>
      <c r="EP98" s="60"/>
      <c r="EQ98" s="60"/>
      <c r="ER98" s="60"/>
      <c r="ES98" s="60"/>
      <c r="ET98" s="60"/>
      <c r="EU98" s="60"/>
      <c r="EV98" s="60"/>
    </row>
    <row r="99" spans="1:154" ht="19.5" x14ac:dyDescent="0.3">
      <c r="A99" s="644" t="s">
        <v>1062</v>
      </c>
      <c r="D99" s="986" t="s">
        <v>207</v>
      </c>
      <c r="E99" s="987" t="s">
        <v>1051</v>
      </c>
      <c r="F99" s="987" t="s">
        <v>1052</v>
      </c>
      <c r="G99" s="348"/>
      <c r="H99" s="316"/>
      <c r="I99" s="316"/>
      <c r="J99" s="316"/>
      <c r="K99" s="316"/>
      <c r="L99" s="316"/>
      <c r="BE99" s="873"/>
      <c r="BF99" s="991"/>
      <c r="BG99" s="991"/>
      <c r="BH99" s="991"/>
      <c r="BI99" s="991"/>
      <c r="BJ99" s="991"/>
      <c r="BK99" s="991"/>
      <c r="BL99" s="991"/>
      <c r="BM99" s="991"/>
      <c r="BN99" s="991"/>
      <c r="BO99" s="966"/>
      <c r="BP99" s="882"/>
      <c r="BQ99" s="882"/>
      <c r="BR99" s="882"/>
      <c r="BS99" s="882" t="s">
        <v>207</v>
      </c>
      <c r="BT99" s="165" t="s">
        <v>1051</v>
      </c>
      <c r="BU99" s="165" t="s">
        <v>1052</v>
      </c>
      <c r="BY99" s="882"/>
      <c r="CI99" s="9"/>
      <c r="CJ99" s="9"/>
      <c r="CK99" s="9"/>
      <c r="CL99" s="9"/>
      <c r="CM99" s="9"/>
      <c r="CN99" s="9"/>
      <c r="CO99" s="9"/>
      <c r="CP99" s="9"/>
      <c r="CQ99" s="9"/>
      <c r="CR99" s="9"/>
      <c r="CS99" s="9"/>
      <c r="CT99" s="9"/>
      <c r="CU99" s="9"/>
      <c r="CV99" s="9"/>
      <c r="EM99" s="165" t="s">
        <v>1083</v>
      </c>
      <c r="EN99" s="165" t="s">
        <v>1051</v>
      </c>
      <c r="EO99" s="165" t="s">
        <v>1052</v>
      </c>
      <c r="EP99" s="165" t="s">
        <v>9</v>
      </c>
      <c r="EQ99" s="165" t="s">
        <v>1051</v>
      </c>
      <c r="ER99" s="165" t="s">
        <v>1052</v>
      </c>
      <c r="ES99" s="165" t="s">
        <v>199</v>
      </c>
      <c r="ET99" s="165" t="s">
        <v>1051</v>
      </c>
      <c r="EU99" s="165" t="s">
        <v>1052</v>
      </c>
    </row>
    <row r="100" spans="1:154" x14ac:dyDescent="0.25">
      <c r="A100" s="258" t="s">
        <v>370</v>
      </c>
      <c r="B100" s="9" t="s">
        <v>399</v>
      </c>
      <c r="C100" s="236" t="s">
        <v>369</v>
      </c>
      <c r="D100" s="341">
        <f t="shared" ref="D100:D107" ca="1" si="153">VLOOKUP($A100,$A$74:$ER$89,COLUMN($AY$71),0)</f>
        <v>1452.9099720059705</v>
      </c>
      <c r="E100" s="341">
        <f t="shared" ref="E100:E107" ca="1" si="154">VLOOKUP($A100,$A$74:$ER$89,COLUMN($BD$71),0)</f>
        <v>1105.8523583405508</v>
      </c>
      <c r="F100" s="341">
        <f t="shared" ref="F100:F107" ca="1" si="155">VLOOKUP($A100,$A$74:$ER$89,COLUMN($BE$71),0)</f>
        <v>2774.8162425597557</v>
      </c>
      <c r="G100" s="341"/>
      <c r="H100" s="341"/>
      <c r="I100" s="341"/>
      <c r="J100" s="341"/>
      <c r="K100" s="341"/>
      <c r="L100" s="341"/>
      <c r="BE100" s="469"/>
      <c r="BF100" s="469"/>
      <c r="BG100" s="469"/>
      <c r="BH100" s="469"/>
      <c r="BI100" s="469"/>
      <c r="BJ100" s="469"/>
      <c r="BK100" s="469"/>
      <c r="BL100" s="469"/>
      <c r="BM100" s="469"/>
      <c r="BN100" s="469"/>
      <c r="BO100" s="967"/>
      <c r="BP100" s="469"/>
      <c r="BQ100" s="469"/>
      <c r="BR100" s="258" t="s">
        <v>370</v>
      </c>
      <c r="BS100" s="341">
        <f t="shared" ref="BS100:BS107" ca="1" si="156">VLOOKUP($A100,$A$74:$ER$89,COLUMN($EC$71),0)</f>
        <v>2544.7197920068247</v>
      </c>
      <c r="BT100" s="341">
        <f t="shared" ref="BT100:BT107" ca="1" si="157">VLOOKUP($A100,$A$74:$ER$89,COLUMN($EH$71),0)</f>
        <v>2023.0841452197747</v>
      </c>
      <c r="BU100" s="341">
        <f t="shared" ref="BU100:BU107" ca="1" si="158">VLOOKUP($A100,$A$74:$ER$89,COLUMN($EI$71),0)</f>
        <v>8327.4357453115153</v>
      </c>
      <c r="BV100" s="469"/>
      <c r="BY100" s="469"/>
      <c r="CI100" s="9"/>
      <c r="CJ100" s="9"/>
      <c r="CK100" s="9"/>
      <c r="CL100" s="9"/>
      <c r="CM100" s="9"/>
      <c r="CN100" s="9"/>
      <c r="CO100" s="9"/>
      <c r="CP100" s="9"/>
      <c r="CQ100" s="9"/>
      <c r="CR100" s="9"/>
      <c r="CS100" s="9"/>
      <c r="CT100" s="9"/>
      <c r="CU100" s="9"/>
      <c r="CV100" s="9"/>
      <c r="EL100" s="258" t="s">
        <v>370</v>
      </c>
      <c r="EM100" s="972">
        <f t="shared" ref="EM100:EM107" ca="1" si="159">VLOOKUP($A100,$A$74:$ER$89,COLUMN($EL$71),0)</f>
        <v>1663.7937865540807</v>
      </c>
      <c r="EN100" s="972">
        <f t="shared" ref="EN100:EN107" ca="1" si="160">VLOOKUP($A100,$A$74:$ER$89,COLUMN($EQ$71),0)</f>
        <v>1281.7782208312951</v>
      </c>
      <c r="EO100" s="972">
        <f t="shared" ref="EO100:EO107" ca="1" si="161">VLOOKUP($A100,$A$74:$ER$89,COLUMN($ER$71),0)</f>
        <v>3839.8135410377649</v>
      </c>
      <c r="EP100" s="972" t="e">
        <f>INDEX(SSC_Combined_UnitWTP_HH,MATCH($A100,SSC_WTP_OPTIONS,0))</f>
        <v>#NAME?</v>
      </c>
      <c r="EQ100" s="972" t="e">
        <f>INDEX(SSC_Combined_UnitWTP_HH_LD,MATCH($A100,SSC_WTP_OPTIONS,0))</f>
        <v>#NAME?</v>
      </c>
      <c r="ER100" s="972" t="e">
        <f>INDEX(SSC_Combined_UnitWTP_HH_HD,MATCH($A100,SSC_WTP_OPTIONS,0))</f>
        <v>#NAME?</v>
      </c>
      <c r="ES100" s="972" t="e">
        <f>INDEX(SSC_Combined_UnitWTP_NHH,MATCH($A100,SSC_WTP_OPTIONS,0))</f>
        <v>#NAME?</v>
      </c>
      <c r="ET100" s="972" t="e">
        <f>INDEX(SSC_Combined_UnitWTP_NHH_LD,MATCH($A100,SSC_WTP_OPTIONS,0))</f>
        <v>#NAME?</v>
      </c>
      <c r="EU100" s="972" t="e">
        <f>INDEX(SSC_Combined_UnitWTP_NHH_HD,MATCH($A100,SSC_WTP_OPTIONS,0))</f>
        <v>#NAME?</v>
      </c>
      <c r="EV100" s="972"/>
      <c r="EW100" s="972"/>
      <c r="EX100" s="972"/>
    </row>
    <row r="101" spans="1:154" x14ac:dyDescent="0.25">
      <c r="A101" s="258" t="s">
        <v>84</v>
      </c>
      <c r="B101" s="9" t="s">
        <v>272</v>
      </c>
      <c r="C101" s="236" t="s">
        <v>369</v>
      </c>
      <c r="D101" s="341">
        <f t="shared" ca="1" si="153"/>
        <v>817.86998013959521</v>
      </c>
      <c r="E101" s="341">
        <f t="shared" ca="1" si="154"/>
        <v>198.69601603648323</v>
      </c>
      <c r="F101" s="341">
        <f t="shared" ca="1" si="155"/>
        <v>3015.6722060411248</v>
      </c>
      <c r="G101" s="341"/>
      <c r="H101" s="341"/>
      <c r="I101" s="341"/>
      <c r="J101" s="341"/>
      <c r="K101" s="341"/>
      <c r="L101" s="341"/>
      <c r="BE101" s="469"/>
      <c r="BF101" s="469"/>
      <c r="BG101" s="469"/>
      <c r="BH101" s="469"/>
      <c r="BI101" s="469"/>
      <c r="BJ101" s="469"/>
      <c r="BK101" s="469"/>
      <c r="BL101" s="469"/>
      <c r="BM101" s="469"/>
      <c r="BN101" s="469"/>
      <c r="BO101" s="967"/>
      <c r="BP101" s="469"/>
      <c r="BQ101" s="469"/>
      <c r="BR101" s="258" t="s">
        <v>84</v>
      </c>
      <c r="BS101" s="341">
        <f t="shared" ca="1" si="156"/>
        <v>2598.2926119411236</v>
      </c>
      <c r="BT101" s="341">
        <f t="shared" ca="1" si="157"/>
        <v>1764.6159165952695</v>
      </c>
      <c r="BU101" s="341">
        <f t="shared" ca="1" si="158"/>
        <v>1023.3369742768887</v>
      </c>
      <c r="BV101" s="469"/>
      <c r="BY101" s="469"/>
      <c r="CI101" s="9"/>
      <c r="CJ101" s="9"/>
      <c r="CK101" s="9"/>
      <c r="CL101" s="9"/>
      <c r="CM101" s="9"/>
      <c r="CN101" s="9"/>
      <c r="CO101" s="9"/>
      <c r="CP101" s="9"/>
      <c r="CQ101" s="9"/>
      <c r="CR101" s="9"/>
      <c r="CS101" s="9"/>
      <c r="CT101" s="9"/>
      <c r="CU101" s="9"/>
      <c r="CV101" s="9"/>
      <c r="EL101" s="258" t="s">
        <v>84</v>
      </c>
      <c r="EM101" s="972">
        <f t="shared" ca="1" si="159"/>
        <v>1161.7598309396167</v>
      </c>
      <c r="EN101" s="972">
        <f t="shared" ca="1" si="160"/>
        <v>499.0408285887541</v>
      </c>
      <c r="EO101" s="972">
        <f t="shared" ca="1" si="161"/>
        <v>2633.5405583674574</v>
      </c>
      <c r="EP101" s="972" t="e">
        <f t="shared" ref="EP101:EP107" si="162">INDEX(SSC_Combined_UnitWTP_HH,MATCH($A101,SSC_WTP_OPTIONS,0))</f>
        <v>#NAME?</v>
      </c>
      <c r="EQ101" s="972" t="e">
        <f t="shared" ref="EQ101:EQ107" si="163">INDEX(SSC_Combined_UnitWTP_HH_LD,MATCH($A101,SSC_WTP_OPTIONS,0))</f>
        <v>#NAME?</v>
      </c>
      <c r="ER101" s="972" t="e">
        <f t="shared" ref="ER101:ER107" si="164">INDEX(SSC_Combined_UnitWTP_HH_HD,MATCH($A101,SSC_WTP_OPTIONS,0))</f>
        <v>#NAME?</v>
      </c>
      <c r="ES101" s="972" t="e">
        <f t="shared" ref="ES101:ES107" si="165">INDEX(SSC_Combined_UnitWTP_NHH,MATCH($A101,SSC_WTP_OPTIONS,0))</f>
        <v>#NAME?</v>
      </c>
      <c r="ET101" s="972" t="e">
        <f t="shared" ref="ET101:ET107" si="166">INDEX(SSC_Combined_UnitWTP_NHH_LD,MATCH($A101,SSC_WTP_OPTIONS,0))</f>
        <v>#NAME?</v>
      </c>
      <c r="EU101" s="972" t="e">
        <f t="shared" ref="EU101:EU107" si="167">INDEX(SSC_Combined_UnitWTP_NHH_HD,MATCH($A101,SSC_WTP_OPTIONS,0))</f>
        <v>#NAME?</v>
      </c>
      <c r="EV101" s="972"/>
      <c r="EW101" s="972"/>
      <c r="EX101" s="972"/>
    </row>
    <row r="102" spans="1:154" x14ac:dyDescent="0.25">
      <c r="A102" s="258" t="s">
        <v>83</v>
      </c>
      <c r="B102" s="9" t="s">
        <v>269</v>
      </c>
      <c r="C102" s="236" t="s">
        <v>369</v>
      </c>
      <c r="D102" s="341">
        <f t="shared" ca="1" si="153"/>
        <v>545.87314651273914</v>
      </c>
      <c r="E102" s="341">
        <f t="shared" ca="1" si="154"/>
        <v>407.09300308429107</v>
      </c>
      <c r="F102" s="341">
        <f t="shared" ca="1" si="155"/>
        <v>712.75569311305821</v>
      </c>
      <c r="G102" s="341"/>
      <c r="H102" s="341"/>
      <c r="I102" s="341"/>
      <c r="J102" s="341"/>
      <c r="K102" s="341"/>
      <c r="L102" s="341"/>
      <c r="BE102" s="469"/>
      <c r="BF102" s="469"/>
      <c r="BG102" s="469"/>
      <c r="BH102" s="469"/>
      <c r="BI102" s="469"/>
      <c r="BJ102" s="469"/>
      <c r="BK102" s="469"/>
      <c r="BL102" s="469"/>
      <c r="BM102" s="469"/>
      <c r="BN102" s="469"/>
      <c r="BO102" s="967"/>
      <c r="BP102" s="469"/>
      <c r="BQ102" s="469"/>
      <c r="BR102" s="258" t="s">
        <v>83</v>
      </c>
      <c r="BS102" s="341">
        <f t="shared" ca="1" si="156"/>
        <v>626.362133653407</v>
      </c>
      <c r="BT102" s="341">
        <f t="shared" ca="1" si="157"/>
        <v>476.10618121218306</v>
      </c>
      <c r="BU102" s="341">
        <f t="shared" ca="1" si="158"/>
        <v>782.5359317629302</v>
      </c>
      <c r="BV102" s="469"/>
      <c r="BY102" s="469"/>
      <c r="CI102" s="9"/>
      <c r="CJ102" s="9"/>
      <c r="CK102" s="9"/>
      <c r="CL102" s="9"/>
      <c r="CM102" s="9"/>
      <c r="CN102" s="9"/>
      <c r="CO102" s="9"/>
      <c r="CP102" s="9"/>
      <c r="CQ102" s="9"/>
      <c r="CR102" s="9"/>
      <c r="CS102" s="9"/>
      <c r="CT102" s="9"/>
      <c r="CU102" s="9"/>
      <c r="CV102" s="9"/>
      <c r="EL102" s="258" t="s">
        <v>83</v>
      </c>
      <c r="EM102" s="972">
        <f t="shared" ca="1" si="159"/>
        <v>561.41964950840236</v>
      </c>
      <c r="EN102" s="972">
        <f t="shared" ca="1" si="160"/>
        <v>420.32979127573157</v>
      </c>
      <c r="EO102" s="972">
        <f t="shared" ca="1" si="161"/>
        <v>726.13960418645979</v>
      </c>
      <c r="EP102" s="972" t="e">
        <f t="shared" si="162"/>
        <v>#NAME?</v>
      </c>
      <c r="EQ102" s="972" t="e">
        <f t="shared" si="163"/>
        <v>#NAME?</v>
      </c>
      <c r="ER102" s="972" t="e">
        <f t="shared" si="164"/>
        <v>#NAME?</v>
      </c>
      <c r="ES102" s="972" t="e">
        <f t="shared" si="165"/>
        <v>#NAME?</v>
      </c>
      <c r="ET102" s="972" t="e">
        <f t="shared" si="166"/>
        <v>#NAME?</v>
      </c>
      <c r="EU102" s="972" t="e">
        <f t="shared" si="167"/>
        <v>#NAME?</v>
      </c>
      <c r="EV102" s="972"/>
      <c r="EW102" s="972"/>
      <c r="EX102" s="972"/>
    </row>
    <row r="103" spans="1:154" x14ac:dyDescent="0.25">
      <c r="A103" s="258" t="s">
        <v>82</v>
      </c>
      <c r="B103" s="9" t="s">
        <v>268</v>
      </c>
      <c r="C103" s="236" t="s">
        <v>369</v>
      </c>
      <c r="D103" s="341">
        <f t="shared" ca="1" si="153"/>
        <v>401.22638875551917</v>
      </c>
      <c r="E103" s="341">
        <f t="shared" ca="1" si="154"/>
        <v>313.43481144261625</v>
      </c>
      <c r="F103" s="341">
        <f t="shared" ca="1" si="155"/>
        <v>572.63213264392925</v>
      </c>
      <c r="G103" s="341"/>
      <c r="H103" s="341"/>
      <c r="I103" s="341"/>
      <c r="J103" s="341"/>
      <c r="K103" s="341"/>
      <c r="L103" s="341"/>
      <c r="BE103" s="469"/>
      <c r="BF103" s="469"/>
      <c r="BG103" s="469"/>
      <c r="BH103" s="469"/>
      <c r="BI103" s="469"/>
      <c r="BJ103" s="469"/>
      <c r="BK103" s="469"/>
      <c r="BL103" s="469"/>
      <c r="BM103" s="469"/>
      <c r="BN103" s="469"/>
      <c r="BO103" s="967"/>
      <c r="BP103" s="469"/>
      <c r="BQ103" s="469"/>
      <c r="BR103" s="258" t="s">
        <v>82</v>
      </c>
      <c r="BS103" s="341">
        <f t="shared" ca="1" si="156"/>
        <v>430.67277089801928</v>
      </c>
      <c r="BT103" s="341">
        <f t="shared" ca="1" si="157"/>
        <v>340.76138376448273</v>
      </c>
      <c r="BU103" s="341">
        <f t="shared" ca="1" si="158"/>
        <v>1780.5117242474944</v>
      </c>
      <c r="BV103" s="469"/>
      <c r="BY103" s="469"/>
      <c r="CI103" s="9"/>
      <c r="CJ103" s="9"/>
      <c r="CK103" s="9"/>
      <c r="CL103" s="9"/>
      <c r="CM103" s="9"/>
      <c r="CN103" s="9"/>
      <c r="CO103" s="9"/>
      <c r="CP103" s="9"/>
      <c r="CQ103" s="9"/>
      <c r="CR103" s="9"/>
      <c r="CS103" s="9"/>
      <c r="CT103" s="9"/>
      <c r="CU103" s="9"/>
      <c r="CV103" s="9"/>
      <c r="EL103" s="258" t="s">
        <v>82</v>
      </c>
      <c r="EM103" s="972">
        <f t="shared" ca="1" si="159"/>
        <v>406.91397763509798</v>
      </c>
      <c r="EN103" s="972">
        <f t="shared" ca="1" si="160"/>
        <v>318.6760720197239</v>
      </c>
      <c r="EO103" s="972">
        <f t="shared" ca="1" si="161"/>
        <v>804.30449940830272</v>
      </c>
      <c r="EP103" s="972" t="e">
        <f t="shared" si="162"/>
        <v>#NAME?</v>
      </c>
      <c r="EQ103" s="972" t="e">
        <f t="shared" si="163"/>
        <v>#NAME?</v>
      </c>
      <c r="ER103" s="972" t="e">
        <f t="shared" si="164"/>
        <v>#NAME?</v>
      </c>
      <c r="ES103" s="972" t="e">
        <f t="shared" si="165"/>
        <v>#NAME?</v>
      </c>
      <c r="ET103" s="972" t="e">
        <f t="shared" si="166"/>
        <v>#NAME?</v>
      </c>
      <c r="EU103" s="972" t="e">
        <f t="shared" si="167"/>
        <v>#NAME?</v>
      </c>
      <c r="EV103" s="972"/>
      <c r="EW103" s="972"/>
      <c r="EX103" s="972"/>
    </row>
    <row r="104" spans="1:154" x14ac:dyDescent="0.25">
      <c r="A104" s="258" t="s">
        <v>117</v>
      </c>
      <c r="B104" s="9" t="s">
        <v>265</v>
      </c>
      <c r="C104" s="236" t="s">
        <v>369</v>
      </c>
      <c r="D104" s="341">
        <f t="shared" ca="1" si="153"/>
        <v>373.65738040810317</v>
      </c>
      <c r="E104" s="341">
        <f t="shared" ca="1" si="154"/>
        <v>213.55373687920681</v>
      </c>
      <c r="F104" s="341">
        <f t="shared" ca="1" si="155"/>
        <v>372.39351857199046</v>
      </c>
      <c r="G104" s="341"/>
      <c r="H104" s="341"/>
      <c r="I104" s="341"/>
      <c r="J104" s="341"/>
      <c r="K104" s="341"/>
      <c r="L104" s="341"/>
      <c r="BE104" s="469"/>
      <c r="BF104" s="469"/>
      <c r="BG104" s="469"/>
      <c r="BH104" s="469"/>
      <c r="BI104" s="469"/>
      <c r="BJ104" s="469"/>
      <c r="BK104" s="469"/>
      <c r="BL104" s="469"/>
      <c r="BM104" s="469"/>
      <c r="BN104" s="469"/>
      <c r="BO104" s="967"/>
      <c r="BP104" s="469"/>
      <c r="BQ104" s="469"/>
      <c r="BR104" s="258" t="s">
        <v>117</v>
      </c>
      <c r="BS104" s="341">
        <f t="shared" ca="1" si="156"/>
        <v>1429.2305829276133</v>
      </c>
      <c r="BT104" s="341">
        <f t="shared" ca="1" si="157"/>
        <v>1001.7497108156123</v>
      </c>
      <c r="BU104" s="341">
        <f t="shared" ca="1" si="158"/>
        <v>99143.011559440769</v>
      </c>
      <c r="BV104" s="469"/>
      <c r="BY104" s="469"/>
      <c r="CI104" s="9"/>
      <c r="CJ104" s="9"/>
      <c r="CK104" s="9"/>
      <c r="CL104" s="9"/>
      <c r="CM104" s="9"/>
      <c r="CN104" s="9"/>
      <c r="CO104" s="9"/>
      <c r="CP104" s="9"/>
      <c r="CQ104" s="9"/>
      <c r="CR104" s="9"/>
      <c r="CS104" s="9"/>
      <c r="CT104" s="9"/>
      <c r="CU104" s="9"/>
      <c r="CV104" s="9"/>
      <c r="EL104" s="258" t="s">
        <v>117</v>
      </c>
      <c r="EM104" s="972">
        <f t="shared" ca="1" si="159"/>
        <v>577.54206747009073</v>
      </c>
      <c r="EN104" s="972">
        <f t="shared" ca="1" si="160"/>
        <v>364.7304170924852</v>
      </c>
      <c r="EO104" s="972">
        <f t="shared" ca="1" si="161"/>
        <v>19316.684826557073</v>
      </c>
      <c r="EP104" s="972" t="e">
        <f t="shared" si="162"/>
        <v>#NAME?</v>
      </c>
      <c r="EQ104" s="972" t="e">
        <f t="shared" si="163"/>
        <v>#NAME?</v>
      </c>
      <c r="ER104" s="972" t="e">
        <f t="shared" si="164"/>
        <v>#NAME?</v>
      </c>
      <c r="ES104" s="972" t="e">
        <f t="shared" si="165"/>
        <v>#NAME?</v>
      </c>
      <c r="ET104" s="972" t="e">
        <f t="shared" si="166"/>
        <v>#NAME?</v>
      </c>
      <c r="EU104" s="972" t="e">
        <f t="shared" si="167"/>
        <v>#NAME?</v>
      </c>
      <c r="EV104" s="972"/>
      <c r="EW104" s="972"/>
      <c r="EX104" s="972"/>
    </row>
    <row r="105" spans="1:154" ht="15" customHeight="1" x14ac:dyDescent="0.25">
      <c r="A105" s="258" t="s">
        <v>25</v>
      </c>
      <c r="B105" s="9" t="s">
        <v>266</v>
      </c>
      <c r="C105" s="236" t="s">
        <v>369</v>
      </c>
      <c r="D105" s="341">
        <f t="shared" ca="1" si="153"/>
        <v>193.37006930959473</v>
      </c>
      <c r="E105" s="341">
        <f t="shared" ca="1" si="154"/>
        <v>99.861554049543173</v>
      </c>
      <c r="F105" s="341">
        <f t="shared" ca="1" si="155"/>
        <v>169.19468086403475</v>
      </c>
      <c r="G105" s="341"/>
      <c r="H105" s="341"/>
      <c r="I105" s="341"/>
      <c r="J105" s="341"/>
      <c r="K105" s="341"/>
      <c r="L105" s="341"/>
      <c r="BE105" s="469"/>
      <c r="BF105" s="469"/>
      <c r="BG105" s="469"/>
      <c r="BH105" s="469"/>
      <c r="BI105" s="469"/>
      <c r="BJ105" s="469"/>
      <c r="BK105" s="469"/>
      <c r="BL105" s="469"/>
      <c r="BM105" s="469"/>
      <c r="BN105" s="469"/>
      <c r="BO105" s="967"/>
      <c r="BP105" s="469"/>
      <c r="BQ105" s="469"/>
      <c r="BR105" s="258" t="s">
        <v>25</v>
      </c>
      <c r="BS105" s="341">
        <f t="shared" ca="1" si="156"/>
        <v>1037.5601068753365</v>
      </c>
      <c r="BT105" s="341">
        <f t="shared" ca="1" si="157"/>
        <v>580.46616107103091</v>
      </c>
      <c r="BU105" s="341">
        <f t="shared" ca="1" si="158"/>
        <v>2155.3701856732087</v>
      </c>
      <c r="BV105" s="469"/>
      <c r="BY105" s="469"/>
      <c r="CI105" s="9"/>
      <c r="CJ105" s="9"/>
      <c r="CK105" s="9"/>
      <c r="CL105" s="9"/>
      <c r="CM105" s="9"/>
      <c r="CN105" s="9"/>
      <c r="CO105" s="9"/>
      <c r="CP105" s="9"/>
      <c r="CQ105" s="9"/>
      <c r="CR105" s="9"/>
      <c r="CS105" s="9"/>
      <c r="CT105" s="9"/>
      <c r="CU105" s="9"/>
      <c r="CV105" s="9"/>
      <c r="EL105" s="258" t="s">
        <v>25</v>
      </c>
      <c r="EM105" s="972">
        <f t="shared" ca="1" si="159"/>
        <v>356.42595327777224</v>
      </c>
      <c r="EN105" s="972">
        <f t="shared" ca="1" si="160"/>
        <v>192.04193987650496</v>
      </c>
      <c r="EO105" s="972">
        <f t="shared" ca="1" si="161"/>
        <v>550.14488749654106</v>
      </c>
      <c r="EP105" s="972" t="e">
        <f t="shared" si="162"/>
        <v>#NAME?</v>
      </c>
      <c r="EQ105" s="972" t="e">
        <f t="shared" si="163"/>
        <v>#NAME?</v>
      </c>
      <c r="ER105" s="972" t="e">
        <f t="shared" si="164"/>
        <v>#NAME?</v>
      </c>
      <c r="ES105" s="972" t="e">
        <f t="shared" si="165"/>
        <v>#NAME?</v>
      </c>
      <c r="ET105" s="972" t="e">
        <f t="shared" si="166"/>
        <v>#NAME?</v>
      </c>
      <c r="EU105" s="972" t="e">
        <f t="shared" si="167"/>
        <v>#NAME?</v>
      </c>
      <c r="EV105" s="972"/>
      <c r="EW105" s="972"/>
      <c r="EX105" s="972"/>
    </row>
    <row r="106" spans="1:154" ht="15" customHeight="1" x14ac:dyDescent="0.25">
      <c r="A106" s="258" t="s">
        <v>85</v>
      </c>
      <c r="B106" s="9" t="s">
        <v>270</v>
      </c>
      <c r="C106" s="236" t="s">
        <v>369</v>
      </c>
      <c r="D106" s="341">
        <f t="shared" ca="1" si="153"/>
        <v>63.473901160007046</v>
      </c>
      <c r="E106" s="341">
        <f t="shared" ca="1" si="154"/>
        <v>40.915191181494095</v>
      </c>
      <c r="F106" s="341">
        <f t="shared" ca="1" si="155"/>
        <v>132.45080636892021</v>
      </c>
      <c r="G106" s="341"/>
      <c r="H106" s="341"/>
      <c r="I106" s="341"/>
      <c r="J106" s="341"/>
      <c r="K106" s="341"/>
      <c r="L106" s="341"/>
      <c r="BE106" s="469"/>
      <c r="BF106" s="469"/>
      <c r="BG106" s="469"/>
      <c r="BH106" s="469"/>
      <c r="BI106" s="469"/>
      <c r="BJ106" s="469"/>
      <c r="BK106" s="469"/>
      <c r="BL106" s="469"/>
      <c r="BM106" s="469"/>
      <c r="BN106" s="469"/>
      <c r="BO106" s="967"/>
      <c r="BP106" s="469"/>
      <c r="BQ106" s="469"/>
      <c r="BR106" s="258" t="s">
        <v>85</v>
      </c>
      <c r="BS106" s="341">
        <f t="shared" ca="1" si="156"/>
        <v>144.66899718413438</v>
      </c>
      <c r="BT106" s="341">
        <f t="shared" ca="1" si="157"/>
        <v>89.679832625912994</v>
      </c>
      <c r="BU106" s="341">
        <f t="shared" ca="1" si="158"/>
        <v>132.64400703114794</v>
      </c>
      <c r="BV106" s="469"/>
      <c r="BY106" s="469"/>
      <c r="CI106" s="9"/>
      <c r="CJ106" s="9"/>
      <c r="CK106" s="9"/>
      <c r="CL106" s="9"/>
      <c r="CM106" s="9"/>
      <c r="CN106" s="9"/>
      <c r="CO106" s="9"/>
      <c r="CP106" s="9"/>
      <c r="CQ106" s="9"/>
      <c r="CR106" s="9"/>
      <c r="CS106" s="9"/>
      <c r="CT106" s="9"/>
      <c r="CU106" s="9"/>
      <c r="CV106" s="9"/>
      <c r="EL106" s="258" t="s">
        <v>85</v>
      </c>
      <c r="EM106" s="972">
        <f t="shared" ca="1" si="159"/>
        <v>79.156789570146714</v>
      </c>
      <c r="EN106" s="972">
        <f t="shared" ca="1" si="160"/>
        <v>50.268292249164482</v>
      </c>
      <c r="EO106" s="972">
        <f t="shared" ca="1" si="161"/>
        <v>132.48786242565791</v>
      </c>
      <c r="EP106" s="972" t="e">
        <f t="shared" si="162"/>
        <v>#NAME?</v>
      </c>
      <c r="EQ106" s="972" t="e">
        <f t="shared" si="163"/>
        <v>#NAME?</v>
      </c>
      <c r="ER106" s="972" t="e">
        <f t="shared" si="164"/>
        <v>#NAME?</v>
      </c>
      <c r="ES106" s="972" t="e">
        <f t="shared" si="165"/>
        <v>#NAME?</v>
      </c>
      <c r="ET106" s="972" t="e">
        <f t="shared" si="166"/>
        <v>#NAME?</v>
      </c>
      <c r="EU106" s="972" t="e">
        <f t="shared" si="167"/>
        <v>#NAME?</v>
      </c>
      <c r="EV106" s="972"/>
      <c r="EW106" s="972"/>
      <c r="EX106" s="972"/>
    </row>
    <row r="107" spans="1:154" ht="15" customHeight="1" x14ac:dyDescent="0.25">
      <c r="A107" s="258" t="s">
        <v>81</v>
      </c>
      <c r="B107" s="9" t="s">
        <v>267</v>
      </c>
      <c r="C107" s="236" t="s">
        <v>369</v>
      </c>
      <c r="D107" s="341">
        <f t="shared" ca="1" si="153"/>
        <v>43.901514280815427</v>
      </c>
      <c r="E107" s="341">
        <f t="shared" ca="1" si="154"/>
        <v>20.376362330330405</v>
      </c>
      <c r="F107" s="341">
        <f t="shared" ca="1" si="155"/>
        <v>23.473765824923213</v>
      </c>
      <c r="G107" s="341"/>
      <c r="H107" s="341"/>
      <c r="I107" s="341"/>
      <c r="J107" s="341"/>
      <c r="K107" s="341"/>
      <c r="L107" s="341"/>
      <c r="BE107" s="469"/>
      <c r="BF107" s="469"/>
      <c r="BG107" s="469"/>
      <c r="BH107" s="469"/>
      <c r="BI107" s="469"/>
      <c r="BJ107" s="469"/>
      <c r="BK107" s="469"/>
      <c r="BL107" s="469"/>
      <c r="BM107" s="469"/>
      <c r="BN107" s="469"/>
      <c r="BO107" s="967"/>
      <c r="BP107" s="469"/>
      <c r="BQ107" s="469"/>
      <c r="BR107" s="258" t="s">
        <v>81</v>
      </c>
      <c r="BS107" s="341">
        <f t="shared" ca="1" si="156"/>
        <v>52.23876599432414</v>
      </c>
      <c r="BT107" s="341">
        <f t="shared" ca="1" si="157"/>
        <v>22.996255960764508</v>
      </c>
      <c r="BU107" s="341">
        <f t="shared" ca="1" si="158"/>
        <v>143.09426380028538</v>
      </c>
      <c r="BV107" s="469"/>
      <c r="BY107" s="469"/>
      <c r="CI107" s="9"/>
      <c r="CJ107" s="9"/>
      <c r="CK107" s="9"/>
      <c r="CL107" s="9"/>
      <c r="CM107" s="9"/>
      <c r="CN107" s="9"/>
      <c r="CO107" s="9"/>
      <c r="CP107" s="9"/>
      <c r="CQ107" s="9"/>
      <c r="CR107" s="9"/>
      <c r="CS107" s="9"/>
      <c r="CT107" s="9"/>
      <c r="CU107" s="9"/>
      <c r="CV107" s="9"/>
      <c r="EL107" s="258" t="s">
        <v>81</v>
      </c>
      <c r="EM107" s="972">
        <f t="shared" ca="1" si="159"/>
        <v>45.511860159726012</v>
      </c>
      <c r="EN107" s="972">
        <f t="shared" ca="1" si="160"/>
        <v>20.878860230164765</v>
      </c>
      <c r="EO107" s="972">
        <f t="shared" ca="1" si="161"/>
        <v>46.417082420490487</v>
      </c>
      <c r="EP107" s="972" t="e">
        <f t="shared" si="162"/>
        <v>#NAME?</v>
      </c>
      <c r="EQ107" s="972" t="e">
        <f t="shared" si="163"/>
        <v>#NAME?</v>
      </c>
      <c r="ER107" s="972" t="e">
        <f t="shared" si="164"/>
        <v>#NAME?</v>
      </c>
      <c r="ES107" s="972" t="e">
        <f t="shared" si="165"/>
        <v>#NAME?</v>
      </c>
      <c r="ET107" s="972" t="e">
        <f t="shared" si="166"/>
        <v>#NAME?</v>
      </c>
      <c r="EU107" s="972" t="e">
        <f t="shared" si="167"/>
        <v>#NAME?</v>
      </c>
      <c r="EV107" s="972"/>
      <c r="EW107" s="972"/>
      <c r="EX107" s="972"/>
    </row>
    <row r="108" spans="1:154" x14ac:dyDescent="0.25">
      <c r="CI108" s="9"/>
      <c r="CJ108" s="9"/>
      <c r="CK108" s="9"/>
      <c r="CL108" s="9"/>
      <c r="CM108" s="9"/>
      <c r="CN108" s="9"/>
      <c r="CO108" s="9"/>
      <c r="CP108" s="9"/>
      <c r="CQ108" s="9"/>
      <c r="CR108" s="9"/>
      <c r="CS108" s="9"/>
      <c r="CT108" s="9"/>
      <c r="CU108" s="9"/>
      <c r="CV108" s="9"/>
    </row>
    <row r="109" spans="1:154" x14ac:dyDescent="0.25">
      <c r="CI109" s="9"/>
      <c r="CJ109" s="9"/>
      <c r="CK109" s="9"/>
      <c r="CL109" s="9"/>
      <c r="CM109" s="9"/>
      <c r="CN109" s="9"/>
      <c r="CO109" s="9"/>
      <c r="CP109" s="9"/>
      <c r="CQ109" s="9"/>
      <c r="CR109" s="9"/>
      <c r="CS109" s="9"/>
      <c r="CT109" s="9"/>
      <c r="CU109" s="9"/>
      <c r="CV109" s="9"/>
    </row>
    <row r="110" spans="1:154" x14ac:dyDescent="0.25">
      <c r="CI110" s="9"/>
      <c r="CJ110" s="9"/>
      <c r="CK110" s="9"/>
      <c r="CL110" s="9"/>
      <c r="CM110" s="9"/>
      <c r="CN110" s="9"/>
      <c r="CO110" s="9"/>
      <c r="CP110" s="9"/>
      <c r="CQ110" s="9"/>
      <c r="CR110" s="9"/>
      <c r="CS110" s="9"/>
      <c r="CT110" s="9"/>
      <c r="CU110" s="9"/>
      <c r="CV110" s="9"/>
    </row>
    <row r="111" spans="1:154" x14ac:dyDescent="0.25">
      <c r="CI111" s="9"/>
      <c r="CJ111" s="9"/>
      <c r="CK111" s="9"/>
      <c r="CL111" s="9"/>
      <c r="CM111" s="9"/>
      <c r="CN111" s="9"/>
      <c r="CO111" s="9"/>
      <c r="CP111" s="9"/>
      <c r="CQ111" s="9"/>
      <c r="CR111" s="9"/>
      <c r="CS111" s="9"/>
      <c r="CT111" s="9"/>
      <c r="CU111" s="9"/>
      <c r="CV111" s="9"/>
    </row>
    <row r="112" spans="1:154" x14ac:dyDescent="0.25">
      <c r="CI112" s="9"/>
      <c r="CJ112" s="9"/>
      <c r="CK112" s="9"/>
      <c r="CL112" s="9"/>
      <c r="CM112" s="9"/>
      <c r="CN112" s="9"/>
      <c r="CO112" s="9"/>
      <c r="CP112" s="9"/>
      <c r="CQ112" s="9"/>
      <c r="CR112" s="9"/>
      <c r="CS112" s="9"/>
      <c r="CT112" s="9"/>
      <c r="CU112" s="9"/>
      <c r="CV112" s="9"/>
    </row>
    <row r="113" spans="1:100" x14ac:dyDescent="0.25">
      <c r="CI113" s="9"/>
      <c r="CJ113" s="9"/>
      <c r="CK113" s="9"/>
      <c r="CL113" s="9"/>
      <c r="CM113" s="9"/>
      <c r="CN113" s="9"/>
      <c r="CO113" s="9"/>
      <c r="CP113" s="9"/>
      <c r="CQ113" s="9"/>
      <c r="CR113" s="9"/>
      <c r="CS113" s="9"/>
      <c r="CT113" s="9"/>
      <c r="CU113" s="9"/>
      <c r="CV113" s="9"/>
    </row>
    <row r="114" spans="1:100" x14ac:dyDescent="0.25">
      <c r="CI114" s="9"/>
      <c r="CJ114" s="9"/>
      <c r="CK114" s="9"/>
      <c r="CL114" s="9"/>
      <c r="CM114" s="9"/>
      <c r="CN114" s="9"/>
      <c r="CO114" s="9"/>
      <c r="CP114" s="9"/>
      <c r="CQ114" s="9"/>
      <c r="CR114" s="9"/>
      <c r="CS114" s="9"/>
      <c r="CT114" s="9"/>
      <c r="CU114" s="9"/>
      <c r="CV114" s="9"/>
    </row>
    <row r="115" spans="1:100" x14ac:dyDescent="0.25">
      <c r="CI115" s="9"/>
      <c r="CJ115" s="9"/>
      <c r="CK115" s="9"/>
      <c r="CL115" s="9"/>
      <c r="CM115" s="9"/>
      <c r="CN115" s="9"/>
      <c r="CO115" s="9"/>
      <c r="CP115" s="9"/>
      <c r="CQ115" s="9"/>
      <c r="CR115" s="9"/>
      <c r="CS115" s="9"/>
      <c r="CT115" s="9"/>
      <c r="CU115" s="9"/>
      <c r="CV115" s="9"/>
    </row>
    <row r="116" spans="1:100" x14ac:dyDescent="0.25">
      <c r="CI116" s="9"/>
      <c r="CJ116" s="9"/>
      <c r="CK116" s="9"/>
      <c r="CL116" s="9"/>
      <c r="CM116" s="9"/>
      <c r="CN116" s="9"/>
      <c r="CO116" s="9"/>
      <c r="CP116" s="9"/>
      <c r="CQ116" s="9"/>
      <c r="CR116" s="9"/>
      <c r="CS116" s="9"/>
      <c r="CT116" s="9"/>
      <c r="CU116" s="9"/>
      <c r="CV116" s="9"/>
    </row>
    <row r="117" spans="1:100" x14ac:dyDescent="0.25">
      <c r="CI117" s="9"/>
      <c r="CJ117" s="9"/>
      <c r="CK117" s="9"/>
      <c r="CL117" s="9"/>
      <c r="CM117" s="9"/>
      <c r="CN117" s="9"/>
      <c r="CO117" s="9"/>
      <c r="CP117" s="9"/>
      <c r="CQ117" s="9"/>
      <c r="CR117" s="9"/>
      <c r="CS117" s="9"/>
      <c r="CT117" s="9"/>
      <c r="CU117" s="9"/>
      <c r="CV117" s="9"/>
    </row>
    <row r="118" spans="1:100" x14ac:dyDescent="0.25">
      <c r="CI118" s="9"/>
      <c r="CJ118" s="9"/>
      <c r="CK118" s="9"/>
      <c r="CL118" s="9"/>
      <c r="CM118" s="9"/>
      <c r="CN118" s="9"/>
      <c r="CO118" s="9"/>
      <c r="CP118" s="9"/>
      <c r="CQ118" s="9"/>
      <c r="CR118" s="9"/>
      <c r="CS118" s="9"/>
      <c r="CT118" s="9"/>
      <c r="CU118" s="9"/>
      <c r="CV118" s="9"/>
    </row>
    <row r="119" spans="1:100" x14ac:dyDescent="0.25">
      <c r="CI119" s="9"/>
      <c r="CJ119" s="9"/>
      <c r="CK119" s="9"/>
      <c r="CL119" s="9"/>
      <c r="CM119" s="9"/>
      <c r="CN119" s="9"/>
      <c r="CO119" s="9"/>
      <c r="CP119" s="9"/>
      <c r="CQ119" s="9"/>
      <c r="CR119" s="9"/>
      <c r="CS119" s="9"/>
      <c r="CT119" s="9"/>
      <c r="CU119" s="9"/>
      <c r="CV119" s="9"/>
    </row>
    <row r="120" spans="1:100" x14ac:dyDescent="0.25">
      <c r="CI120" s="9"/>
      <c r="CJ120" s="9"/>
      <c r="CK120" s="9"/>
      <c r="CL120" s="9"/>
      <c r="CM120" s="9"/>
      <c r="CN120" s="9"/>
      <c r="CO120" s="9"/>
      <c r="CP120" s="9"/>
      <c r="CQ120" s="9"/>
      <c r="CR120" s="9"/>
      <c r="CS120" s="9"/>
      <c r="CT120" s="9"/>
      <c r="CU120" s="9"/>
      <c r="CV120" s="9"/>
    </row>
    <row r="121" spans="1:100" x14ac:dyDescent="0.25">
      <c r="CI121" s="9"/>
      <c r="CJ121" s="9"/>
      <c r="CK121" s="9"/>
      <c r="CL121" s="9"/>
      <c r="CM121" s="9"/>
      <c r="CN121" s="9"/>
      <c r="CO121" s="9"/>
      <c r="CP121" s="9"/>
      <c r="CQ121" s="9"/>
      <c r="CR121" s="9"/>
      <c r="CS121" s="9"/>
      <c r="CT121" s="9"/>
      <c r="CU121" s="9"/>
      <c r="CV121" s="9"/>
    </row>
    <row r="122" spans="1:100" x14ac:dyDescent="0.25">
      <c r="CI122" s="9"/>
      <c r="CJ122" s="9"/>
      <c r="CK122" s="9"/>
      <c r="CL122" s="9"/>
      <c r="CM122" s="9"/>
      <c r="CN122" s="9"/>
      <c r="CO122" s="9"/>
      <c r="CP122" s="9"/>
      <c r="CQ122" s="9"/>
      <c r="CR122" s="9"/>
      <c r="CS122" s="9"/>
      <c r="CT122" s="9"/>
      <c r="CU122" s="9"/>
      <c r="CV122" s="9"/>
    </row>
    <row r="123" spans="1:100" ht="45" x14ac:dyDescent="0.3">
      <c r="A123" s="644" t="s">
        <v>1061</v>
      </c>
      <c r="D123" s="348" t="s">
        <v>207</v>
      </c>
      <c r="E123" s="347" t="s">
        <v>443</v>
      </c>
      <c r="F123" s="347" t="s">
        <v>972</v>
      </c>
      <c r="G123" s="788" t="s">
        <v>1047</v>
      </c>
      <c r="H123" s="784" t="s">
        <v>984</v>
      </c>
      <c r="I123" s="347" t="s">
        <v>448</v>
      </c>
      <c r="J123" s="348" t="s">
        <v>877</v>
      </c>
      <c r="K123" s="348" t="s">
        <v>876</v>
      </c>
      <c r="L123" s="347" t="s">
        <v>444</v>
      </c>
      <c r="M123" s="347" t="s">
        <v>446</v>
      </c>
      <c r="N123" s="347" t="s">
        <v>445</v>
      </c>
      <c r="O123" s="347" t="s">
        <v>447</v>
      </c>
      <c r="P123" s="990" t="s">
        <v>964</v>
      </c>
      <c r="Q123" s="987" t="s">
        <v>1051</v>
      </c>
      <c r="R123" s="987" t="s">
        <v>1052</v>
      </c>
      <c r="BE123" s="873"/>
      <c r="BF123" s="991"/>
      <c r="BG123" s="991"/>
      <c r="BH123" s="991"/>
      <c r="BI123" s="991"/>
      <c r="BJ123" s="991"/>
      <c r="BK123" s="991"/>
      <c r="BL123" s="991"/>
      <c r="BM123" s="991"/>
      <c r="BN123" s="991"/>
      <c r="BO123" s="966"/>
      <c r="BP123" s="546"/>
      <c r="BQ123" s="546"/>
      <c r="BR123" s="546"/>
      <c r="BS123" s="347" t="s">
        <v>207</v>
      </c>
      <c r="BT123" s="347" t="s">
        <v>443</v>
      </c>
      <c r="BU123" s="347" t="s">
        <v>972</v>
      </c>
      <c r="BV123" s="788" t="s">
        <v>1047</v>
      </c>
      <c r="BW123" s="784" t="s">
        <v>984</v>
      </c>
      <c r="BX123" s="959" t="s">
        <v>448</v>
      </c>
      <c r="BY123" s="348" t="s">
        <v>877</v>
      </c>
      <c r="BZ123" s="348" t="s">
        <v>876</v>
      </c>
      <c r="CA123" s="347" t="s">
        <v>444</v>
      </c>
      <c r="CB123" s="347" t="s">
        <v>446</v>
      </c>
      <c r="CC123" s="347" t="s">
        <v>445</v>
      </c>
      <c r="CD123" s="347" t="s">
        <v>447</v>
      </c>
      <c r="CE123" s="963" t="s">
        <v>964</v>
      </c>
      <c r="CF123" s="63" t="s">
        <v>1051</v>
      </c>
      <c r="CG123" s="63" t="s">
        <v>1052</v>
      </c>
      <c r="CI123" s="546"/>
      <c r="CJ123" s="9"/>
      <c r="CK123" s="9"/>
      <c r="CL123" s="9"/>
      <c r="CM123" s="9"/>
      <c r="CN123" s="9"/>
      <c r="CO123" s="9"/>
      <c r="CP123" s="9"/>
      <c r="CQ123" s="9"/>
      <c r="CR123" s="9"/>
      <c r="CS123" s="9"/>
      <c r="CT123" s="9"/>
      <c r="CU123" s="9"/>
      <c r="CV123" s="9"/>
    </row>
    <row r="124" spans="1:100" x14ac:dyDescent="0.25">
      <c r="A124" s="258" t="s">
        <v>370</v>
      </c>
      <c r="B124" s="9" t="s">
        <v>399</v>
      </c>
      <c r="C124" s="236" t="s">
        <v>369</v>
      </c>
      <c r="D124" s="341">
        <f t="shared" ref="D124:D131" ca="1" si="168">VLOOKUP($A124,$A$26:$ER$41,COLUMN($AY$23),0)</f>
        <v>1004.0372248742228</v>
      </c>
      <c r="E124" s="341">
        <f t="shared" ref="E124:E131" ca="1" si="169">VLOOKUP($A124,$A$26:$ER$41,COLUMN($D$23),0)</f>
        <v>751.24482173174863</v>
      </c>
      <c r="F124" s="341">
        <f t="shared" ref="F124:F131" ca="1" si="170">VLOOKUP($A124,$A$26:$ER$41,COLUMN($I$23),0)</f>
        <v>250.4921474232392</v>
      </c>
      <c r="G124" s="341">
        <f t="shared" ref="G124:G131" ca="1" si="171">VLOOKUP($A124,$A$26:$ER$41,COLUMN($G$23),0)</f>
        <v>1956.8353140916806</v>
      </c>
      <c r="H124" s="341">
        <f t="shared" ref="H124:H131" ca="1" si="172">VLOOKUP($A124,$A$26:$ER$41,COLUMN($L$23),0)</f>
        <v>242.94617733728819</v>
      </c>
      <c r="I124" s="341"/>
      <c r="J124" s="341"/>
      <c r="K124" s="341">
        <f ca="1">VLOOKUP($A124,$A$26:$ER$41,COLUMN($T$23),0)</f>
        <v>472.65285796343375</v>
      </c>
      <c r="L124" s="341">
        <f t="shared" ref="L124:L131" ca="1" si="173">VLOOKUP($A124,$A$26:$ER$41,COLUMN($H$23),0)</f>
        <v>3387.376353304137</v>
      </c>
      <c r="M124" s="341">
        <f ca="1">VLOOKUP($A124,$A$26:$ER$41,COLUMN($M$23),0)</f>
        <v>1775.9679939155951</v>
      </c>
      <c r="N124" s="341">
        <f ca="1">VLOOKUP($A124,$A$26:$ER$41,COLUMN($N$23),0)</f>
        <v>22.162488257641915</v>
      </c>
      <c r="O124" s="341"/>
      <c r="P124" s="341"/>
      <c r="Q124" s="32">
        <f t="shared" ref="Q124:Q131" ca="1" si="174">VLOOKUP($A124,$A$26:$ER$41,COLUMN($BD$23),0)</f>
        <v>785.49978929326471</v>
      </c>
      <c r="R124" s="32">
        <f t="shared" ref="R124:R131" ca="1" si="175">VLOOKUP($A124,$A$26:$ER$41,COLUMN($BE$23),0)</f>
        <v>1906.6713027439314</v>
      </c>
      <c r="BE124" s="469"/>
      <c r="BF124" s="469"/>
      <c r="BG124" s="469"/>
      <c r="BH124" s="469"/>
      <c r="BI124" s="469"/>
      <c r="BJ124" s="469"/>
      <c r="BK124" s="469"/>
      <c r="BL124" s="469"/>
      <c r="BM124" s="469"/>
      <c r="BN124" s="469"/>
      <c r="BO124" s="967"/>
      <c r="BP124" s="469"/>
      <c r="BQ124" s="469"/>
      <c r="BR124" s="258" t="s">
        <v>370</v>
      </c>
      <c r="BS124" s="341">
        <f t="shared" ref="BS124:BS131" ca="1" si="176">VLOOKUP($A124,$A$26:$ER$41,COLUMN($EC$23),0)</f>
        <v>1028.501528527346</v>
      </c>
      <c r="BT124" s="341">
        <f t="shared" ref="BT124:BT131" ca="1" si="177">VLOOKUP($A124,$A$26:$ER$41,COLUMN($BP$23),0)</f>
        <v>495.01276595744673</v>
      </c>
      <c r="BU124" s="341">
        <f t="shared" ref="BU124:BU131" ca="1" si="178">VLOOKUP($A124,$A$26:$ER$41,COLUMN($BU$23),0)</f>
        <v>548.30127891979646</v>
      </c>
      <c r="BV124" s="341">
        <f t="shared" ref="BV124:BV131" ca="1" si="179">VLOOKUP($A124,$A$26:$ER$41,COLUMN($BS$23),0)</f>
        <v>1589.83829787234</v>
      </c>
      <c r="BW124" s="341">
        <f t="shared" ref="BW124:BW131" ca="1" si="180">VLOOKUP($A124,$A$26:$ER$41,COLUMN($BX$23),0)</f>
        <v>391.11701344910756</v>
      </c>
      <c r="BY124" s="341"/>
      <c r="BZ124" s="341">
        <f ca="1">VLOOKUP($A124,$A$26:$ER$41,COLUMN($CF$23),0)</f>
        <v>424.94657940467681</v>
      </c>
      <c r="CA124" s="341">
        <f t="shared" ref="CA124:CA131" ca="1" si="181">VLOOKUP($A124,$A$26:$ER$41,COLUMN($BT$23),0)</f>
        <v>3454.7804310930278</v>
      </c>
      <c r="CB124" s="341">
        <f t="shared" ref="CB124:CB131" ca="1" si="182">VLOOKUP($A124,$A$26:$ER$41,COLUMN($BY$23),0)</f>
        <v>1846.8916392736846</v>
      </c>
      <c r="CC124" s="341">
        <f t="shared" ref="CC124:CC131" ca="1" si="183">VLOOKUP($A124,$A$26:$ER$41,COLUMN($BZ$23),0)</f>
        <v>15.864610482106528</v>
      </c>
      <c r="CD124" s="341" t="str">
        <f t="shared" ref="CD124:CD131" si="184">VLOOKUP($A124,$A$26:$ER$41,COLUMN($CA$23),0)</f>
        <v/>
      </c>
      <c r="CE124" s="341"/>
      <c r="CF124" s="341">
        <f t="shared" ref="CF124:CF131" ca="1" si="185">VLOOKUP($A124,$A$26:$ER$41,COLUMN($EH$23),0)</f>
        <v>810.10953443619155</v>
      </c>
      <c r="CG124" s="341">
        <f t="shared" ref="CG124:CG131" ca="1" si="186">VLOOKUP($A124,$A$26:$ER$41,COLUMN($EI$23),0)</f>
        <v>1941.0231220525454</v>
      </c>
      <c r="CI124" s="469"/>
      <c r="CJ124" s="9"/>
      <c r="CK124" s="9"/>
      <c r="CL124" s="9"/>
      <c r="CM124" s="9"/>
      <c r="CN124" s="9"/>
      <c r="CO124" s="9"/>
      <c r="CP124" s="9"/>
      <c r="CQ124" s="9"/>
      <c r="CR124" s="9"/>
      <c r="CS124" s="9"/>
      <c r="CT124" s="9"/>
      <c r="CU124" s="9"/>
      <c r="CV124" s="9"/>
    </row>
    <row r="125" spans="1:100" x14ac:dyDescent="0.25">
      <c r="A125" s="258" t="s">
        <v>84</v>
      </c>
      <c r="B125" s="9" t="s">
        <v>272</v>
      </c>
      <c r="C125" s="236" t="s">
        <v>369</v>
      </c>
      <c r="D125" s="341">
        <f t="shared" ca="1" si="168"/>
        <v>435.08659630715613</v>
      </c>
      <c r="E125" s="341">
        <f t="shared" ca="1" si="169"/>
        <v>474.58879456706273</v>
      </c>
      <c r="F125" s="341">
        <f t="shared" ca="1" si="170"/>
        <v>366.32698810829567</v>
      </c>
      <c r="G125" s="341">
        <f t="shared" ca="1" si="171"/>
        <v>652.27843803056021</v>
      </c>
      <c r="H125" s="341">
        <f t="shared" ca="1" si="172"/>
        <v>418.55420962086112</v>
      </c>
      <c r="I125" s="341"/>
      <c r="J125" s="341"/>
      <c r="K125" s="341"/>
      <c r="L125" s="341">
        <f t="shared" ca="1" si="173"/>
        <v>493.6014161850639</v>
      </c>
      <c r="M125" s="341"/>
      <c r="N125" s="341"/>
      <c r="O125" s="341"/>
      <c r="P125" s="341"/>
      <c r="Q125" s="32">
        <f t="shared" ca="1" si="174"/>
        <v>78.731110487292824</v>
      </c>
      <c r="R125" s="32">
        <f t="shared" ca="1" si="175"/>
        <v>173.75347337872324</v>
      </c>
      <c r="BE125" s="469"/>
      <c r="BF125" s="469"/>
      <c r="BG125" s="469"/>
      <c r="BH125" s="469"/>
      <c r="BI125" s="469"/>
      <c r="BJ125" s="469"/>
      <c r="BK125" s="469"/>
      <c r="BL125" s="469"/>
      <c r="BM125" s="469"/>
      <c r="BN125" s="469"/>
      <c r="BO125" s="967"/>
      <c r="BP125" s="469"/>
      <c r="BQ125" s="469"/>
      <c r="BR125" s="258" t="s">
        <v>84</v>
      </c>
      <c r="BS125" s="341">
        <f t="shared" ca="1" si="176"/>
        <v>491.29924729309357</v>
      </c>
      <c r="BT125" s="341">
        <f t="shared" ca="1" si="177"/>
        <v>613.191489361702</v>
      </c>
      <c r="BU125" s="341">
        <f t="shared" ca="1" si="178"/>
        <v>408.44904779899474</v>
      </c>
      <c r="BV125" s="341">
        <f t="shared" ca="1" si="179"/>
        <v>827.25106382978709</v>
      </c>
      <c r="BW125" s="341">
        <f t="shared" ca="1" si="180"/>
        <v>455.00807116238292</v>
      </c>
      <c r="BX125" s="341"/>
      <c r="BY125" s="341"/>
      <c r="BZ125" s="341"/>
      <c r="CA125" s="341">
        <f t="shared" ca="1" si="181"/>
        <v>413.2151621440745</v>
      </c>
      <c r="CB125" s="341" t="str">
        <f t="shared" si="182"/>
        <v/>
      </c>
      <c r="CC125" s="341" t="str">
        <f t="shared" si="183"/>
        <v/>
      </c>
      <c r="CD125" s="341" t="str">
        <f t="shared" si="184"/>
        <v/>
      </c>
      <c r="CE125" s="341"/>
      <c r="CF125" s="341">
        <f t="shared" ca="1" si="185"/>
        <v>104.01810227009742</v>
      </c>
      <c r="CG125" s="341">
        <f t="shared" ca="1" si="186"/>
        <v>268.76145322935486</v>
      </c>
      <c r="CI125" s="469"/>
      <c r="CJ125" s="9"/>
      <c r="CK125" s="9"/>
      <c r="CL125" s="9"/>
      <c r="CM125" s="9"/>
      <c r="CN125" s="9"/>
      <c r="CO125" s="9"/>
      <c r="CP125" s="9"/>
      <c r="CQ125" s="9"/>
      <c r="CR125" s="9"/>
      <c r="CS125" s="9"/>
      <c r="CT125" s="9"/>
      <c r="CU125" s="9"/>
      <c r="CV125" s="9"/>
    </row>
    <row r="126" spans="1:100" x14ac:dyDescent="0.25">
      <c r="A126" s="258" t="s">
        <v>83</v>
      </c>
      <c r="B126" s="9" t="s">
        <v>269</v>
      </c>
      <c r="C126" s="236" t="s">
        <v>369</v>
      </c>
      <c r="D126" s="341">
        <f t="shared" ca="1" si="168"/>
        <v>303.42114020493887</v>
      </c>
      <c r="E126" s="341">
        <f t="shared" ca="1" si="169"/>
        <v>160.37052631578945</v>
      </c>
      <c r="F126" s="341">
        <f t="shared" ca="1" si="170"/>
        <v>184.16917331534088</v>
      </c>
      <c r="G126" s="341">
        <f t="shared" ca="1" si="171"/>
        <v>328.66960950764013</v>
      </c>
      <c r="H126" s="341">
        <f t="shared" ca="1" si="172"/>
        <v>127.31131893909981</v>
      </c>
      <c r="I126" s="341">
        <f ca="1">VLOOKUP($A126,$A$26:$ER$41,COLUMN($P$23),0)</f>
        <v>322.64590277419234</v>
      </c>
      <c r="J126" s="341">
        <f ca="1">VLOOKUP($A126,$A$26:$ER$41,COLUMN($S$23),0)</f>
        <v>162.76608173770856</v>
      </c>
      <c r="K126" s="341">
        <f ca="1">VLOOKUP($A126,$A$26:$ER$41,COLUMN($T$23),0)</f>
        <v>167.68357359970324</v>
      </c>
      <c r="L126" s="341">
        <f t="shared" ca="1" si="173"/>
        <v>602.87121355351076</v>
      </c>
      <c r="M126" s="341">
        <f t="shared" ref="M126:M131" ca="1" si="187">VLOOKUP($A126,$A$26:$ER$41,COLUMN($M$23),0)</f>
        <v>366.78010858618666</v>
      </c>
      <c r="N126" s="341">
        <f ca="1">VLOOKUP($A126,$A$26:$ER$41,COLUMN($N$23),0)</f>
        <v>736.48879855771179</v>
      </c>
      <c r="O126" s="341">
        <f ca="1">VLOOKUP($A126,$A$26:$ER$41,COLUMN($O$23),0)</f>
        <v>0</v>
      </c>
      <c r="P126" s="341">
        <f ca="1">VLOOKUP($A126,$A$26:$ER$41,COLUMN($U$23),0)</f>
        <v>366.75032875828862</v>
      </c>
      <c r="Q126" s="32">
        <f t="shared" ca="1" si="174"/>
        <v>242.7369121639511</v>
      </c>
      <c r="R126" s="32">
        <f t="shared" ca="1" si="175"/>
        <v>346.45412668221843</v>
      </c>
      <c r="BE126" s="469"/>
      <c r="BF126" s="469"/>
      <c r="BG126" s="469"/>
      <c r="BH126" s="469"/>
      <c r="BI126" s="469"/>
      <c r="BJ126" s="469"/>
      <c r="BK126" s="469"/>
      <c r="BL126" s="469"/>
      <c r="BM126" s="469"/>
      <c r="BN126" s="469"/>
      <c r="BO126" s="967"/>
      <c r="BP126" s="469"/>
      <c r="BQ126" s="469"/>
      <c r="BR126" s="258" t="s">
        <v>83</v>
      </c>
      <c r="BS126" s="341">
        <f t="shared" ca="1" si="176"/>
        <v>182.79645073083407</v>
      </c>
      <c r="BT126" s="341">
        <f t="shared" ca="1" si="177"/>
        <v>27.921526908635794</v>
      </c>
      <c r="BU126" s="341">
        <f t="shared" ca="1" si="178"/>
        <v>43.265396481954809</v>
      </c>
      <c r="BV126" s="341">
        <f t="shared" ca="1" si="179"/>
        <v>27.87234042553191</v>
      </c>
      <c r="BW126" s="341">
        <f t="shared" ca="1" si="180"/>
        <v>76.492375000979905</v>
      </c>
      <c r="BY126" s="341">
        <f ca="1">VLOOKUP($A126,$A$26:$ER$41,COLUMN($CE$23),0)</f>
        <v>252.38277582402952</v>
      </c>
      <c r="BZ126" s="341">
        <f ca="1">VLOOKUP($A126,$A$26:$ER$41,COLUMN($CF$23),0)</f>
        <v>208.89586300568604</v>
      </c>
      <c r="CA126" s="341">
        <f t="shared" ca="1" si="181"/>
        <v>334.03345797166821</v>
      </c>
      <c r="CB126" s="341">
        <f t="shared" ca="1" si="182"/>
        <v>310.0511021114724</v>
      </c>
      <c r="CC126" s="341">
        <f t="shared" ca="1" si="183"/>
        <v>622.57951057312607</v>
      </c>
      <c r="CD126" s="341">
        <f t="shared" ca="1" si="184"/>
        <v>142.61820136367965</v>
      </c>
      <c r="CE126" s="341">
        <f ca="1">VLOOKUP($A126,$A$26:$ER$41,COLUMN($CG$23),0)</f>
        <v>329.9746975482019</v>
      </c>
      <c r="CF126" s="341">
        <f t="shared" ca="1" si="185"/>
        <v>126.76368540736229</v>
      </c>
      <c r="CG126" s="341">
        <f t="shared" ca="1" si="186"/>
        <v>351.82644787383367</v>
      </c>
      <c r="CI126" s="469"/>
      <c r="CJ126" s="9"/>
      <c r="CK126" s="9"/>
      <c r="CL126" s="9"/>
      <c r="CM126" s="9"/>
      <c r="CN126" s="9"/>
      <c r="CO126" s="9"/>
      <c r="CP126" s="9"/>
      <c r="CQ126" s="9"/>
      <c r="CR126" s="9"/>
      <c r="CS126" s="9"/>
      <c r="CT126" s="9"/>
      <c r="CU126" s="9"/>
      <c r="CV126" s="9"/>
    </row>
    <row r="127" spans="1:100" x14ac:dyDescent="0.25">
      <c r="A127" s="258" t="s">
        <v>82</v>
      </c>
      <c r="B127" s="9" t="s">
        <v>268</v>
      </c>
      <c r="C127" s="236" t="s">
        <v>369</v>
      </c>
      <c r="D127" s="341">
        <f t="shared" ca="1" si="168"/>
        <v>288.01505799402719</v>
      </c>
      <c r="E127" s="341">
        <f t="shared" ca="1" si="169"/>
        <v>6.1197962648556876</v>
      </c>
      <c r="F127" s="341">
        <f t="shared" ca="1" si="170"/>
        <v>813.60715316807944</v>
      </c>
      <c r="G127" s="341">
        <f t="shared" ca="1" si="171"/>
        <v>12.286451612903226</v>
      </c>
      <c r="H127" s="341">
        <f t="shared" ca="1" si="172"/>
        <v>638.02303360913299</v>
      </c>
      <c r="I127" s="341">
        <f ca="1">VLOOKUP($A127,$A$26:$ER$41,COLUMN($P$23),0)</f>
        <v>0.81771655751198691</v>
      </c>
      <c r="J127" s="341">
        <f ca="1">VLOOKUP($A127,$A$26:$ER$41,COLUMN($S$23),0)</f>
        <v>3.1268186186950557</v>
      </c>
      <c r="K127" s="341"/>
      <c r="L127" s="341">
        <f t="shared" ca="1" si="173"/>
        <v>102.76407977692409</v>
      </c>
      <c r="M127" s="341">
        <f t="shared" ca="1" si="187"/>
        <v>84.882317835358194</v>
      </c>
      <c r="N127" s="341"/>
      <c r="O127" s="341"/>
      <c r="P127" s="341"/>
      <c r="Q127" s="32">
        <f t="shared" ca="1" si="174"/>
        <v>229.75787314921217</v>
      </c>
      <c r="R127" s="32">
        <f t="shared" ca="1" si="175"/>
        <v>487.65780350309387</v>
      </c>
      <c r="BE127" s="469"/>
      <c r="BF127" s="469"/>
      <c r="BG127" s="469"/>
      <c r="BH127" s="469"/>
      <c r="BI127" s="469"/>
      <c r="BJ127" s="469"/>
      <c r="BK127" s="469"/>
      <c r="BL127" s="469"/>
      <c r="BM127" s="469"/>
      <c r="BN127" s="469"/>
      <c r="BO127" s="967"/>
      <c r="BP127" s="469"/>
      <c r="BQ127" s="469"/>
      <c r="BR127" s="258" t="s">
        <v>82</v>
      </c>
      <c r="BS127" s="341">
        <f t="shared" ca="1" si="176"/>
        <v>140.52879437007624</v>
      </c>
      <c r="BT127" s="341">
        <f t="shared" ca="1" si="177"/>
        <v>5.6209219858156025</v>
      </c>
      <c r="BU127" s="341">
        <f t="shared" ca="1" si="178"/>
        <v>305.50561458748172</v>
      </c>
      <c r="BV127" s="341">
        <f t="shared" ca="1" si="179"/>
        <v>8.6311347517730503</v>
      </c>
      <c r="BW127" s="341">
        <f t="shared" ca="1" si="180"/>
        <v>358.90586956011094</v>
      </c>
      <c r="BY127" s="341">
        <f ca="1">VLOOKUP($A127,$A$26:$ER$41,COLUMN($CE$23),0)</f>
        <v>6.2544218425006193</v>
      </c>
      <c r="BZ127" s="341"/>
      <c r="CA127" s="969">
        <f t="shared" ca="1" si="181"/>
        <v>147.13250935671761</v>
      </c>
      <c r="CB127" s="341">
        <f t="shared" ca="1" si="182"/>
        <v>60.7553220752445</v>
      </c>
      <c r="CC127" s="341" t="str">
        <f t="shared" si="183"/>
        <v/>
      </c>
      <c r="CD127" s="341" t="str">
        <f t="shared" si="184"/>
        <v/>
      </c>
      <c r="CE127" s="341"/>
      <c r="CF127" s="341">
        <f t="shared" ca="1" si="185"/>
        <v>108.6472624464156</v>
      </c>
      <c r="CG127" s="341">
        <f t="shared" ca="1" si="186"/>
        <v>174.70166015202778</v>
      </c>
      <c r="CI127" s="469"/>
      <c r="CJ127" s="9"/>
      <c r="CK127" s="9"/>
      <c r="CL127" s="9"/>
      <c r="CM127" s="9"/>
      <c r="CN127" s="9"/>
      <c r="CO127" s="9"/>
      <c r="CP127" s="9"/>
      <c r="CQ127" s="9"/>
      <c r="CR127" s="9"/>
      <c r="CS127" s="9"/>
      <c r="CT127" s="9"/>
      <c r="CU127" s="9"/>
      <c r="CV127" s="9"/>
    </row>
    <row r="128" spans="1:100" x14ac:dyDescent="0.25">
      <c r="A128" s="258" t="s">
        <v>117</v>
      </c>
      <c r="B128" s="9" t="s">
        <v>265</v>
      </c>
      <c r="C128" s="236" t="s">
        <v>369</v>
      </c>
      <c r="D128" s="341">
        <f t="shared" ca="1" si="168"/>
        <v>183.49859370647627</v>
      </c>
      <c r="E128" s="341">
        <f t="shared" ca="1" si="169"/>
        <v>171.97536823750744</v>
      </c>
      <c r="F128" s="341">
        <f t="shared" ca="1" si="170"/>
        <v>83.328820216603944</v>
      </c>
      <c r="G128" s="341">
        <f t="shared" ca="1" si="171"/>
        <v>263.16061120543299</v>
      </c>
      <c r="H128" s="341">
        <f t="shared" ca="1" si="172"/>
        <v>53.529306844367753</v>
      </c>
      <c r="I128" s="341">
        <f ca="1">VLOOKUP($A128,$A$26:$ER$41,COLUMN($P$23),0)</f>
        <v>170.55692503551589</v>
      </c>
      <c r="J128" s="341">
        <f ca="1">VLOOKUP($A128,$A$26:$ER$41,COLUMN($S$23),0)</f>
        <v>187.24664712503574</v>
      </c>
      <c r="K128" s="341">
        <f ca="1">VLOOKUP($A128,$A$26:$ER$41,COLUMN($T$23),0)</f>
        <v>236.20986861563162</v>
      </c>
      <c r="L128" s="341">
        <f t="shared" ca="1" si="173"/>
        <v>426.15992513253963</v>
      </c>
      <c r="M128" s="341">
        <f t="shared" ca="1" si="187"/>
        <v>299.13645170099181</v>
      </c>
      <c r="N128" s="341">
        <f ca="1">VLOOKUP($A128,$A$26:$ER$41,COLUMN($N$23),0)</f>
        <v>62.235359467680475</v>
      </c>
      <c r="O128" s="341">
        <f ca="1">VLOOKUP($A128,$A$26:$ER$41,COLUMN($O$23),0)</f>
        <v>109.30447532837569</v>
      </c>
      <c r="P128" s="341"/>
      <c r="Q128" s="32">
        <f t="shared" ca="1" si="174"/>
        <v>103.9754294896868</v>
      </c>
      <c r="R128" s="32">
        <f t="shared" ca="1" si="175"/>
        <v>194.12906514085071</v>
      </c>
      <c r="BE128" s="469"/>
      <c r="BF128" s="469"/>
      <c r="BG128" s="469"/>
      <c r="BH128" s="469"/>
      <c r="BI128" s="469"/>
      <c r="BJ128" s="469"/>
      <c r="BK128" s="469"/>
      <c r="BL128" s="469"/>
      <c r="BM128" s="469"/>
      <c r="BN128" s="469"/>
      <c r="BO128" s="967"/>
      <c r="BP128" s="469"/>
      <c r="BQ128" s="469"/>
      <c r="BR128" s="258" t="s">
        <v>117</v>
      </c>
      <c r="BS128" s="341">
        <f t="shared" ca="1" si="176"/>
        <v>246.83756003802645</v>
      </c>
      <c r="BT128" s="341">
        <f t="shared" ca="1" si="177"/>
        <v>205.16697061803447</v>
      </c>
      <c r="BU128" s="341">
        <f t="shared" ca="1" si="178"/>
        <v>36.618057097205678</v>
      </c>
      <c r="BV128" s="341">
        <f t="shared" ca="1" si="179"/>
        <v>437.90543735224588</v>
      </c>
      <c r="BW128" s="341">
        <f t="shared" ca="1" si="180"/>
        <v>68.789840101072386</v>
      </c>
      <c r="BY128" s="341">
        <f ca="1">VLOOKUP($A128,$A$26:$ER$41,COLUMN($CE$23),0)</f>
        <v>431.84258467187567</v>
      </c>
      <c r="BZ128" s="341">
        <f ca="1">VLOOKUP($A128,$A$26:$ER$41,COLUMN($CF$23),0)</f>
        <v>482.63016994759045</v>
      </c>
      <c r="CA128" s="341">
        <f t="shared" ca="1" si="181"/>
        <v>780.05736830057288</v>
      </c>
      <c r="CB128" s="341">
        <f t="shared" ca="1" si="182"/>
        <v>287.14847974505705</v>
      </c>
      <c r="CC128" s="341">
        <f t="shared" ca="1" si="183"/>
        <v>47.71524428164183</v>
      </c>
      <c r="CD128" s="341">
        <f t="shared" ca="1" si="184"/>
        <v>36.975089242435473</v>
      </c>
      <c r="CE128" s="341"/>
      <c r="CF128" s="341">
        <f t="shared" ca="1" si="185"/>
        <v>172.0338740642265</v>
      </c>
      <c r="CG128" s="341">
        <f t="shared" ca="1" si="186"/>
        <v>426.57584661003716</v>
      </c>
      <c r="CI128" s="469"/>
      <c r="CJ128" s="9"/>
      <c r="CK128" s="9"/>
      <c r="CL128" s="9"/>
      <c r="CM128" s="9"/>
      <c r="CN128" s="9"/>
      <c r="CO128" s="9"/>
      <c r="CP128" s="9"/>
      <c r="CQ128" s="9"/>
      <c r="CR128" s="9"/>
      <c r="CS128" s="9"/>
      <c r="CT128" s="9"/>
      <c r="CU128" s="9"/>
      <c r="CV128" s="9"/>
    </row>
    <row r="129" spans="1:100" x14ac:dyDescent="0.25">
      <c r="A129" s="258" t="s">
        <v>25</v>
      </c>
      <c r="B129" s="9" t="s">
        <v>266</v>
      </c>
      <c r="C129" s="236" t="s">
        <v>369</v>
      </c>
      <c r="D129" s="341">
        <f t="shared" ca="1" si="168"/>
        <v>79.485021362144408</v>
      </c>
      <c r="E129" s="341">
        <f t="shared" ca="1" si="169"/>
        <v>27.809917858229387</v>
      </c>
      <c r="F129" s="341">
        <f t="shared" ca="1" si="170"/>
        <v>139.68750774741403</v>
      </c>
      <c r="G129" s="341">
        <f t="shared" ca="1" si="171"/>
        <v>54.825127334465201</v>
      </c>
      <c r="H129" s="341">
        <f t="shared" ca="1" si="172"/>
        <v>102.61084576187584</v>
      </c>
      <c r="I129" s="341">
        <f ca="1">VLOOKUP($A129,$A$26:$ER$41,COLUMN($P$23),0)</f>
        <v>167.29787551254421</v>
      </c>
      <c r="J129" s="341">
        <f ca="1">VLOOKUP($A129,$A$26:$ER$41,COLUMN($S$23),0)</f>
        <v>113.1864253552789</v>
      </c>
      <c r="K129" s="341">
        <f ca="1">VLOOKUP($A129,$A$26:$ER$41,COLUMN($T$23),0)</f>
        <v>78.475101701335177</v>
      </c>
      <c r="L129" s="341">
        <f t="shared" ca="1" si="173"/>
        <v>53.526359649598</v>
      </c>
      <c r="M129" s="341">
        <f t="shared" ca="1" si="187"/>
        <v>40.152789365063612</v>
      </c>
      <c r="N129" s="341">
        <f ca="1">VLOOKUP($A129,$A$26:$ER$41,COLUMN($N$23),0)</f>
        <v>71.421627432047032</v>
      </c>
      <c r="O129" s="341">
        <f ca="1">VLOOKUP($A129,$A$26:$ER$41,COLUMN($O$23),0)</f>
        <v>44.404943102152615</v>
      </c>
      <c r="P129" s="341"/>
      <c r="Q129" s="32">
        <f t="shared" ca="1" si="174"/>
        <v>44.210784001400853</v>
      </c>
      <c r="R129" s="32">
        <f t="shared" ca="1" si="175"/>
        <v>70.250283320319852</v>
      </c>
      <c r="BE129" s="469"/>
      <c r="BF129" s="469"/>
      <c r="BG129" s="469"/>
      <c r="BH129" s="469"/>
      <c r="BI129" s="469"/>
      <c r="BJ129" s="469"/>
      <c r="BK129" s="469"/>
      <c r="BL129" s="469"/>
      <c r="BM129" s="469"/>
      <c r="BN129" s="469"/>
      <c r="BO129" s="967"/>
      <c r="BP129" s="469"/>
      <c r="BQ129" s="469"/>
      <c r="BR129" s="258" t="s">
        <v>25</v>
      </c>
      <c r="BS129" s="341">
        <f t="shared" ca="1" si="176"/>
        <v>338.97556120742803</v>
      </c>
      <c r="BT129" s="341">
        <f t="shared" ca="1" si="177"/>
        <v>305.14240121580548</v>
      </c>
      <c r="BU129" s="341">
        <f t="shared" ca="1" si="178"/>
        <v>605.67878671262065</v>
      </c>
      <c r="BV129" s="341">
        <f t="shared" ca="1" si="179"/>
        <v>453.83138297872341</v>
      </c>
      <c r="BW129" s="341">
        <f t="shared" ca="1" si="180"/>
        <v>643.33813461165994</v>
      </c>
      <c r="BY129" s="341">
        <f ca="1">VLOOKUP($A129,$A$26:$ER$41,COLUMN($CE$23),0)</f>
        <v>357.51319544028559</v>
      </c>
      <c r="BZ129" s="341">
        <f ca="1">VLOOKUP($A129,$A$26:$ER$41,COLUMN($CF$23),0)</f>
        <v>134.42710434682323</v>
      </c>
      <c r="CA129" s="341">
        <f t="shared" ca="1" si="181"/>
        <v>276.87488374011008</v>
      </c>
      <c r="CB129" s="341">
        <f t="shared" ca="1" si="182"/>
        <v>111.95420152872165</v>
      </c>
      <c r="CC129" s="341">
        <f t="shared" ca="1" si="183"/>
        <v>94.105065111015833</v>
      </c>
      <c r="CD129" s="341">
        <f t="shared" ca="1" si="184"/>
        <v>200.72191303036399</v>
      </c>
      <c r="CE129" s="341"/>
      <c r="CF129" s="341">
        <f t="shared" ca="1" si="185"/>
        <v>195.89639687712975</v>
      </c>
      <c r="CG129" s="341">
        <f t="shared" ca="1" si="186"/>
        <v>277.2355320074044</v>
      </c>
      <c r="CI129" s="469"/>
      <c r="CJ129" s="9"/>
      <c r="CK129" s="9"/>
      <c r="CL129" s="9"/>
      <c r="CM129" s="9"/>
      <c r="CN129" s="9"/>
      <c r="CO129" s="9"/>
      <c r="CP129" s="9"/>
      <c r="CQ129" s="9"/>
      <c r="CR129" s="9"/>
      <c r="CS129" s="9"/>
      <c r="CT129" s="9"/>
      <c r="CU129" s="9"/>
      <c r="CV129" s="9"/>
    </row>
    <row r="130" spans="1:100" x14ac:dyDescent="0.25">
      <c r="A130" s="258" t="s">
        <v>85</v>
      </c>
      <c r="B130" s="9" t="s">
        <v>270</v>
      </c>
      <c r="C130" s="236" t="s">
        <v>369</v>
      </c>
      <c r="D130" s="341">
        <f t="shared" ca="1" si="168"/>
        <v>36.54579248098554</v>
      </c>
      <c r="E130" s="341">
        <f t="shared" ca="1" si="169"/>
        <v>40.646907591559547</v>
      </c>
      <c r="F130" s="341">
        <f t="shared" ca="1" si="170"/>
        <v>32.35006265563927</v>
      </c>
      <c r="G130" s="341">
        <f t="shared" ca="1" si="171"/>
        <v>53.700509337860773</v>
      </c>
      <c r="H130" s="341">
        <f t="shared" ca="1" si="172"/>
        <v>28.473099286918725</v>
      </c>
      <c r="I130" s="341"/>
      <c r="J130" s="341">
        <f ca="1">VLOOKUP($A130,$A$26:$ER$41,COLUMN($S$23),0)</f>
        <v>30.981498899742913</v>
      </c>
      <c r="K130" s="341">
        <f ca="1">VLOOKUP($A130,$A$26:$ER$41,COLUMN($T$23),0)</f>
        <v>46.290980727560729</v>
      </c>
      <c r="L130" s="341">
        <f t="shared" ca="1" si="173"/>
        <v>17.314232736822554</v>
      </c>
      <c r="M130" s="341">
        <f t="shared" ca="1" si="187"/>
        <v>8.7722765829792628</v>
      </c>
      <c r="N130" s="341"/>
      <c r="O130" s="341">
        <f ca="1">VLOOKUP($A130,$A$26:$ER$41,COLUMN($O$23),0)</f>
        <v>95.641415912328753</v>
      </c>
      <c r="P130" s="341"/>
      <c r="Q130" s="32">
        <f t="shared" ca="1" si="174"/>
        <v>22.218812718405019</v>
      </c>
      <c r="R130" s="32">
        <f t="shared" ca="1" si="175"/>
        <v>47.276498745074576</v>
      </c>
      <c r="BE130" s="469"/>
      <c r="BF130" s="469"/>
      <c r="BG130" s="469"/>
      <c r="BH130" s="469"/>
      <c r="BI130" s="469"/>
      <c r="BJ130" s="469"/>
      <c r="BK130" s="469"/>
      <c r="BL130" s="469"/>
      <c r="BM130" s="469"/>
      <c r="BN130" s="469"/>
      <c r="BO130" s="967"/>
      <c r="BP130" s="469"/>
      <c r="BQ130" s="469"/>
      <c r="BR130" s="258" t="s">
        <v>85</v>
      </c>
      <c r="BS130" s="341">
        <f t="shared" ca="1" si="176"/>
        <v>60.073164819827873</v>
      </c>
      <c r="BT130" s="341">
        <f t="shared" ca="1" si="177"/>
        <v>18.356144634344844</v>
      </c>
      <c r="BU130" s="341">
        <f t="shared" ca="1" si="178"/>
        <v>114.29686888849665</v>
      </c>
      <c r="BV130" s="341">
        <f t="shared" ca="1" si="179"/>
        <v>23.761170212765954</v>
      </c>
      <c r="BW130" s="341">
        <f t="shared" ca="1" si="180"/>
        <v>107.27044733418506</v>
      </c>
      <c r="BY130" s="341">
        <f ca="1">VLOOKUP($A130,$A$26:$ER$41,COLUMN($CE$23),0)</f>
        <v>70.294117424823455</v>
      </c>
      <c r="BZ130" s="341">
        <f ca="1">VLOOKUP($A130,$A$26:$ER$41,COLUMN($CF$23),0)</f>
        <v>67.431856853960255</v>
      </c>
      <c r="CA130" s="341">
        <f t="shared" ca="1" si="181"/>
        <v>26.610064745616853</v>
      </c>
      <c r="CB130" s="341">
        <f t="shared" ca="1" si="182"/>
        <v>9.3912978458354957</v>
      </c>
      <c r="CC130" s="341" t="str">
        <f t="shared" si="183"/>
        <v/>
      </c>
      <c r="CD130" s="341">
        <f t="shared" ca="1" si="184"/>
        <v>116.20742333336864</v>
      </c>
      <c r="CE130" s="341"/>
      <c r="CF130" s="341">
        <f t="shared" ca="1" si="185"/>
        <v>40.545493579193902</v>
      </c>
      <c r="CG130" s="341">
        <f t="shared" ca="1" si="186"/>
        <v>53.929318309728579</v>
      </c>
      <c r="CI130" s="469"/>
      <c r="CJ130" s="9"/>
      <c r="CK130" s="9"/>
      <c r="CL130" s="9"/>
      <c r="CM130" s="9"/>
      <c r="CN130" s="9"/>
      <c r="CO130" s="9"/>
      <c r="CP130" s="9"/>
      <c r="CQ130" s="9"/>
      <c r="CR130" s="9"/>
      <c r="CS130" s="9"/>
      <c r="CT130" s="9"/>
      <c r="CU130" s="9"/>
      <c r="CV130" s="9"/>
    </row>
    <row r="131" spans="1:100" x14ac:dyDescent="0.25">
      <c r="A131" s="258" t="s">
        <v>81</v>
      </c>
      <c r="B131" s="9" t="s">
        <v>267</v>
      </c>
      <c r="C131" s="236" t="s">
        <v>369</v>
      </c>
      <c r="D131" s="341">
        <f t="shared" ca="1" si="168"/>
        <v>22.504130758641768</v>
      </c>
      <c r="E131" s="341">
        <f t="shared" ca="1" si="169"/>
        <v>25.360135823429545</v>
      </c>
      <c r="F131" s="341">
        <f t="shared" ca="1" si="170"/>
        <v>24.652821631993461</v>
      </c>
      <c r="G131" s="341">
        <f t="shared" ca="1" si="171"/>
        <v>37.393548387096779</v>
      </c>
      <c r="H131" s="341">
        <f t="shared" ca="1" si="172"/>
        <v>19.488320043841146</v>
      </c>
      <c r="I131" s="341"/>
      <c r="J131" s="341"/>
      <c r="K131" s="341"/>
      <c r="L131" s="341">
        <f t="shared" ca="1" si="173"/>
        <v>21.128225224083</v>
      </c>
      <c r="M131" s="341">
        <f t="shared" ca="1" si="187"/>
        <v>5.2371580752014397</v>
      </c>
      <c r="N131" s="341"/>
      <c r="O131" s="341"/>
      <c r="P131" s="341"/>
      <c r="Q131" s="32">
        <f t="shared" ca="1" si="174"/>
        <v>13.813578146752263</v>
      </c>
      <c r="R131" s="32">
        <f t="shared" ca="1" si="175"/>
        <v>11.911534102764012</v>
      </c>
      <c r="BE131" s="469"/>
      <c r="BF131" s="469"/>
      <c r="BG131" s="469"/>
      <c r="BH131" s="469"/>
      <c r="BI131" s="469"/>
      <c r="BJ131" s="469"/>
      <c r="BK131" s="469"/>
      <c r="BL131" s="469"/>
      <c r="BM131" s="469"/>
      <c r="BN131" s="469"/>
      <c r="BO131" s="967"/>
      <c r="BP131" s="469"/>
      <c r="BQ131" s="469"/>
      <c r="BR131" s="258" t="s">
        <v>81</v>
      </c>
      <c r="BS131" s="341">
        <f t="shared" ca="1" si="176"/>
        <v>16.431923473485394</v>
      </c>
      <c r="BT131" s="341">
        <f t="shared" ca="1" si="177"/>
        <v>24.945744680851064</v>
      </c>
      <c r="BU131" s="341">
        <f t="shared" ca="1" si="178"/>
        <v>4.4753405424098069</v>
      </c>
      <c r="BV131" s="341">
        <f t="shared" ca="1" si="179"/>
        <v>41.557659574468083</v>
      </c>
      <c r="BW131" s="341">
        <f t="shared" ca="1" si="180"/>
        <v>5.2928078375244221</v>
      </c>
      <c r="BY131" s="341"/>
      <c r="BZ131" s="341"/>
      <c r="CA131" s="341">
        <f t="shared" ca="1" si="181"/>
        <v>28.791220425295734</v>
      </c>
      <c r="CB131" s="341">
        <f t="shared" ca="1" si="182"/>
        <v>5.4843764647043622</v>
      </c>
      <c r="CC131" s="341" t="str">
        <f t="shared" si="183"/>
        <v/>
      </c>
      <c r="CD131" s="341" t="str">
        <f t="shared" si="184"/>
        <v/>
      </c>
      <c r="CE131" s="341"/>
      <c r="CF131" s="341">
        <f t="shared" ca="1" si="185"/>
        <v>10.037590454731815</v>
      </c>
      <c r="CG131" s="341">
        <f t="shared" ca="1" si="186"/>
        <v>20.100588880786152</v>
      </c>
      <c r="CI131" s="9"/>
      <c r="CJ131" s="9"/>
      <c r="CK131" s="9"/>
      <c r="CL131" s="9"/>
      <c r="CM131" s="9"/>
      <c r="CN131" s="9"/>
      <c r="CO131" s="9"/>
      <c r="CP131" s="9"/>
      <c r="CQ131" s="9"/>
      <c r="CR131" s="9"/>
      <c r="CS131" s="9"/>
      <c r="CT131" s="9"/>
      <c r="CU131" s="9"/>
      <c r="CV131" s="9"/>
    </row>
    <row r="132" spans="1:100" x14ac:dyDescent="0.25">
      <c r="CI132" s="9"/>
      <c r="CJ132" s="9"/>
      <c r="CK132" s="9"/>
      <c r="CL132" s="9"/>
      <c r="CM132" s="9"/>
      <c r="CN132" s="9"/>
      <c r="CO132" s="9"/>
      <c r="CP132" s="9"/>
      <c r="CQ132" s="9"/>
      <c r="CR132" s="9"/>
      <c r="CS132" s="9"/>
      <c r="CT132" s="9"/>
      <c r="CU132" s="9"/>
      <c r="CV132" s="9"/>
    </row>
    <row r="133" spans="1:100" x14ac:dyDescent="0.25">
      <c r="CI133" s="9"/>
      <c r="CJ133" s="9"/>
      <c r="CK133" s="9"/>
      <c r="CL133" s="9"/>
      <c r="CM133" s="9"/>
      <c r="CN133" s="9"/>
      <c r="CO133" s="9"/>
      <c r="CP133" s="9"/>
      <c r="CQ133" s="9"/>
      <c r="CR133" s="9"/>
      <c r="CS133" s="9"/>
      <c r="CT133" s="9"/>
      <c r="CU133" s="9"/>
      <c r="CV133" s="9"/>
    </row>
    <row r="134" spans="1:100" ht="45" x14ac:dyDescent="0.3">
      <c r="A134" s="644" t="s">
        <v>1073</v>
      </c>
      <c r="D134" s="348" t="s">
        <v>207</v>
      </c>
      <c r="E134" s="347" t="s">
        <v>443</v>
      </c>
      <c r="F134" s="347" t="s">
        <v>972</v>
      </c>
      <c r="G134" s="788" t="s">
        <v>1047</v>
      </c>
      <c r="H134" s="784" t="s">
        <v>984</v>
      </c>
      <c r="I134" s="347" t="s">
        <v>448</v>
      </c>
      <c r="J134" s="348" t="s">
        <v>877</v>
      </c>
      <c r="K134" s="348" t="s">
        <v>876</v>
      </c>
      <c r="L134" s="347" t="s">
        <v>444</v>
      </c>
      <c r="M134" s="347" t="s">
        <v>446</v>
      </c>
      <c r="N134" s="347" t="s">
        <v>445</v>
      </c>
      <c r="O134" s="347" t="s">
        <v>447</v>
      </c>
      <c r="P134" s="990" t="s">
        <v>964</v>
      </c>
      <c r="Q134" s="987" t="s">
        <v>1051</v>
      </c>
      <c r="R134" s="987" t="s">
        <v>1052</v>
      </c>
      <c r="BR134" s="546"/>
      <c r="BS134" s="347" t="s">
        <v>207</v>
      </c>
      <c r="BT134" s="347" t="s">
        <v>443</v>
      </c>
      <c r="BU134" s="347" t="s">
        <v>972</v>
      </c>
      <c r="BV134" s="788" t="s">
        <v>1047</v>
      </c>
      <c r="BW134" s="784" t="s">
        <v>984</v>
      </c>
      <c r="BX134" s="959" t="s">
        <v>448</v>
      </c>
      <c r="BY134" s="348" t="s">
        <v>877</v>
      </c>
      <c r="BZ134" s="348" t="s">
        <v>876</v>
      </c>
      <c r="CA134" s="347" t="s">
        <v>444</v>
      </c>
      <c r="CB134" s="347" t="s">
        <v>446</v>
      </c>
      <c r="CC134" s="347" t="s">
        <v>445</v>
      </c>
      <c r="CD134" s="347" t="s">
        <v>447</v>
      </c>
      <c r="CE134" s="963" t="s">
        <v>964</v>
      </c>
      <c r="CF134" s="63" t="s">
        <v>1051</v>
      </c>
      <c r="CG134" s="63" t="s">
        <v>1052</v>
      </c>
      <c r="CI134" s="9"/>
      <c r="CJ134" s="9"/>
      <c r="CK134" s="9"/>
      <c r="CL134" s="9"/>
      <c r="CM134" s="9"/>
      <c r="CN134" s="9"/>
      <c r="CO134" s="9"/>
      <c r="CP134" s="9"/>
      <c r="CQ134" s="9"/>
      <c r="CR134" s="9"/>
      <c r="CS134" s="9"/>
      <c r="CT134" s="9"/>
      <c r="CU134" s="9"/>
      <c r="CV134" s="9"/>
    </row>
    <row r="135" spans="1:100" x14ac:dyDescent="0.25">
      <c r="A135" s="258" t="s">
        <v>370</v>
      </c>
      <c r="B135" s="9" t="s">
        <v>399</v>
      </c>
      <c r="C135" s="236" t="s">
        <v>369</v>
      </c>
      <c r="D135" s="341">
        <f t="shared" ref="D135:D142" ca="1" si="188">VLOOKUP($A135,$A$50:$ER$65,COLUMN($AY$47),0)</f>
        <v>448.87274713174776</v>
      </c>
      <c r="E135" s="341">
        <f t="shared" ref="E135:E142" ca="1" si="189">VLOOKUP($A135,$A$50:$ER$65,COLUMN($D$47),0)</f>
        <v>800.37595925297103</v>
      </c>
      <c r="F135" s="341">
        <f t="shared" ref="F135:F142" ca="1" si="190">VLOOKUP($A135,$A$50:$ER$65,COLUMN($I$47),0)</f>
        <v>56.784428229127826</v>
      </c>
      <c r="G135" s="341">
        <f t="shared" ref="G135:G142" ca="1" si="191">VLOOKUP($A135,$A$50:$ER$65,COLUMN($G$47),0)</f>
        <v>1534.0539219015279</v>
      </c>
      <c r="H135" s="341"/>
      <c r="I135" s="341" t="str">
        <f t="shared" ref="I135:I142" si="192">VLOOKUP($A135,$A$50:$ER$65,COLUMN($P$47),0)</f>
        <v/>
      </c>
      <c r="J135" s="341"/>
      <c r="K135" s="341">
        <f ca="1">VLOOKUP($A135,$A$50:$ER$65,COLUMN($T$47),0)</f>
        <v>464.42202189180642</v>
      </c>
      <c r="L135" s="341">
        <f t="shared" ref="L135:L142" ca="1" si="193">VLOOKUP($A135,$A$50:$ER$65,COLUMN($H$47),0)</f>
        <v>522.26832331451192</v>
      </c>
      <c r="M135" s="341"/>
      <c r="N135" s="341"/>
      <c r="O135" s="341"/>
      <c r="P135" s="341"/>
      <c r="Q135" s="32">
        <f t="shared" ref="Q135:Q142" ca="1" si="194">VLOOKUP($A135,$A$50:$ER$65,COLUMN($BD$47),0)</f>
        <v>320.35256904728612</v>
      </c>
      <c r="R135" s="32">
        <f t="shared" ref="R135:R142" ca="1" si="195">VLOOKUP($A135,$A$50:$ER$65,COLUMN($BE$47),0)</f>
        <v>868.14493981582427</v>
      </c>
      <c r="BR135" s="258" t="s">
        <v>370</v>
      </c>
      <c r="BS135" s="341">
        <f t="shared" ref="BS135:BS142" ca="1" si="196">VLOOKUP($A135,$A$50:$ER$65,COLUMN($EC$47),0)</f>
        <v>1516.218263479479</v>
      </c>
      <c r="BT135" s="341">
        <f t="shared" ref="BT135:BT142" ca="1" si="197">VLOOKUP($A135,$A$50:$ER$65,COLUMN($BP$47),0)</f>
        <v>784.34042553191466</v>
      </c>
      <c r="BU135" s="341">
        <f t="shared" ref="BU135:BU142" ca="1" si="198">VLOOKUP($A135,$A$50:$ER$65,COLUMN($BU$47),0)</f>
        <v>146.33957182198631</v>
      </c>
      <c r="BV135" s="341">
        <f t="shared" ref="BV135:BV142" ca="1" si="199">VLOOKUP($A135,$A$50:$ER$65,COLUMN($BS$47),0)</f>
        <v>9499.2340425531893</v>
      </c>
      <c r="BW135" s="341"/>
      <c r="BY135" s="341"/>
      <c r="BZ135" s="341">
        <f ca="1">VLOOKUP($A135,$A$50:$ER$65,COLUMN($CF$47),0)</f>
        <v>1663.9180636415065</v>
      </c>
      <c r="CA135" s="341">
        <f t="shared" ref="CA135:CA142" ca="1" si="200">VLOOKUP($A135,$A$50:$ER$65,COLUMN($BT$47),0)</f>
        <v>2906.1240392935943</v>
      </c>
      <c r="CB135" s="341"/>
      <c r="CC135" s="341"/>
      <c r="CD135" s="341"/>
      <c r="CE135" s="341"/>
      <c r="CF135" s="341">
        <f t="shared" ref="CF135:CF142" ca="1" si="201">VLOOKUP($A135,$A$50:$ER$65,COLUMN($EH$47),0)</f>
        <v>1212.9746107835831</v>
      </c>
      <c r="CG135" s="341">
        <f t="shared" ref="CG135:CG142" ca="1" si="202">VLOOKUP($A135,$A$50:$ER$65,COLUMN($EI$47),0)</f>
        <v>6386.4126232589679</v>
      </c>
      <c r="CH135" s="469"/>
      <c r="CI135" s="9"/>
      <c r="CJ135" s="9"/>
      <c r="CK135" s="9"/>
      <c r="CL135" s="9"/>
      <c r="CM135" s="9"/>
      <c r="CN135" s="9"/>
      <c r="CO135" s="9"/>
      <c r="CP135" s="9"/>
      <c r="CQ135" s="9"/>
      <c r="CR135" s="9"/>
      <c r="CS135" s="9"/>
      <c r="CT135" s="9"/>
      <c r="CU135" s="9"/>
      <c r="CV135" s="9"/>
    </row>
    <row r="136" spans="1:100" x14ac:dyDescent="0.25">
      <c r="A136" s="258" t="s">
        <v>84</v>
      </c>
      <c r="B136" s="9" t="s">
        <v>272</v>
      </c>
      <c r="C136" s="236" t="s">
        <v>369</v>
      </c>
      <c r="D136" s="341">
        <f t="shared" ca="1" si="188"/>
        <v>382.78338383243909</v>
      </c>
      <c r="E136" s="341">
        <f t="shared" ca="1" si="189"/>
        <v>533.58397283531406</v>
      </c>
      <c r="F136" s="341">
        <f t="shared" ca="1" si="190"/>
        <v>270.10008751217691</v>
      </c>
      <c r="G136" s="341">
        <f t="shared" ca="1" si="191"/>
        <v>3935.1817996604409</v>
      </c>
      <c r="H136" s="341"/>
      <c r="I136" s="341" t="str">
        <f t="shared" si="192"/>
        <v/>
      </c>
      <c r="J136" s="341"/>
      <c r="K136" s="341"/>
      <c r="L136" s="341">
        <f t="shared" ca="1" si="193"/>
        <v>306.54879846721354</v>
      </c>
      <c r="M136" s="341"/>
      <c r="N136" s="341"/>
      <c r="O136" s="341"/>
      <c r="P136" s="341"/>
      <c r="Q136" s="32">
        <f t="shared" ca="1" si="194"/>
        <v>119.96490554919046</v>
      </c>
      <c r="R136" s="32">
        <f t="shared" ca="1" si="195"/>
        <v>2841.9187326624015</v>
      </c>
      <c r="BR136" s="258" t="s">
        <v>84</v>
      </c>
      <c r="BS136" s="341">
        <f t="shared" ca="1" si="196"/>
        <v>2106.9933646480299</v>
      </c>
      <c r="BT136" s="341">
        <f t="shared" ca="1" si="197"/>
        <v>2614.4680851063827</v>
      </c>
      <c r="BU136" s="341">
        <f t="shared" ca="1" si="198"/>
        <v>55.166819369133727</v>
      </c>
      <c r="BV136" s="341">
        <f t="shared" ca="1" si="199"/>
        <v>1394.382978723404</v>
      </c>
      <c r="BW136" s="341"/>
      <c r="BX136" s="341"/>
      <c r="BY136" s="341"/>
      <c r="BZ136" s="341"/>
      <c r="CA136" s="341">
        <f t="shared" ca="1" si="200"/>
        <v>1092.0439237313237</v>
      </c>
      <c r="CB136" s="341"/>
      <c r="CC136" s="341"/>
      <c r="CD136" s="341"/>
      <c r="CE136" s="341"/>
      <c r="CF136" s="341">
        <f t="shared" ca="1" si="201"/>
        <v>1660.5978143251718</v>
      </c>
      <c r="CG136" s="341">
        <f t="shared" ca="1" si="202"/>
        <v>754.57552104753358</v>
      </c>
      <c r="CH136" s="469"/>
      <c r="CI136" s="9"/>
      <c r="CJ136" s="9"/>
      <c r="CK136" s="9"/>
      <c r="CL136" s="9"/>
      <c r="CM136" s="9"/>
      <c r="CN136" s="9"/>
      <c r="CO136" s="9"/>
      <c r="CP136" s="9"/>
      <c r="CQ136" s="9"/>
      <c r="CR136" s="9"/>
      <c r="CS136" s="9"/>
      <c r="CT136" s="9"/>
      <c r="CU136" s="9"/>
      <c r="CV136" s="9"/>
    </row>
    <row r="137" spans="1:100" x14ac:dyDescent="0.25">
      <c r="A137" s="258" t="s">
        <v>83</v>
      </c>
      <c r="B137" s="9" t="s">
        <v>269</v>
      </c>
      <c r="C137" s="236" t="s">
        <v>369</v>
      </c>
      <c r="D137" s="341">
        <f t="shared" ca="1" si="188"/>
        <v>242.45200630780022</v>
      </c>
      <c r="E137" s="341">
        <f t="shared" ca="1" si="189"/>
        <v>310.41834897651921</v>
      </c>
      <c r="F137" s="341">
        <f t="shared" ca="1" si="190"/>
        <v>43.140724701414321</v>
      </c>
      <c r="G137" s="341">
        <f t="shared" ca="1" si="191"/>
        <v>700.32896434634995</v>
      </c>
      <c r="H137" s="341"/>
      <c r="I137" s="341">
        <f t="shared" ca="1" si="192"/>
        <v>405.03383050417659</v>
      </c>
      <c r="J137" s="341">
        <f ca="1">VLOOKUP($A137,$A$50:$ER$65,COLUMN($S$47),0)</f>
        <v>180.01668388807045</v>
      </c>
      <c r="K137" s="341">
        <f ca="1">VLOOKUP($A137,$A$50:$ER$65,COLUMN($T$47),0)</f>
        <v>184.12802484145394</v>
      </c>
      <c r="L137" s="341">
        <f t="shared" ca="1" si="193"/>
        <v>465.50002730206495</v>
      </c>
      <c r="M137" s="341"/>
      <c r="N137" s="341"/>
      <c r="O137" s="341"/>
      <c r="P137" s="341"/>
      <c r="Q137" s="32">
        <f t="shared" ca="1" si="194"/>
        <v>164.35609092033991</v>
      </c>
      <c r="R137" s="32">
        <f t="shared" ca="1" si="195"/>
        <v>366.30156643083973</v>
      </c>
      <c r="BR137" s="258" t="s">
        <v>83</v>
      </c>
      <c r="BS137" s="341">
        <f t="shared" ca="1" si="196"/>
        <v>443.56568292257293</v>
      </c>
      <c r="BT137" s="341">
        <f t="shared" ca="1" si="197"/>
        <v>90.78014184397162</v>
      </c>
      <c r="BU137" s="341">
        <f t="shared" ca="1" si="198"/>
        <v>12.15176348156276</v>
      </c>
      <c r="BV137" s="341">
        <f t="shared" ca="1" si="199"/>
        <v>261.44680851063822</v>
      </c>
      <c r="BW137" s="341"/>
      <c r="BY137" s="341">
        <f ca="1">VLOOKUP($A137,$A$50:$ER$65,COLUMN($CE$47),0)</f>
        <v>415.40639782147497</v>
      </c>
      <c r="BZ137" s="341">
        <f ca="1">VLOOKUP($A137,$A$50:$ER$65,COLUMN($CF$47),0)</f>
        <v>789.19785155467605</v>
      </c>
      <c r="CA137" s="341">
        <f t="shared" ca="1" si="200"/>
        <v>981.95253778394351</v>
      </c>
      <c r="CB137" s="341"/>
      <c r="CC137" s="341"/>
      <c r="CD137" s="341"/>
      <c r="CE137" s="341"/>
      <c r="CF137" s="341">
        <f t="shared" ca="1" si="201"/>
        <v>349.34249580482083</v>
      </c>
      <c r="CG137" s="341">
        <f t="shared" ca="1" si="202"/>
        <v>430.70948388909653</v>
      </c>
      <c r="CH137" s="469"/>
      <c r="CI137" s="9"/>
      <c r="CJ137" s="9"/>
      <c r="CK137" s="9"/>
      <c r="CL137" s="9"/>
      <c r="CM137" s="9"/>
      <c r="CN137" s="9"/>
      <c r="CO137" s="9"/>
      <c r="CP137" s="9"/>
      <c r="CQ137" s="9"/>
      <c r="CR137" s="9"/>
      <c r="CS137" s="9"/>
      <c r="CT137" s="9"/>
      <c r="CU137" s="9"/>
      <c r="CV137" s="9"/>
    </row>
    <row r="138" spans="1:100" x14ac:dyDescent="0.25">
      <c r="A138" s="258" t="s">
        <v>82</v>
      </c>
      <c r="B138" s="9" t="s">
        <v>268</v>
      </c>
      <c r="C138" s="236" t="s">
        <v>369</v>
      </c>
      <c r="D138" s="341">
        <f t="shared" ca="1" si="188"/>
        <v>113.21133076149198</v>
      </c>
      <c r="E138" s="341">
        <f t="shared" ca="1" si="189"/>
        <v>9.7267911714770818</v>
      </c>
      <c r="F138" s="341">
        <f t="shared" ca="1" si="190"/>
        <v>191.30305399706398</v>
      </c>
      <c r="G138" s="341">
        <f t="shared" ca="1" si="191"/>
        <v>8.8930662139219017</v>
      </c>
      <c r="H138" s="341"/>
      <c r="I138" s="341">
        <f t="shared" ca="1" si="192"/>
        <v>38.73249263519228</v>
      </c>
      <c r="J138" s="341">
        <f ca="1">VLOOKUP($A138,$A$50:$ER$65,COLUMN($S$47),0)</f>
        <v>57.086937475377226</v>
      </c>
      <c r="K138" s="341"/>
      <c r="L138" s="341">
        <f t="shared" ca="1" si="193"/>
        <v>212.46126119075066</v>
      </c>
      <c r="M138" s="341"/>
      <c r="N138" s="341"/>
      <c r="O138" s="341"/>
      <c r="P138" s="341"/>
      <c r="Q138" s="32">
        <f t="shared" ca="1" si="194"/>
        <v>83.676938293404106</v>
      </c>
      <c r="R138" s="32">
        <f t="shared" ca="1" si="195"/>
        <v>84.974329140835437</v>
      </c>
      <c r="BR138" s="258" t="s">
        <v>82</v>
      </c>
      <c r="BS138" s="341">
        <f t="shared" ca="1" si="196"/>
        <v>290.14397652794304</v>
      </c>
      <c r="BT138" s="341">
        <f t="shared" ca="1" si="197"/>
        <v>5.8099290780141848</v>
      </c>
      <c r="BU138" s="341">
        <f t="shared" ca="1" si="198"/>
        <v>2252.6034487450415</v>
      </c>
      <c r="BV138" s="341">
        <f t="shared" ca="1" si="199"/>
        <v>51.563120567375883</v>
      </c>
      <c r="BW138" s="341"/>
      <c r="BY138" s="969">
        <f ca="1">VLOOKUP($A138,$A$50:$ER$65,COLUMN($CE$47),0)</f>
        <v>1.3248803591268139E-3</v>
      </c>
      <c r="BZ138" s="341"/>
      <c r="CA138" s="969">
        <f t="shared" ca="1" si="200"/>
        <v>916.84060175731759</v>
      </c>
      <c r="CB138" s="341"/>
      <c r="CC138" s="341"/>
      <c r="CD138" s="341"/>
      <c r="CE138" s="341"/>
      <c r="CF138" s="341">
        <f t="shared" ca="1" si="201"/>
        <v>232.11412131806713</v>
      </c>
      <c r="CG138" s="341">
        <f t="shared" ca="1" si="202"/>
        <v>1605.8100640954663</v>
      </c>
      <c r="CH138" s="469"/>
      <c r="CI138" s="9"/>
      <c r="CJ138" s="9"/>
      <c r="CK138" s="9"/>
      <c r="CL138" s="9"/>
      <c r="CM138" s="9"/>
      <c r="CN138" s="9"/>
      <c r="CO138" s="9"/>
      <c r="CP138" s="9"/>
      <c r="CQ138" s="9"/>
      <c r="CR138" s="9"/>
      <c r="CS138" s="9"/>
      <c r="CT138" s="9"/>
      <c r="CU138" s="9"/>
      <c r="CV138" s="9"/>
    </row>
    <row r="139" spans="1:100" x14ac:dyDescent="0.25">
      <c r="A139" s="258" t="s">
        <v>117</v>
      </c>
      <c r="B139" s="9" t="s">
        <v>265</v>
      </c>
      <c r="C139" s="236" t="s">
        <v>369</v>
      </c>
      <c r="D139" s="341">
        <f t="shared" ca="1" si="188"/>
        <v>190.15878670162689</v>
      </c>
      <c r="E139" s="341">
        <f t="shared" ca="1" si="189"/>
        <v>70.914536619635854</v>
      </c>
      <c r="F139" s="341">
        <f t="shared" ca="1" si="190"/>
        <v>184.66986976717914</v>
      </c>
      <c r="G139" s="341">
        <f t="shared" ca="1" si="191"/>
        <v>350.16448217317492</v>
      </c>
      <c r="H139" s="341"/>
      <c r="I139" s="341">
        <f t="shared" ca="1" si="192"/>
        <v>129.73739883336907</v>
      </c>
      <c r="J139" s="341">
        <f ca="1">VLOOKUP($A139,$A$50:$ER$65,COLUMN($S$47),0)</f>
        <v>202.78386685394906</v>
      </c>
      <c r="K139" s="341">
        <f ca="1">VLOOKUP($A139,$A$50:$ER$65,COLUMN($T$47),0)</f>
        <v>298.80167699686126</v>
      </c>
      <c r="L139" s="341">
        <f t="shared" ca="1" si="193"/>
        <v>412.98935349055165</v>
      </c>
      <c r="M139" s="341"/>
      <c r="N139" s="341"/>
      <c r="O139" s="341"/>
      <c r="P139" s="341"/>
      <c r="Q139" s="32">
        <f t="shared" ca="1" si="194"/>
        <v>109.57830738952001</v>
      </c>
      <c r="R139" s="32">
        <f t="shared" ca="1" si="195"/>
        <v>178.26445343113986</v>
      </c>
      <c r="BR139" s="258" t="s">
        <v>117</v>
      </c>
      <c r="BS139" s="341">
        <f t="shared" ca="1" si="196"/>
        <v>1182.393022889587</v>
      </c>
      <c r="BT139" s="341">
        <f t="shared" ca="1" si="197"/>
        <v>181.56028368794324</v>
      </c>
      <c r="BU139" s="341">
        <f t="shared" ca="1" si="198"/>
        <v>4536.682431842446</v>
      </c>
      <c r="BV139" s="341">
        <f t="shared" ca="1" si="199"/>
        <v>1864.018912529551</v>
      </c>
      <c r="BW139" s="341"/>
      <c r="BY139" s="341">
        <f ca="1">VLOOKUP($A139,$A$50:$ER$65,COLUMN($CE$47),0)</f>
        <v>1733.6259336177989</v>
      </c>
      <c r="BZ139" s="341">
        <f ca="1">VLOOKUP($A139,$A$50:$ER$65,COLUMN($CF$47),0)</f>
        <v>1821.9422844400433</v>
      </c>
      <c r="CA139" s="341">
        <f t="shared" ca="1" si="200"/>
        <v>2754.0372883720047</v>
      </c>
      <c r="CB139" s="341"/>
      <c r="CC139" s="341"/>
      <c r="CD139" s="341"/>
      <c r="CE139" s="341"/>
      <c r="CF139" s="341">
        <f t="shared" ca="1" si="201"/>
        <v>829.71583675138595</v>
      </c>
      <c r="CG139" s="341">
        <f t="shared" ca="1" si="202"/>
        <v>98716.435712830731</v>
      </c>
      <c r="CH139" s="469"/>
      <c r="CI139" s="9"/>
      <c r="CJ139" s="9"/>
      <c r="CK139" s="9"/>
      <c r="CL139" s="9"/>
      <c r="CM139" s="9"/>
      <c r="CN139" s="9"/>
      <c r="CO139" s="9"/>
      <c r="CP139" s="9"/>
      <c r="CQ139" s="9"/>
      <c r="CR139" s="9"/>
      <c r="CS139" s="9"/>
      <c r="CT139" s="9"/>
      <c r="CU139" s="9"/>
      <c r="CV139" s="9"/>
    </row>
    <row r="140" spans="1:100" x14ac:dyDescent="0.25">
      <c r="A140" s="258" t="s">
        <v>25</v>
      </c>
      <c r="B140" s="9" t="s">
        <v>266</v>
      </c>
      <c r="C140" s="236" t="s">
        <v>369</v>
      </c>
      <c r="D140" s="341">
        <f t="shared" ca="1" si="188"/>
        <v>113.8850479474503</v>
      </c>
      <c r="E140" s="341">
        <f t="shared" ca="1" si="189"/>
        <v>44.321585387272407</v>
      </c>
      <c r="F140" s="341">
        <f t="shared" ca="1" si="190"/>
        <v>207.13203782671931</v>
      </c>
      <c r="G140" s="341">
        <f t="shared" ca="1" si="191"/>
        <v>52.107809847198645</v>
      </c>
      <c r="H140" s="341"/>
      <c r="I140" s="341">
        <f t="shared" ca="1" si="192"/>
        <v>118.66225503052048</v>
      </c>
      <c r="J140" s="341">
        <f ca="1">VLOOKUP($A140,$A$50:$ER$65,COLUMN($S$47),0)</f>
        <v>134.95804761465288</v>
      </c>
      <c r="K140" s="341">
        <f ca="1">VLOOKUP($A140,$A$50:$ER$65,COLUMN($T$47),0)</f>
        <v>95.341906085695584</v>
      </c>
      <c r="L140" s="341">
        <f t="shared" ca="1" si="193"/>
        <v>69.186360765169724</v>
      </c>
      <c r="M140" s="341"/>
      <c r="N140" s="341"/>
      <c r="O140" s="341"/>
      <c r="P140" s="341"/>
      <c r="Q140" s="32">
        <f t="shared" ca="1" si="194"/>
        <v>55.650770048142313</v>
      </c>
      <c r="R140" s="32">
        <f t="shared" ca="1" si="195"/>
        <v>98.944397543714857</v>
      </c>
      <c r="BR140" s="258" t="s">
        <v>25</v>
      </c>
      <c r="BS140" s="341">
        <f t="shared" ca="1" si="196"/>
        <v>698.5845456679084</v>
      </c>
      <c r="BT140" s="341">
        <f t="shared" ca="1" si="197"/>
        <v>290.49645390070918</v>
      </c>
      <c r="BU140" s="341">
        <f t="shared" ca="1" si="198"/>
        <v>3003.7798612861075</v>
      </c>
      <c r="BV140" s="341">
        <f t="shared" ca="1" si="199"/>
        <v>1752.5106382978724</v>
      </c>
      <c r="BW140" s="341"/>
      <c r="BY140" s="341">
        <f ca="1">VLOOKUP($A140,$A$50:$ER$65,COLUMN($CE$47),0)</f>
        <v>991.44746136180504</v>
      </c>
      <c r="BZ140" s="341">
        <f ca="1">VLOOKUP($A140,$A$50:$ER$65,COLUMN($CF$47),0)</f>
        <v>482.08031748002361</v>
      </c>
      <c r="CA140" s="341">
        <f t="shared" ca="1" si="200"/>
        <v>1564.4402601574698</v>
      </c>
      <c r="CB140" s="341"/>
      <c r="CC140" s="341"/>
      <c r="CD140" s="341"/>
      <c r="CE140" s="341"/>
      <c r="CF140" s="341">
        <f t="shared" ca="1" si="201"/>
        <v>384.56976419390116</v>
      </c>
      <c r="CG140" s="341">
        <f t="shared" ca="1" si="202"/>
        <v>1878.1346536658039</v>
      </c>
      <c r="CH140" s="469"/>
      <c r="CI140" s="9"/>
      <c r="CJ140" s="9"/>
      <c r="CK140" s="9"/>
      <c r="CL140" s="9"/>
      <c r="CM140" s="9"/>
      <c r="CN140" s="9"/>
      <c r="CO140" s="9"/>
      <c r="CP140" s="9"/>
      <c r="CQ140" s="9"/>
      <c r="CR140" s="9"/>
      <c r="CS140" s="9"/>
      <c r="CT140" s="9"/>
      <c r="CU140" s="9"/>
      <c r="CV140" s="9"/>
    </row>
    <row r="141" spans="1:100" x14ac:dyDescent="0.25">
      <c r="A141" s="258" t="s">
        <v>85</v>
      </c>
      <c r="B141" s="9" t="s">
        <v>270</v>
      </c>
      <c r="C141" s="236" t="s">
        <v>369</v>
      </c>
      <c r="D141" s="341">
        <f t="shared" ca="1" si="188"/>
        <v>26.928108679021509</v>
      </c>
      <c r="E141" s="341">
        <f t="shared" ca="1" si="189"/>
        <v>38.286305674962968</v>
      </c>
      <c r="F141" s="341">
        <f t="shared" ca="1" si="190"/>
        <v>4.12870423758259</v>
      </c>
      <c r="G141" s="341">
        <f t="shared" ca="1" si="191"/>
        <v>133.39599320882851</v>
      </c>
      <c r="H141" s="341"/>
      <c r="I141" s="341" t="str">
        <f t="shared" si="192"/>
        <v/>
      </c>
      <c r="J141" s="341">
        <f ca="1">VLOOKUP($A141,$A$50:$ER$65,COLUMN($S$47),0)</f>
        <v>22.963116395651259</v>
      </c>
      <c r="K141" s="341">
        <f ca="1">VLOOKUP($A141,$A$50:$ER$65,COLUMN($T$47),0)</f>
        <v>45.821123514354376</v>
      </c>
      <c r="L141" s="341">
        <f t="shared" ca="1" si="193"/>
        <v>41.157014609024031</v>
      </c>
      <c r="M141" s="341"/>
      <c r="N141" s="341"/>
      <c r="O141" s="341"/>
      <c r="P141" s="341"/>
      <c r="Q141" s="32">
        <f t="shared" ca="1" si="194"/>
        <v>18.696378463089079</v>
      </c>
      <c r="R141" s="32">
        <f t="shared" ca="1" si="195"/>
        <v>85.174307623845621</v>
      </c>
      <c r="BR141" s="258" t="s">
        <v>85</v>
      </c>
      <c r="BS141" s="341">
        <f t="shared" ca="1" si="196"/>
        <v>84.595832364306503</v>
      </c>
      <c r="BT141" s="341">
        <f t="shared" ca="1" si="197"/>
        <v>23.177908555907649</v>
      </c>
      <c r="BU141" s="341">
        <f t="shared" ca="1" si="198"/>
        <v>71.767833306117126</v>
      </c>
      <c r="BV141" s="341">
        <f t="shared" ca="1" si="199"/>
        <v>59.914893617021271</v>
      </c>
      <c r="BW141" s="341"/>
      <c r="BY141" s="341">
        <f ca="1">VLOOKUP($A141,$A$50:$ER$65,COLUMN($CE$47),0)</f>
        <v>73.005098116450924</v>
      </c>
      <c r="BZ141" s="341">
        <f ca="1">VLOOKUP($A141,$A$50:$ER$65,COLUMN($CF$47),0)</f>
        <v>182.98919326608075</v>
      </c>
      <c r="CA141" s="341">
        <f t="shared" ca="1" si="200"/>
        <v>160.55314637978825</v>
      </c>
      <c r="CB141" s="341"/>
      <c r="CC141" s="341"/>
      <c r="CD141" s="341"/>
      <c r="CE141" s="341"/>
      <c r="CF141" s="341">
        <f t="shared" ca="1" si="201"/>
        <v>49.134339046719077</v>
      </c>
      <c r="CG141" s="341">
        <f t="shared" ca="1" si="202"/>
        <v>78.714688721419392</v>
      </c>
      <c r="CH141" s="469"/>
      <c r="CI141" s="9"/>
      <c r="CJ141" s="9"/>
      <c r="CK141" s="9"/>
      <c r="CL141" s="9"/>
      <c r="CM141" s="9"/>
      <c r="CN141" s="9"/>
      <c r="CO141" s="9"/>
      <c r="CP141" s="9"/>
      <c r="CQ141" s="9"/>
      <c r="CR141" s="9"/>
      <c r="CS141" s="9"/>
      <c r="CT141" s="9"/>
      <c r="CU141" s="9"/>
      <c r="CV141" s="9"/>
    </row>
    <row r="142" spans="1:100" x14ac:dyDescent="0.25">
      <c r="A142" s="258" t="s">
        <v>81</v>
      </c>
      <c r="B142" s="9" t="s">
        <v>267</v>
      </c>
      <c r="C142" s="236" t="s">
        <v>369</v>
      </c>
      <c r="D142" s="341">
        <f t="shared" ca="1" si="188"/>
        <v>21.397383522173659</v>
      </c>
      <c r="E142" s="341">
        <f t="shared" ca="1" si="189"/>
        <v>30.847823429541599</v>
      </c>
      <c r="F142" s="341">
        <f t="shared" ca="1" si="190"/>
        <v>15.460897911817229</v>
      </c>
      <c r="G142" s="341">
        <f t="shared" ca="1" si="191"/>
        <v>35.850173174872666</v>
      </c>
      <c r="H142" s="341"/>
      <c r="I142" s="341" t="str">
        <f t="shared" si="192"/>
        <v/>
      </c>
      <c r="J142" s="341"/>
      <c r="K142" s="341"/>
      <c r="L142" s="341">
        <f t="shared" ca="1" si="193"/>
        <v>14.369474928150639</v>
      </c>
      <c r="M142" s="341"/>
      <c r="N142" s="341"/>
      <c r="O142" s="341"/>
      <c r="P142" s="341"/>
      <c r="Q142" s="32">
        <f t="shared" ca="1" si="194"/>
        <v>6.5627841835781435</v>
      </c>
      <c r="R142" s="32">
        <f t="shared" ca="1" si="195"/>
        <v>11.562231722159208</v>
      </c>
      <c r="BR142" s="258" t="s">
        <v>81</v>
      </c>
      <c r="BS142" s="341">
        <f t="shared" ca="1" si="196"/>
        <v>35.806842520838742</v>
      </c>
      <c r="BT142" s="341">
        <f t="shared" ca="1" si="197"/>
        <v>22.876595744680852</v>
      </c>
      <c r="BU142" s="341">
        <f t="shared" ca="1" si="198"/>
        <v>146.88959917787989</v>
      </c>
      <c r="BV142" s="341">
        <f t="shared" ca="1" si="199"/>
        <v>189.54893617021276</v>
      </c>
      <c r="BW142" s="341"/>
      <c r="BY142" s="341"/>
      <c r="BZ142" s="341"/>
      <c r="CA142" s="341">
        <f t="shared" ca="1" si="200"/>
        <v>61.667336073154523</v>
      </c>
      <c r="CB142" s="341"/>
      <c r="CC142" s="341"/>
      <c r="CD142" s="341"/>
      <c r="CE142" s="341"/>
      <c r="CF142" s="341">
        <f t="shared" ca="1" si="201"/>
        <v>12.958665506032695</v>
      </c>
      <c r="CG142" s="341">
        <f t="shared" ca="1" si="202"/>
        <v>122.99367491949921</v>
      </c>
      <c r="CH142" s="469"/>
      <c r="CI142" s="9"/>
      <c r="CJ142" s="9"/>
      <c r="CK142" s="9"/>
      <c r="CL142" s="9"/>
      <c r="CM142" s="9"/>
      <c r="CN142" s="9"/>
      <c r="CO142" s="9"/>
      <c r="CP142" s="9"/>
      <c r="CQ142" s="9"/>
      <c r="CR142" s="9"/>
      <c r="CS142" s="9"/>
      <c r="CT142" s="9"/>
      <c r="CU142" s="9"/>
      <c r="CV142" s="9"/>
    </row>
    <row r="143" spans="1:100" x14ac:dyDescent="0.25">
      <c r="M143" s="341"/>
      <c r="CI143" s="9"/>
      <c r="CJ143" s="9"/>
      <c r="CK143" s="9"/>
      <c r="CL143" s="9"/>
      <c r="CM143" s="9"/>
      <c r="CN143" s="9"/>
      <c r="CO143" s="9"/>
      <c r="CP143" s="9"/>
      <c r="CQ143" s="9"/>
      <c r="CR143" s="9"/>
      <c r="CS143" s="9"/>
      <c r="CT143" s="9"/>
      <c r="CU143" s="9"/>
      <c r="CV143" s="9"/>
    </row>
    <row r="144" spans="1:100" x14ac:dyDescent="0.25">
      <c r="CI144" s="9"/>
      <c r="CJ144" s="9"/>
      <c r="CK144" s="9"/>
      <c r="CL144" s="9"/>
      <c r="CM144" s="9"/>
      <c r="CN144" s="9"/>
      <c r="CO144" s="9"/>
      <c r="CP144" s="9"/>
      <c r="CQ144" s="9"/>
      <c r="CR144" s="9"/>
      <c r="CS144" s="9"/>
      <c r="CT144" s="9"/>
      <c r="CU144" s="9"/>
      <c r="CV144" s="9"/>
    </row>
    <row r="145" spans="1:150" x14ac:dyDescent="0.25">
      <c r="CI145" s="9"/>
      <c r="CJ145" s="9"/>
      <c r="CK145" s="9"/>
      <c r="CL145" s="9"/>
      <c r="CM145" s="9"/>
      <c r="CN145" s="9"/>
      <c r="CO145" s="9"/>
      <c r="CP145" s="9"/>
      <c r="CQ145" s="9"/>
      <c r="CR145" s="9"/>
      <c r="CS145" s="9"/>
      <c r="CT145" s="9"/>
      <c r="CU145" s="9"/>
      <c r="CV145" s="9"/>
    </row>
    <row r="146" spans="1:150" x14ac:dyDescent="0.25">
      <c r="CI146" s="9"/>
      <c r="CJ146" s="9" t="s">
        <v>1091</v>
      </c>
      <c r="CK146" s="9"/>
      <c r="CL146" s="9"/>
      <c r="CM146" s="9"/>
      <c r="CN146" s="9"/>
      <c r="CO146" s="9"/>
      <c r="CP146" s="9"/>
      <c r="CQ146" s="9"/>
      <c r="CR146" s="9"/>
      <c r="CS146" s="9"/>
      <c r="CT146" s="9"/>
      <c r="CU146" s="9"/>
      <c r="CV146" s="9"/>
    </row>
    <row r="147" spans="1:150" x14ac:dyDescent="0.25">
      <c r="CI147" s="9"/>
      <c r="CJ147" s="9"/>
      <c r="CK147" s="9"/>
      <c r="CL147" s="9"/>
      <c r="CM147" s="9"/>
      <c r="CN147" s="9"/>
      <c r="CO147" s="9"/>
      <c r="CP147" s="9"/>
      <c r="CQ147" s="9"/>
      <c r="CR147" s="9"/>
      <c r="CS147" s="9"/>
      <c r="CT147" s="9"/>
      <c r="CU147" s="9"/>
      <c r="CV147" s="9"/>
    </row>
    <row r="148" spans="1:150" x14ac:dyDescent="0.25">
      <c r="CI148" s="9"/>
      <c r="CJ148" s="9"/>
      <c r="CK148" s="9"/>
      <c r="CL148" s="9"/>
      <c r="CM148" s="9"/>
      <c r="CN148" s="9"/>
      <c r="CO148" s="9"/>
      <c r="CP148" s="9"/>
      <c r="CQ148" s="9"/>
      <c r="CR148" s="9"/>
      <c r="CS148" s="9"/>
      <c r="CT148" s="9"/>
      <c r="CU148" s="9"/>
      <c r="CV148" s="9"/>
    </row>
    <row r="149" spans="1:150" x14ac:dyDescent="0.25">
      <c r="CI149" s="9"/>
      <c r="CJ149" s="9"/>
      <c r="CK149" s="9"/>
      <c r="CL149" s="9"/>
      <c r="CM149" s="9"/>
      <c r="CN149" s="9"/>
      <c r="CO149" s="9"/>
      <c r="CP149" s="9"/>
      <c r="CQ149" s="9"/>
      <c r="CR149" s="9"/>
      <c r="CS149" s="9"/>
      <c r="CT149" s="9"/>
      <c r="CU149" s="9"/>
      <c r="CV149" s="9"/>
    </row>
    <row r="150" spans="1:150" ht="19.5" x14ac:dyDescent="0.3">
      <c r="A150" s="644" t="s">
        <v>1063</v>
      </c>
      <c r="D150" s="985" t="s">
        <v>207</v>
      </c>
      <c r="E150" s="63" t="s">
        <v>1051</v>
      </c>
      <c r="F150" s="63" t="s">
        <v>1052</v>
      </c>
      <c r="G150" s="545"/>
      <c r="H150" s="545"/>
      <c r="I150" s="545"/>
      <c r="J150" s="545"/>
      <c r="K150" s="545"/>
      <c r="L150" s="545"/>
      <c r="M150" s="545"/>
      <c r="N150" s="545"/>
      <c r="O150" s="545"/>
      <c r="P150" s="545"/>
      <c r="Q150" s="545"/>
      <c r="R150" s="545"/>
      <c r="S150" s="545"/>
      <c r="T150" s="545"/>
      <c r="U150" s="545"/>
      <c r="V150" s="545"/>
      <c r="W150" s="545"/>
      <c r="X150" s="545"/>
      <c r="Y150" s="545"/>
      <c r="Z150" s="545"/>
      <c r="AA150" s="545"/>
      <c r="AB150" s="545"/>
      <c r="AC150" s="545"/>
      <c r="AD150" s="545"/>
      <c r="AE150" s="545"/>
      <c r="AF150" s="545"/>
      <c r="AG150" s="545"/>
      <c r="AH150" s="545"/>
      <c r="AI150" s="545"/>
      <c r="AJ150" s="545"/>
      <c r="AK150" s="545"/>
      <c r="AL150" s="545"/>
      <c r="AM150" s="545"/>
      <c r="AN150" s="545"/>
      <c r="AO150" s="545"/>
      <c r="AP150" s="545"/>
      <c r="AQ150" s="545"/>
      <c r="AR150" s="545"/>
      <c r="AS150" s="545"/>
      <c r="AT150" s="545"/>
      <c r="AU150" s="545"/>
      <c r="AV150" s="545"/>
      <c r="AW150" s="545"/>
      <c r="AX150" s="545"/>
      <c r="AY150" s="545"/>
      <c r="AZ150" s="545"/>
      <c r="BA150" s="545"/>
      <c r="BB150" s="545"/>
      <c r="BC150" s="545"/>
      <c r="BD150" s="545"/>
      <c r="BE150" s="545"/>
      <c r="BF150" s="545"/>
      <c r="BG150" s="545"/>
      <c r="BH150" s="545"/>
      <c r="BI150" s="545"/>
      <c r="BJ150" s="545"/>
      <c r="BK150" s="545"/>
      <c r="BL150" s="545"/>
      <c r="BM150" s="545"/>
      <c r="BN150" s="545"/>
      <c r="BO150" s="965"/>
      <c r="BP150" s="545"/>
      <c r="BQ150" s="545"/>
      <c r="BR150" s="882"/>
      <c r="BS150" s="882" t="s">
        <v>207</v>
      </c>
      <c r="BT150" s="165" t="s">
        <v>1051</v>
      </c>
      <c r="BU150" s="165" t="s">
        <v>1052</v>
      </c>
      <c r="BY150" s="545"/>
      <c r="BZ150" s="545"/>
      <c r="CA150" s="545"/>
      <c r="CB150" s="545"/>
      <c r="CC150" s="545"/>
      <c r="CD150" s="545"/>
      <c r="CE150" s="545"/>
      <c r="CF150" s="545"/>
      <c r="CG150" s="545"/>
      <c r="CH150" s="545"/>
      <c r="CI150" s="545"/>
      <c r="CJ150" s="545"/>
      <c r="CK150" s="545"/>
      <c r="CL150" s="545"/>
      <c r="CM150" s="545"/>
      <c r="CN150" s="545"/>
      <c r="CO150" s="545"/>
      <c r="CP150" s="545"/>
      <c r="CQ150" s="545"/>
      <c r="CR150" s="545"/>
      <c r="CS150" s="545"/>
      <c r="CT150" s="545"/>
      <c r="CU150" s="545"/>
      <c r="CV150" s="545"/>
      <c r="CW150" s="545"/>
      <c r="CX150" s="545"/>
      <c r="CY150" s="545"/>
      <c r="CZ150" s="545"/>
      <c r="DA150" s="545"/>
      <c r="DB150" s="545"/>
      <c r="DC150" s="545"/>
      <c r="DD150" s="545"/>
      <c r="DE150" s="545"/>
      <c r="DF150" s="545"/>
      <c r="DG150" s="545"/>
      <c r="DH150" s="545"/>
      <c r="DI150" s="545"/>
      <c r="DJ150" s="545"/>
      <c r="DK150" s="545"/>
      <c r="DL150" s="545"/>
      <c r="DM150" s="545"/>
      <c r="DN150" s="545"/>
      <c r="DO150" s="545"/>
      <c r="DP150" s="545"/>
      <c r="DQ150" s="545"/>
      <c r="DR150" s="545"/>
      <c r="DS150" s="545"/>
      <c r="DT150" s="545"/>
      <c r="DU150" s="545"/>
      <c r="DV150" s="545"/>
      <c r="DW150" s="545"/>
      <c r="DX150" s="545"/>
      <c r="DY150" s="545"/>
      <c r="DZ150" s="545"/>
      <c r="EA150" s="545"/>
      <c r="EB150" s="545"/>
      <c r="EC150" s="545"/>
      <c r="ED150" s="545"/>
      <c r="EE150" s="545"/>
      <c r="EF150" s="545"/>
      <c r="EG150" s="545"/>
      <c r="EL150" s="165" t="s">
        <v>1083</v>
      </c>
      <c r="EM150" s="165" t="s">
        <v>1051</v>
      </c>
      <c r="EN150" s="165" t="s">
        <v>1052</v>
      </c>
      <c r="EO150" s="165" t="s">
        <v>9</v>
      </c>
      <c r="EP150" s="165" t="s">
        <v>1051</v>
      </c>
      <c r="EQ150" s="165" t="s">
        <v>1052</v>
      </c>
      <c r="ER150" s="165" t="s">
        <v>199</v>
      </c>
      <c r="ES150" s="165" t="s">
        <v>1051</v>
      </c>
      <c r="ET150" s="165" t="s">
        <v>1052</v>
      </c>
    </row>
    <row r="151" spans="1:150" x14ac:dyDescent="0.25">
      <c r="A151" s="258" t="s">
        <v>86</v>
      </c>
      <c r="B151" s="9" t="s">
        <v>323</v>
      </c>
      <c r="C151" s="236" t="s">
        <v>422</v>
      </c>
      <c r="D151" s="341">
        <f ca="1">VLOOKUP($A151,$A$74:$ER$89,COLUMN($AY$71),0)</f>
        <v>1060280.5026510479</v>
      </c>
      <c r="E151" s="341">
        <f ca="1">VLOOKUP($A151,$A$74:$ER$89,COLUMN($BD$71),0)</f>
        <v>784634.00212083827</v>
      </c>
      <c r="F151" s="341">
        <f ca="1">VLOOKUP($A151,$A$74:$ER$89,COLUMN($BE$71),0)</f>
        <v>1010276.2790047517</v>
      </c>
      <c r="G151" s="348"/>
      <c r="H151" s="316"/>
      <c r="I151" s="316"/>
      <c r="J151" s="316"/>
      <c r="K151" s="316"/>
      <c r="L151" s="316"/>
      <c r="BE151" s="873"/>
      <c r="BF151" s="991"/>
      <c r="BG151" s="991"/>
      <c r="BH151" s="991"/>
      <c r="BI151" s="991"/>
      <c r="BJ151" s="991"/>
      <c r="BK151" s="991"/>
      <c r="BL151" s="991"/>
      <c r="BM151" s="991"/>
      <c r="BN151" s="991"/>
      <c r="BO151" s="966"/>
      <c r="BP151" s="882"/>
      <c r="BQ151" s="882"/>
      <c r="BR151" s="469" t="s">
        <v>86</v>
      </c>
      <c r="BS151" s="341">
        <f ca="1">VLOOKUP($A151,$A$74:$ER$89,COLUMN($EC$71),0)</f>
        <v>1511602.8643979887</v>
      </c>
      <c r="BT151" s="341">
        <f ca="1">VLOOKUP($A151,$A$74:$ER$89,COLUMN($EH$71),0)</f>
        <v>585150.02130986797</v>
      </c>
      <c r="BU151" s="341">
        <f ca="1">VLOOKUP($A151,$A$74:$ER$89,COLUMN($EI$71),0)</f>
        <v>407678.20827958663</v>
      </c>
      <c r="BY151" s="882"/>
      <c r="CI151" s="9"/>
      <c r="CJ151" s="9"/>
      <c r="CK151" s="9"/>
      <c r="CL151" s="9"/>
      <c r="CM151" s="9"/>
      <c r="CN151" s="9"/>
      <c r="CO151" s="9"/>
      <c r="CP151" s="9"/>
      <c r="CQ151" s="9"/>
      <c r="CR151" s="9"/>
      <c r="CS151" s="9"/>
      <c r="CT151" s="9"/>
      <c r="CU151" s="9"/>
      <c r="CV151" s="9"/>
      <c r="EK151" s="258" t="s">
        <v>86</v>
      </c>
      <c r="EL151" s="972">
        <f ca="1">VLOOKUP($A151,$A$74:$ER$89,COLUMN($EL$71),0)</f>
        <v>1147453.7259473747</v>
      </c>
      <c r="EM151" s="972">
        <f ca="1">VLOOKUP($A151,$A$74:$ER$89,COLUMN($EQ$71),0)</f>
        <v>746372.79935914406</v>
      </c>
      <c r="EN151" s="972">
        <f ca="1">VLOOKUP($A151,$A$74:$ER$89,COLUMN($ER$71),0)</f>
        <v>894697.43967093527</v>
      </c>
      <c r="EO151" s="972" t="e">
        <f>INDEX(SSC_Combined_UnitWTP_HH,MATCH($A151,SSC_WTP_OPTIONS,0))</f>
        <v>#NAME?</v>
      </c>
      <c r="EP151" s="972" t="e">
        <f>INDEX(SSC_Combined_UnitWTP_HH_LD,MATCH($A151,SSC_WTP_OPTIONS,0))</f>
        <v>#NAME?</v>
      </c>
      <c r="EQ151" s="972" t="e">
        <f>INDEX(SSC_Combined_UnitWTP_HH_HD,MATCH($A151,SSC_WTP_OPTIONS,0))</f>
        <v>#NAME?</v>
      </c>
      <c r="ER151" s="972" t="e">
        <f>INDEX(SSC_Combined_UnitWTP_NHH,MATCH($A151,SSC_WTP_OPTIONS,0))</f>
        <v>#NAME?</v>
      </c>
      <c r="ES151" s="972" t="e">
        <f>INDEX(SSC_Combined_UnitWTP_NHH_LD,MATCH($A151,SSC_WTP_OPTIONS,0))</f>
        <v>#NAME?</v>
      </c>
      <c r="ET151" s="972" t="e">
        <f>INDEX(SSC_Combined_UnitWTP_NHH_HD,MATCH($A151,SSC_WTP_OPTIONS,0))</f>
        <v>#NAME?</v>
      </c>
    </row>
    <row r="152" spans="1:150" x14ac:dyDescent="0.25">
      <c r="A152" s="258" t="s">
        <v>28</v>
      </c>
      <c r="B152" s="9" t="s">
        <v>319</v>
      </c>
      <c r="C152" s="236" t="s">
        <v>422</v>
      </c>
      <c r="D152" s="341">
        <f ca="1">VLOOKUP($A152,$A$74:$ER$89,COLUMN($AY$71),0)</f>
        <v>638832.8051816317</v>
      </c>
      <c r="E152" s="341">
        <f ca="1">VLOOKUP($A152,$A$74:$ER$89,COLUMN($BD$71),0)</f>
        <v>440787.14765436109</v>
      </c>
      <c r="F152" s="341">
        <f ca="1">VLOOKUP($A152,$A$74:$ER$89,COLUMN($BE$71),0)</f>
        <v>1246297.7789866123</v>
      </c>
      <c r="G152" s="341"/>
      <c r="H152" s="341"/>
      <c r="I152" s="341"/>
      <c r="J152" s="341"/>
      <c r="K152" s="341"/>
      <c r="L152" s="341"/>
      <c r="BE152" s="469"/>
      <c r="BF152" s="469"/>
      <c r="BG152" s="469"/>
      <c r="BH152" s="469"/>
      <c r="BI152" s="469"/>
      <c r="BJ152" s="469"/>
      <c r="BK152" s="469"/>
      <c r="BL152" s="469"/>
      <c r="BM152" s="469"/>
      <c r="BN152" s="469"/>
      <c r="BO152" s="967"/>
      <c r="BP152" s="469"/>
      <c r="BQ152" s="469"/>
      <c r="BR152" s="258" t="s">
        <v>588</v>
      </c>
      <c r="BS152" s="341">
        <f ca="1">VLOOKUP($A152,$A$74:$ER$89,COLUMN($EC$71),0)</f>
        <v>1083378.236029218</v>
      </c>
      <c r="BT152" s="341">
        <f ca="1">VLOOKUP($A152,$A$74:$ER$89,COLUMN($EH$71),0)</f>
        <v>769053.09664997493</v>
      </c>
      <c r="BU152" s="341">
        <f ca="1">VLOOKUP($A152,$A$74:$ER$89,COLUMN($EI$71),0)</f>
        <v>521284.61117662536</v>
      </c>
      <c r="BY152" s="469"/>
      <c r="CI152" s="9"/>
      <c r="CJ152" s="9"/>
      <c r="CK152" s="9"/>
      <c r="CL152" s="9"/>
      <c r="CM152" s="9"/>
      <c r="CN152" s="9"/>
      <c r="CO152" s="9"/>
      <c r="CP152" s="9"/>
      <c r="CQ152" s="9"/>
      <c r="CR152" s="9"/>
      <c r="CS152" s="9"/>
      <c r="CT152" s="9"/>
      <c r="CU152" s="9"/>
      <c r="CV152" s="9"/>
      <c r="EK152" s="258" t="s">
        <v>28</v>
      </c>
      <c r="EL152" s="972">
        <f ca="1">VLOOKUP($A152,$A$74:$ER$89,COLUMN($EL$71),0)</f>
        <v>724697.05963301484</v>
      </c>
      <c r="EM152" s="972">
        <f ca="1">VLOOKUP($A152,$A$74:$ER$89,COLUMN($EQ$71),0)</f>
        <v>503748.84504590638</v>
      </c>
      <c r="EN152" s="972">
        <f ca="1">VLOOKUP($A152,$A$74:$ER$89,COLUMN($ER$71),0)</f>
        <v>1107239.6164930423</v>
      </c>
      <c r="EO152" s="972" t="e">
        <f>INDEX(SSC_Combined_UnitWTP_HH,MATCH($A152,SSC_WTP_OPTIONS,0))</f>
        <v>#NAME?</v>
      </c>
      <c r="EP152" s="972" t="e">
        <f>INDEX(SSC_Combined_UnitWTP_HH_LD,MATCH($A152,SSC_WTP_OPTIONS,0))</f>
        <v>#NAME?</v>
      </c>
      <c r="EQ152" s="972" t="e">
        <f>INDEX(SSC_Combined_UnitWTP_HH_HD,MATCH($A152,SSC_WTP_OPTIONS,0))</f>
        <v>#NAME?</v>
      </c>
      <c r="ER152" s="972" t="e">
        <f>INDEX(SSC_Combined_UnitWTP_NHH,MATCH($A152,SSC_WTP_OPTIONS,0))</f>
        <v>#NAME?</v>
      </c>
      <c r="ES152" s="972" t="e">
        <f>INDEX(SSC_Combined_UnitWTP_NHH_LD,MATCH($A152,SSC_WTP_OPTIONS,0))</f>
        <v>#NAME?</v>
      </c>
      <c r="ET152" s="972" t="e">
        <f>INDEX(SSC_Combined_UnitWTP_NHH_HD,MATCH($A152,SSC_WTP_OPTIONS,0))</f>
        <v>#NAME?</v>
      </c>
    </row>
    <row r="153" spans="1:150" ht="15" customHeight="1" x14ac:dyDescent="0.3">
      <c r="A153" s="644" t="s">
        <v>1064</v>
      </c>
      <c r="B153" s="545"/>
      <c r="C153" s="545"/>
      <c r="D153" s="545"/>
      <c r="E153" s="545"/>
      <c r="F153" s="545"/>
      <c r="G153" s="341"/>
      <c r="H153" s="341"/>
      <c r="I153" s="341"/>
      <c r="J153" s="341"/>
      <c r="K153" s="341"/>
      <c r="L153" s="341"/>
      <c r="BE153" s="469"/>
      <c r="BF153" s="469"/>
      <c r="BG153" s="469"/>
      <c r="BH153" s="469"/>
      <c r="BI153" s="469"/>
      <c r="BJ153" s="469"/>
      <c r="BK153" s="469"/>
      <c r="BL153" s="469"/>
      <c r="BM153" s="469"/>
      <c r="BN153" s="469"/>
      <c r="BO153" s="967"/>
      <c r="BP153" s="469"/>
      <c r="BQ153" s="469"/>
      <c r="BR153" s="469"/>
      <c r="BS153" s="469"/>
      <c r="BT153" s="469"/>
      <c r="BY153" s="469"/>
      <c r="CI153" s="9"/>
      <c r="CJ153" s="9"/>
      <c r="CK153" s="9"/>
      <c r="CL153" s="9"/>
      <c r="CM153" s="9"/>
      <c r="CN153" s="9"/>
      <c r="CO153" s="9"/>
      <c r="CP153" s="9"/>
      <c r="CQ153" s="9"/>
      <c r="CR153" s="9"/>
      <c r="CS153" s="9"/>
      <c r="CT153" s="9"/>
      <c r="CU153" s="9"/>
      <c r="CV153" s="9"/>
    </row>
    <row r="154" spans="1:150" x14ac:dyDescent="0.25">
      <c r="CI154" s="9"/>
      <c r="CJ154" s="9"/>
      <c r="CK154" s="9"/>
      <c r="CL154" s="9"/>
      <c r="CM154" s="9"/>
      <c r="CN154" s="9"/>
      <c r="CO154" s="9"/>
      <c r="CP154" s="9"/>
      <c r="CQ154" s="9"/>
      <c r="CR154" s="9"/>
      <c r="CS154" s="9"/>
      <c r="CT154" s="9"/>
      <c r="CU154" s="9"/>
      <c r="CV154" s="9"/>
    </row>
    <row r="155" spans="1:150" ht="45" x14ac:dyDescent="0.25">
      <c r="D155" s="348" t="s">
        <v>207</v>
      </c>
      <c r="E155" s="347" t="s">
        <v>443</v>
      </c>
      <c r="F155" s="347" t="s">
        <v>972</v>
      </c>
      <c r="G155" s="788" t="s">
        <v>1047</v>
      </c>
      <c r="H155" s="347" t="s">
        <v>984</v>
      </c>
      <c r="I155" s="347" t="s">
        <v>448</v>
      </c>
      <c r="J155" s="348" t="s">
        <v>877</v>
      </c>
      <c r="K155" s="348" t="s">
        <v>876</v>
      </c>
      <c r="L155" s="347" t="s">
        <v>444</v>
      </c>
      <c r="M155" s="987" t="s">
        <v>1051</v>
      </c>
      <c r="N155" s="987" t="s">
        <v>1052</v>
      </c>
      <c r="BE155" s="873"/>
      <c r="BF155" s="991"/>
      <c r="BG155" s="991"/>
      <c r="BH155" s="991"/>
      <c r="BI155" s="991"/>
      <c r="BJ155" s="991"/>
      <c r="BK155" s="991"/>
      <c r="BL155" s="991"/>
      <c r="BM155" s="991"/>
      <c r="BN155" s="991"/>
      <c r="BO155" s="966"/>
      <c r="BP155" s="546"/>
      <c r="BQ155" s="546"/>
      <c r="BR155" s="546"/>
      <c r="BS155" s="546" t="s">
        <v>207</v>
      </c>
      <c r="BT155" s="347" t="s">
        <v>443</v>
      </c>
      <c r="BU155" s="347" t="s">
        <v>972</v>
      </c>
      <c r="BV155" s="788" t="s">
        <v>1047</v>
      </c>
      <c r="BW155" s="347" t="s">
        <v>984</v>
      </c>
      <c r="BX155" s="959" t="s">
        <v>448</v>
      </c>
      <c r="BY155" s="348" t="s">
        <v>877</v>
      </c>
      <c r="BZ155" s="348" t="s">
        <v>876</v>
      </c>
      <c r="CA155" s="347" t="s">
        <v>444</v>
      </c>
      <c r="CB155" s="347" t="s">
        <v>446</v>
      </c>
      <c r="CC155" s="347" t="s">
        <v>445</v>
      </c>
      <c r="CD155" s="347" t="s">
        <v>447</v>
      </c>
      <c r="CE155" s="63" t="s">
        <v>1051</v>
      </c>
      <c r="CF155" s="63" t="s">
        <v>1052</v>
      </c>
      <c r="CI155" s="546"/>
      <c r="CJ155" s="9"/>
      <c r="CK155" s="9"/>
      <c r="CL155" s="9"/>
      <c r="CM155" s="9"/>
      <c r="CN155" s="9"/>
      <c r="CO155" s="9"/>
      <c r="CP155" s="9"/>
      <c r="CQ155" s="9"/>
      <c r="CR155" s="9"/>
      <c r="CS155" s="9"/>
      <c r="CT155" s="9"/>
      <c r="CU155" s="9"/>
      <c r="CV155" s="9"/>
    </row>
    <row r="156" spans="1:150" x14ac:dyDescent="0.25">
      <c r="A156" s="258" t="s">
        <v>86</v>
      </c>
      <c r="B156" s="9" t="s">
        <v>323</v>
      </c>
      <c r="C156" s="236" t="s">
        <v>422</v>
      </c>
      <c r="D156" s="341">
        <f ca="1">VLOOKUP($A156,$A$26:$ER$41,COLUMN($AY$23),0)</f>
        <v>377167.14064197743</v>
      </c>
      <c r="E156" s="341">
        <f ca="1">VLOOKUP($A156,$A$26:$ER$41,COLUMN($D$23),0)</f>
        <v>92736</v>
      </c>
      <c r="F156" s="341"/>
      <c r="G156" s="341">
        <f ca="1">VLOOKUP($A156,$A$26:$ER$41,COLUMN($G$23),0)</f>
        <v>145727.99999999997</v>
      </c>
      <c r="H156" s="341"/>
      <c r="I156" s="341" t="str">
        <f>VLOOKUP($A156,$A$26:$ER$41,COLUMN($P$23),0)</f>
        <v/>
      </c>
      <c r="J156" s="341"/>
      <c r="K156" s="341">
        <f ca="1">VLOOKUP($A156,$A$26:$ER$41,COLUMN($T$23),0)</f>
        <v>276666.84924583929</v>
      </c>
      <c r="L156" s="341">
        <f ca="1">VLOOKUP($A156,$A$26:$ER$41,COLUMN($H$23),0)</f>
        <v>996279.56762400118</v>
      </c>
      <c r="M156" s="341">
        <f ca="1">VLOOKUP($A156,$A$26:$ER$41,COLUMN($BD$23),0)</f>
        <v>238143.31251358194</v>
      </c>
      <c r="N156" s="341">
        <f ca="1">VLOOKUP($A156,$A$26:$ER$41,COLUMN($BE$23),0)</f>
        <v>495289.941585619</v>
      </c>
      <c r="BE156" s="469"/>
      <c r="BF156" s="469"/>
      <c r="BG156" s="469"/>
      <c r="BH156" s="469"/>
      <c r="BI156" s="469"/>
      <c r="BJ156" s="469"/>
      <c r="BK156" s="469"/>
      <c r="BL156" s="469"/>
      <c r="BM156" s="469"/>
      <c r="BN156" s="469"/>
      <c r="BO156" s="967"/>
      <c r="BP156" s="469"/>
      <c r="BQ156" s="469"/>
      <c r="BR156" s="258" t="s">
        <v>86</v>
      </c>
      <c r="BS156" s="341">
        <f ca="1">VLOOKUP($A156,$A$26:$ER$41,COLUMN($EC$23),0)</f>
        <v>357267.86651337566</v>
      </c>
      <c r="BT156" s="341">
        <f ca="1">VLOOKUP($A156,$A$26:$ER$41,COLUMN($BP$23),0)</f>
        <v>472540.17467639426</v>
      </c>
      <c r="BU156" s="341"/>
      <c r="BV156" s="341">
        <f ca="1">VLOOKUP($A156,$A$26:$ER$41,COLUMN($BS$23),0)</f>
        <v>546001.94174792129</v>
      </c>
      <c r="BW156" s="970"/>
      <c r="BY156" s="341"/>
      <c r="BZ156" s="341">
        <f ca="1">VLOOKUP($A156,$A$26:$ER$41,COLUMN($CF$23),0)</f>
        <v>130818.80855918152</v>
      </c>
      <c r="CA156" s="341">
        <f ca="1">VLOOKUP($A156,$A$26:$ER$41,COLUMN($BT$23),0)</f>
        <v>239947.77916443557</v>
      </c>
      <c r="CB156" s="341" t="str">
        <f>VLOOKUP($A156,$A$26:$ER$41,COLUMN($BY$23),0)</f>
        <v/>
      </c>
      <c r="CC156" s="341" t="str">
        <f>VLOOKUP($A156,$A$26:$ER$41,COLUMN($BZ$23),0)</f>
        <v/>
      </c>
      <c r="CD156" s="341" t="str">
        <f>VLOOKUP($A156,$A$26:$ER$41,COLUMN($CA$23),0)</f>
        <v/>
      </c>
      <c r="CE156" s="341">
        <f ca="1">VLOOKUP($A156,$A$26:$ER$41,COLUMN($EH$23),0)</f>
        <v>181159.24636335531</v>
      </c>
      <c r="CF156" s="341">
        <f ca="1">VLOOKUP($A156,$A$26:$ER$41,COLUMN($EI$23),0)</f>
        <v>150987.26018763654</v>
      </c>
      <c r="CI156" s="469"/>
      <c r="CJ156" s="9"/>
      <c r="CK156" s="9"/>
      <c r="CL156" s="9"/>
      <c r="CM156" s="9"/>
      <c r="CN156" s="9"/>
      <c r="CO156" s="9"/>
      <c r="CP156" s="9"/>
      <c r="CQ156" s="9"/>
      <c r="CR156" s="9"/>
      <c r="CS156" s="9"/>
      <c r="CT156" s="9"/>
      <c r="CU156" s="9"/>
      <c r="CV156" s="9"/>
    </row>
    <row r="157" spans="1:150" x14ac:dyDescent="0.25">
      <c r="A157" s="258" t="s">
        <v>28</v>
      </c>
      <c r="B157" s="9" t="s">
        <v>319</v>
      </c>
      <c r="C157" s="236" t="s">
        <v>422</v>
      </c>
      <c r="D157" s="341">
        <f ca="1">VLOOKUP($A157,$A$26:$ER$41,COLUMN($AY$23),0)</f>
        <v>295830.84049178869</v>
      </c>
      <c r="E157" s="341">
        <f ca="1">VLOOKUP($A157,$A$26:$ER$41,COLUMN($D$23),0)</f>
        <v>251711.99999999994</v>
      </c>
      <c r="F157" s="341">
        <f ca="1">VLOOKUP($A157,$A$26:$ER$41,COLUMN($I$23),0)</f>
        <v>396644.86239644804</v>
      </c>
      <c r="G157" s="341">
        <f ca="1">VLOOKUP($A157,$A$26:$ER$41,COLUMN($G$23),0)</f>
        <v>331199.99999999994</v>
      </c>
      <c r="H157" s="341">
        <f ca="1">VLOOKUP($A157,$A$26:$ER$41,COLUMN($L$23),0)</f>
        <v>335316.60676594934</v>
      </c>
      <c r="I157" s="341">
        <f ca="1">VLOOKUP($A157,$A$26:$ER$41,COLUMN($P$23),0)</f>
        <v>76389.090059840892</v>
      </c>
      <c r="J157" s="341">
        <f ca="1">VLOOKUP($A157,$A$26:$ER$41,COLUMN($S$23),0)</f>
        <v>130957.99523872173</v>
      </c>
      <c r="K157" s="341">
        <f ca="1">VLOOKUP($A157,$A$26:$ER$41,COLUMN($T$23),0)</f>
        <v>214205.46661078159</v>
      </c>
      <c r="L157" s="341">
        <f ca="1">VLOOKUP($A157,$A$26:$ER$41,COLUMN($H$23),0)</f>
        <v>365948.6088731385</v>
      </c>
      <c r="M157" s="341">
        <f ca="1">VLOOKUP($A157,$A$26:$ER$41,COLUMN($BD$23),0)</f>
        <v>175553.40034555824</v>
      </c>
      <c r="N157" s="341">
        <f ca="1">VLOOKUP($A157,$A$26:$ER$41,COLUMN($BE$23),0)</f>
        <v>106435.03073848702</v>
      </c>
      <c r="BE157" s="469"/>
      <c r="BF157" s="469"/>
      <c r="BG157" s="469"/>
      <c r="BH157" s="469"/>
      <c r="BI157" s="469"/>
      <c r="BJ157" s="469"/>
      <c r="BK157" s="469"/>
      <c r="BL157" s="469"/>
      <c r="BM157" s="469"/>
      <c r="BN157" s="469"/>
      <c r="BO157" s="967"/>
      <c r="BP157" s="469"/>
      <c r="BQ157" s="469"/>
      <c r="BR157" s="258" t="s">
        <v>588</v>
      </c>
      <c r="BS157" s="341">
        <f ca="1">VLOOKUP($A157,$A$26:$ER$41,COLUMN($EC$23),0)</f>
        <v>183863.98687385119</v>
      </c>
      <c r="BT157" s="341">
        <f ca="1">VLOOKUP($A157,$A$26:$ER$41,COLUMN($BP$23),0)</f>
        <v>452735.99999999994</v>
      </c>
      <c r="BU157" s="341">
        <f ca="1">VLOOKUP($A157,$A$26:$ER$41,COLUMN($BU$23),0)</f>
        <v>16195.097303778484</v>
      </c>
      <c r="BV157" s="341">
        <f ca="1">VLOOKUP($A157,$A$26:$ER$41,COLUMN($BS$23),0)</f>
        <v>462167.99999999994</v>
      </c>
      <c r="BW157" s="341">
        <f ca="1">VLOOKUP($A157,$A$26:$ER$41,COLUMN($BX$23),0)</f>
        <v>45807.190754027761</v>
      </c>
      <c r="BY157" s="341"/>
      <c r="BZ157" s="341">
        <f ca="1">VLOOKUP($A157,$A$26:$ER$41,COLUMN($CF$23),0)</f>
        <v>77526.582422134787</v>
      </c>
      <c r="CA157" s="341">
        <f ca="1">VLOOKUP($A157,$A$26:$ER$41,COLUMN($BT$23),0)</f>
        <v>61782.179908986211</v>
      </c>
      <c r="CB157" s="341" t="str">
        <f>VLOOKUP($A157,$A$26:$ER$41,COLUMN($BY$23),0)</f>
        <v/>
      </c>
      <c r="CC157" s="341" t="str">
        <f>VLOOKUP($A157,$A$26:$ER$41,COLUMN($BZ$23),0)</f>
        <v/>
      </c>
      <c r="CD157" s="341" t="str">
        <f>VLOOKUP($A157,$A$26:$ER$41,COLUMN($CA$23),0)</f>
        <v/>
      </c>
      <c r="CE157" s="341">
        <f ca="1">VLOOKUP($A157,$A$26:$ER$41,COLUMN($EH$23),0)</f>
        <v>135630.56706227738</v>
      </c>
      <c r="CF157" s="341">
        <f ca="1">VLOOKUP($A157,$A$26:$ER$41,COLUMN($EI$23),0)</f>
        <v>257856.01050091899</v>
      </c>
      <c r="CI157" s="469"/>
      <c r="CJ157" s="9"/>
      <c r="CK157" s="9"/>
      <c r="CL157" s="9"/>
      <c r="CM157" s="9"/>
      <c r="CN157" s="9"/>
      <c r="CO157" s="9"/>
      <c r="CP157" s="9"/>
      <c r="CQ157" s="9"/>
      <c r="CR157" s="9"/>
      <c r="CS157" s="9"/>
      <c r="CT157" s="9"/>
      <c r="CU157" s="9"/>
      <c r="CV157" s="9"/>
    </row>
    <row r="158" spans="1:150" x14ac:dyDescent="0.25">
      <c r="A158" s="258"/>
      <c r="C158" s="236"/>
      <c r="D158" s="341"/>
      <c r="E158" s="341"/>
      <c r="F158" s="341"/>
      <c r="G158" s="341"/>
      <c r="H158" s="341"/>
      <c r="I158" s="341"/>
      <c r="J158" s="341"/>
      <c r="K158" s="341"/>
      <c r="L158" s="341"/>
      <c r="M158" s="341"/>
      <c r="N158" s="341"/>
      <c r="O158" s="341"/>
      <c r="P158" s="341"/>
      <c r="BE158" s="469"/>
      <c r="BF158" s="469"/>
      <c r="BG158" s="469"/>
      <c r="BH158" s="469"/>
      <c r="BI158" s="469"/>
      <c r="BJ158" s="469"/>
      <c r="BK158" s="469"/>
      <c r="BL158" s="469"/>
      <c r="BM158" s="469"/>
      <c r="BN158" s="469"/>
      <c r="BO158" s="967"/>
      <c r="BP158" s="469"/>
      <c r="BQ158" s="469"/>
      <c r="BR158" s="469"/>
      <c r="BS158" s="469"/>
      <c r="BT158" s="469"/>
      <c r="BU158" s="469"/>
      <c r="BV158" s="469"/>
      <c r="BW158" s="469"/>
      <c r="BX158" s="469"/>
      <c r="BY158" s="469"/>
      <c r="BZ158" s="469"/>
      <c r="CA158" s="469"/>
      <c r="CI158" s="469"/>
      <c r="CJ158" s="9"/>
      <c r="CK158" s="9"/>
      <c r="CL158" s="9"/>
      <c r="CM158" s="9"/>
      <c r="CN158" s="9"/>
      <c r="CO158" s="9"/>
      <c r="CP158" s="9"/>
      <c r="CQ158" s="9"/>
      <c r="CR158" s="9"/>
      <c r="CS158" s="9"/>
      <c r="CT158" s="9"/>
      <c r="CU158" s="9"/>
      <c r="CV158" s="9"/>
    </row>
    <row r="159" spans="1:150" x14ac:dyDescent="0.25">
      <c r="A159" s="258"/>
      <c r="C159" s="236"/>
      <c r="D159" s="341"/>
      <c r="E159" s="341"/>
      <c r="F159" s="341"/>
      <c r="G159" s="341"/>
      <c r="H159" s="341"/>
      <c r="I159" s="341"/>
      <c r="J159" s="341"/>
      <c r="K159" s="341"/>
      <c r="L159" s="341"/>
      <c r="M159" s="341"/>
      <c r="N159" s="341"/>
      <c r="O159" s="341"/>
      <c r="P159" s="341"/>
      <c r="BE159" s="469"/>
      <c r="BF159" s="469"/>
      <c r="BG159" s="469"/>
      <c r="BH159" s="469"/>
      <c r="BI159" s="469"/>
      <c r="BJ159" s="469"/>
      <c r="BK159" s="469"/>
      <c r="BL159" s="469"/>
      <c r="BM159" s="469"/>
      <c r="BN159" s="469"/>
      <c r="BO159" s="967"/>
      <c r="BP159" s="469"/>
      <c r="BQ159" s="469"/>
      <c r="BR159" s="469"/>
      <c r="BS159" s="469"/>
      <c r="BT159" s="469"/>
      <c r="BU159" s="469"/>
      <c r="BV159" s="469"/>
      <c r="BW159" s="469"/>
      <c r="BX159" s="469"/>
      <c r="BY159" s="469"/>
      <c r="BZ159" s="469"/>
      <c r="CA159" s="469"/>
      <c r="CI159" s="469"/>
      <c r="CJ159" s="9"/>
      <c r="CK159" s="9"/>
      <c r="CL159" s="9"/>
      <c r="CM159" s="9"/>
      <c r="CN159" s="9"/>
      <c r="CO159" s="9"/>
      <c r="CP159" s="9"/>
      <c r="CQ159" s="9"/>
      <c r="CR159" s="9"/>
      <c r="CS159" s="9"/>
      <c r="CT159" s="9"/>
      <c r="CU159" s="9"/>
      <c r="CV159" s="9"/>
    </row>
    <row r="160" spans="1:150" ht="19.5" x14ac:dyDescent="0.3">
      <c r="A160" s="644" t="s">
        <v>1074</v>
      </c>
      <c r="O160" s="341"/>
      <c r="P160" s="341"/>
      <c r="BE160" s="469"/>
      <c r="BF160" s="469"/>
      <c r="BG160" s="469"/>
      <c r="BH160" s="469"/>
      <c r="BI160" s="469"/>
      <c r="BJ160" s="469"/>
      <c r="BK160" s="469"/>
      <c r="BL160" s="469"/>
      <c r="BM160" s="469"/>
      <c r="BN160" s="469"/>
      <c r="BO160" s="967"/>
      <c r="BP160" s="469"/>
      <c r="BQ160" s="469"/>
      <c r="BR160" s="469"/>
      <c r="BS160" s="469"/>
      <c r="BT160" s="469"/>
      <c r="CB160" s="993"/>
      <c r="CI160" s="469"/>
      <c r="CJ160" s="9"/>
      <c r="CK160" s="9"/>
      <c r="CL160" s="9"/>
      <c r="CM160" s="9"/>
      <c r="CN160" s="9"/>
      <c r="CO160" s="9"/>
      <c r="CP160" s="9"/>
      <c r="CQ160" s="9"/>
      <c r="CR160" s="9"/>
      <c r="CS160" s="9"/>
      <c r="CT160" s="9"/>
      <c r="CU160" s="9"/>
      <c r="CV160" s="9"/>
    </row>
    <row r="161" spans="1:100" ht="45" x14ac:dyDescent="0.25">
      <c r="D161" s="348" t="s">
        <v>207</v>
      </c>
      <c r="E161" s="347" t="s">
        <v>443</v>
      </c>
      <c r="F161" s="347" t="s">
        <v>972</v>
      </c>
      <c r="G161" s="788" t="s">
        <v>1047</v>
      </c>
      <c r="H161" s="347" t="s">
        <v>984</v>
      </c>
      <c r="I161" s="347" t="s">
        <v>448</v>
      </c>
      <c r="J161" s="348" t="s">
        <v>877</v>
      </c>
      <c r="K161" s="348" t="s">
        <v>876</v>
      </c>
      <c r="L161" s="347" t="s">
        <v>444</v>
      </c>
      <c r="M161" s="987" t="s">
        <v>1051</v>
      </c>
      <c r="N161" s="987" t="s">
        <v>1052</v>
      </c>
      <c r="O161" s="341"/>
      <c r="P161" s="341"/>
      <c r="BE161" s="469"/>
      <c r="BF161" s="469"/>
      <c r="BG161" s="469"/>
      <c r="BH161" s="469"/>
      <c r="BI161" s="469"/>
      <c r="BJ161" s="469"/>
      <c r="BK161" s="469"/>
      <c r="BL161" s="469"/>
      <c r="BM161" s="469"/>
      <c r="BN161" s="469"/>
      <c r="BO161" s="967"/>
      <c r="BP161" s="469"/>
      <c r="BQ161" s="469"/>
      <c r="BR161" s="546"/>
      <c r="BS161" s="546" t="s">
        <v>207</v>
      </c>
      <c r="BT161" s="347" t="s">
        <v>443</v>
      </c>
      <c r="BU161" s="347" t="s">
        <v>972</v>
      </c>
      <c r="BV161" s="788" t="s">
        <v>1047</v>
      </c>
      <c r="BW161" s="347" t="s">
        <v>984</v>
      </c>
      <c r="BX161" s="959" t="s">
        <v>448</v>
      </c>
      <c r="BY161" s="348" t="s">
        <v>877</v>
      </c>
      <c r="BZ161" s="348" t="s">
        <v>876</v>
      </c>
      <c r="CA161" s="347" t="s">
        <v>444</v>
      </c>
      <c r="CB161" s="347" t="s">
        <v>446</v>
      </c>
      <c r="CC161" s="347" t="s">
        <v>445</v>
      </c>
      <c r="CD161" s="347" t="s">
        <v>447</v>
      </c>
      <c r="CE161" s="63" t="s">
        <v>1051</v>
      </c>
      <c r="CF161" s="63" t="s">
        <v>1052</v>
      </c>
      <c r="CI161" s="469"/>
      <c r="CJ161" s="9"/>
      <c r="CK161" s="9"/>
      <c r="CL161" s="9"/>
      <c r="CM161" s="9"/>
      <c r="CN161" s="9"/>
      <c r="CO161" s="9"/>
      <c r="CP161" s="9"/>
      <c r="CQ161" s="9"/>
      <c r="CR161" s="9"/>
      <c r="CS161" s="9"/>
      <c r="CT161" s="9"/>
      <c r="CU161" s="9"/>
      <c r="CV161" s="9"/>
    </row>
    <row r="162" spans="1:100" x14ac:dyDescent="0.25">
      <c r="A162" s="258" t="s">
        <v>86</v>
      </c>
      <c r="B162" s="9" t="s">
        <v>323</v>
      </c>
      <c r="C162" s="236" t="s">
        <v>422</v>
      </c>
      <c r="D162" s="341">
        <f ca="1">VLOOKUP($A162,$A$50:$ER$65,COLUMN($AY$47),0)</f>
        <v>683113.36200907058</v>
      </c>
      <c r="E162" s="341">
        <f ca="1">VLOOKUP($A162,$A$50:$ER$65,COLUMN($D$47),0)</f>
        <v>392851.19999999995</v>
      </c>
      <c r="F162" s="341"/>
      <c r="G162" s="341">
        <f ca="1">VLOOKUP($A162,$A$50:$ER$65,COLUMN($G$47),0)</f>
        <v>392851.19999999995</v>
      </c>
      <c r="H162" s="341"/>
      <c r="I162" s="341" t="str">
        <f>VLOOKUP($A162,$A$50:$ER$65,COLUMN($P$47),0)</f>
        <v/>
      </c>
      <c r="J162" s="341"/>
      <c r="K162" s="341">
        <f ca="1">VLOOKUP($A162,$A$50:$ER$65,COLUMN($T$47),0)</f>
        <v>556696.1664975218</v>
      </c>
      <c r="L162" s="341">
        <f ca="1">VLOOKUP($A162,$A$50:$ER$65,COLUMN($H$47),0)</f>
        <v>1326846.283782986</v>
      </c>
      <c r="M162" s="32">
        <f ca="1">VLOOKUP($A162,$A$50:$ER$65,COLUMN($BD$47),0)</f>
        <v>546490.68960725644</v>
      </c>
      <c r="N162" s="32">
        <f ca="1">VLOOKUP($A162,$A$50:$ER$65,COLUMN($BE$47),0)</f>
        <v>514986.33741913224</v>
      </c>
      <c r="O162" s="341"/>
      <c r="P162" s="341"/>
      <c r="BE162" s="469"/>
      <c r="BF162" s="469"/>
      <c r="BG162" s="469"/>
      <c r="BH162" s="469"/>
      <c r="BI162" s="469"/>
      <c r="BJ162" s="469"/>
      <c r="BK162" s="469"/>
      <c r="BL162" s="469"/>
      <c r="BM162" s="469"/>
      <c r="BN162" s="469"/>
      <c r="BO162" s="967"/>
      <c r="BP162" s="469"/>
      <c r="BQ162" s="469"/>
      <c r="BR162" s="258" t="s">
        <v>86</v>
      </c>
      <c r="BS162" s="341">
        <f ca="1">VLOOKUP($A162,$A$50:$ER$65,COLUMN($EC$47),0)</f>
        <v>1154334.997884613</v>
      </c>
      <c r="BT162" s="341">
        <f ca="1">VLOOKUP($A162,$A$50:$ER$65,COLUMN($BP$47),0)</f>
        <v>1120150.2724979296</v>
      </c>
      <c r="BU162" s="341"/>
      <c r="BV162" s="341">
        <f ca="1">VLOOKUP($A162,$A$50:$ER$65,COLUMN($BS$47),0)</f>
        <v>874138.17622452707</v>
      </c>
      <c r="BW162" s="341"/>
      <c r="BY162" s="341"/>
      <c r="BZ162" s="341">
        <f ca="1">VLOOKUP($A162,$A$50:$ER$65,COLUMN($CF$47),0)</f>
        <v>649346.52920147206</v>
      </c>
      <c r="CA162" s="341">
        <f ca="1">VLOOKUP($A162,$A$50:$ER$65,COLUMN($BT$47),0)</f>
        <v>1475198.6829995506</v>
      </c>
      <c r="CB162" s="341"/>
      <c r="CC162" s="341"/>
      <c r="CD162" s="341"/>
      <c r="CE162" s="341">
        <f ca="1">VLOOKUP($A162,$A$50:$ER$65,COLUMN($EH$47),0)</f>
        <v>403990.77494651265</v>
      </c>
      <c r="CF162" s="341">
        <f ca="1">VLOOKUP($A162,$A$50:$ER$65,COLUMN($EI$47),0)</f>
        <v>256690.94809195027</v>
      </c>
      <c r="CI162" s="469"/>
      <c r="CJ162" s="9"/>
      <c r="CK162" s="9"/>
      <c r="CL162" s="9"/>
      <c r="CM162" s="9"/>
      <c r="CN162" s="9"/>
      <c r="CO162" s="9"/>
      <c r="CP162" s="9"/>
      <c r="CQ162" s="9"/>
      <c r="CR162" s="9"/>
      <c r="CS162" s="9"/>
      <c r="CT162" s="9"/>
      <c r="CU162" s="9"/>
      <c r="CV162" s="9"/>
    </row>
    <row r="163" spans="1:100" x14ac:dyDescent="0.25">
      <c r="A163" s="258" t="s">
        <v>28</v>
      </c>
      <c r="B163" s="9" t="s">
        <v>319</v>
      </c>
      <c r="C163" s="236" t="s">
        <v>422</v>
      </c>
      <c r="D163" s="341">
        <f ca="1">VLOOKUP($A163,$A$50:$ER$65,COLUMN($AY$47),0)</f>
        <v>343001.96468984301</v>
      </c>
      <c r="E163" s="341">
        <f ca="1">VLOOKUP($A163,$A$50:$ER$65,COLUMN($D$47),0)</f>
        <v>196425.59999999998</v>
      </c>
      <c r="F163" s="341">
        <f ca="1">VLOOKUP($A163,$A$50:$ER$65,COLUMN($I$47),0)</f>
        <v>326771.16833696596</v>
      </c>
      <c r="G163" s="341">
        <f ca="1">VLOOKUP($A163,$A$50:$ER$65,COLUMN($G$47),0)</f>
        <v>1767830.3999999997</v>
      </c>
      <c r="H163" s="341"/>
      <c r="I163" s="341">
        <f ca="1">VLOOKUP($A163,$A$50:$ER$65,COLUMN($P$47),0)</f>
        <v>11459.7805538394</v>
      </c>
      <c r="J163" s="341">
        <f ca="1">VLOOKUP($A163,$A$50:$ER$65,COLUMN($S$47),0)</f>
        <v>530914.86599481141</v>
      </c>
      <c r="K163" s="341">
        <f ca="1">VLOOKUP($A163,$A$50:$ER$65,COLUMN($T$47),0)</f>
        <v>298221.77063919511</v>
      </c>
      <c r="L163" s="341">
        <f ca="1">VLOOKUP($A163,$A$50:$ER$65,COLUMN($H$47),0)</f>
        <v>819194.89560761559</v>
      </c>
      <c r="M163" s="32">
        <f ca="1">VLOOKUP($A163,$A$50:$ER$65,COLUMN($BD$47),0)</f>
        <v>265233.74730880291</v>
      </c>
      <c r="N163" s="32">
        <f ca="1">VLOOKUP($A163,$A$50:$ER$65,COLUMN($BE$47),0)</f>
        <v>1139862.7482481254</v>
      </c>
      <c r="BR163" s="258" t="s">
        <v>588</v>
      </c>
      <c r="BS163" s="341">
        <f ca="1">VLOOKUP($A163,$A$50:$ER$65,COLUMN($EC$47),0)</f>
        <v>899514.24915536679</v>
      </c>
      <c r="BT163" s="341">
        <f ca="1">VLOOKUP($A163,$A$50:$ER$65,COLUMN($BP$47),0)</f>
        <v>1105919.9999999998</v>
      </c>
      <c r="BU163" s="341">
        <f ca="1">VLOOKUP($A163,$A$50:$ER$65,COLUMN($BU$47),0)</f>
        <v>190218.3179578204</v>
      </c>
      <c r="BV163" s="341">
        <f ca="1">VLOOKUP($A163,$A$50:$ER$65,COLUMN($BS$47),0)</f>
        <v>983039.99999999988</v>
      </c>
      <c r="BW163" s="341"/>
      <c r="BY163" s="341"/>
      <c r="BZ163" s="341">
        <f ca="1">VLOOKUP($A163,$A$50:$ER$65,COLUMN($CF$47),0)</f>
        <v>326743.52086793364</v>
      </c>
      <c r="CA163" s="341">
        <f ca="1">VLOOKUP($A163,$A$50:$ER$65,COLUMN($BT$47),0)</f>
        <v>926599.62083814666</v>
      </c>
      <c r="CB163" s="341"/>
      <c r="CC163" s="341"/>
      <c r="CD163" s="341"/>
      <c r="CE163" s="341">
        <f ca="1">VLOOKUP($A163,$A$50:$ER$65,COLUMN($EH$47),0)</f>
        <v>633422.52958769759</v>
      </c>
      <c r="CF163" s="341">
        <f ca="1">VLOOKUP($A163,$A$50:$ER$65,COLUMN($EI$47),0)</f>
        <v>263428.60067570652</v>
      </c>
      <c r="CI163" s="9"/>
      <c r="CJ163" s="9"/>
      <c r="CK163" s="9"/>
      <c r="CL163" s="9"/>
      <c r="CM163" s="9"/>
      <c r="CN163" s="9"/>
      <c r="CO163" s="9"/>
      <c r="CP163" s="9"/>
      <c r="CQ163" s="9"/>
      <c r="CR163" s="9"/>
      <c r="CS163" s="9"/>
      <c r="CT163" s="9"/>
      <c r="CU163" s="9"/>
      <c r="CV163" s="9"/>
    </row>
    <row r="164" spans="1:100" x14ac:dyDescent="0.25">
      <c r="CI164" s="9"/>
      <c r="CJ164" s="9"/>
      <c r="CK164" s="9"/>
      <c r="CL164" s="9"/>
      <c r="CM164" s="9"/>
      <c r="CN164" s="9"/>
      <c r="CO164" s="9"/>
      <c r="CP164" s="9"/>
      <c r="CQ164" s="9"/>
      <c r="CR164" s="9"/>
      <c r="CS164" s="9"/>
      <c r="CT164" s="9"/>
      <c r="CU164" s="9"/>
      <c r="CV164" s="9"/>
    </row>
    <row r="165" spans="1:100" x14ac:dyDescent="0.25">
      <c r="CI165" s="9"/>
      <c r="CJ165" s="9"/>
      <c r="CK165" s="9"/>
      <c r="CL165" s="9"/>
      <c r="CM165" s="9"/>
      <c r="CN165" s="9"/>
      <c r="CO165" s="9"/>
      <c r="CP165" s="9"/>
      <c r="CQ165" s="9"/>
      <c r="CR165" s="9"/>
      <c r="CS165" s="9"/>
      <c r="CT165" s="9"/>
      <c r="CU165" s="9"/>
      <c r="CV165" s="9"/>
    </row>
    <row r="166" spans="1:100" x14ac:dyDescent="0.25">
      <c r="CI166" s="9"/>
      <c r="CJ166" s="9"/>
      <c r="CK166" s="9"/>
      <c r="CL166" s="9"/>
      <c r="CM166" s="9"/>
      <c r="CN166" s="9"/>
      <c r="CO166" s="9"/>
      <c r="CP166" s="9"/>
      <c r="CQ166" s="9"/>
      <c r="CR166" s="9"/>
      <c r="CS166" s="9"/>
      <c r="CT166" s="9"/>
      <c r="CU166" s="9"/>
      <c r="CV166" s="9"/>
    </row>
    <row r="167" spans="1:100" x14ac:dyDescent="0.25">
      <c r="CI167" s="9"/>
      <c r="CJ167" s="9"/>
      <c r="CK167" s="9"/>
      <c r="CL167" s="9"/>
      <c r="CM167" s="9"/>
      <c r="CN167" s="9"/>
      <c r="CO167" s="9"/>
      <c r="CP167" s="9"/>
      <c r="CQ167" s="9"/>
      <c r="CR167" s="9"/>
      <c r="CS167" s="9"/>
      <c r="CT167" s="9"/>
      <c r="CU167" s="9"/>
      <c r="CV167" s="9"/>
    </row>
    <row r="168" spans="1:100" x14ac:dyDescent="0.25">
      <c r="CI168" s="9"/>
      <c r="CJ168" s="9"/>
      <c r="CK168" s="9"/>
      <c r="CL168" s="9"/>
      <c r="CM168" s="9"/>
      <c r="CN168" s="9"/>
      <c r="CO168" s="9"/>
      <c r="CP168" s="9"/>
      <c r="CQ168" s="9"/>
      <c r="CR168" s="9"/>
      <c r="CS168" s="9"/>
      <c r="CT168" s="9"/>
      <c r="CU168" s="9"/>
      <c r="CV168" s="9"/>
    </row>
    <row r="169" spans="1:100" x14ac:dyDescent="0.25">
      <c r="CI169" s="9"/>
      <c r="CJ169" s="9"/>
      <c r="CK169" s="9"/>
      <c r="CL169" s="9"/>
      <c r="CM169" s="9"/>
      <c r="CN169" s="9"/>
      <c r="CO169" s="9"/>
      <c r="CP169" s="9"/>
      <c r="CQ169" s="9"/>
      <c r="CR169" s="9"/>
      <c r="CS169" s="9"/>
      <c r="CT169" s="9"/>
      <c r="CU169" s="9"/>
      <c r="CV169" s="9"/>
    </row>
    <row r="170" spans="1:100" x14ac:dyDescent="0.25">
      <c r="CI170" s="9"/>
      <c r="CJ170" s="9"/>
      <c r="CK170" s="9"/>
      <c r="CL170" s="9"/>
      <c r="CM170" s="9"/>
      <c r="CN170" s="9"/>
      <c r="CO170" s="9"/>
      <c r="CP170" s="9"/>
      <c r="CQ170" s="9"/>
      <c r="CR170" s="9"/>
      <c r="CS170" s="9"/>
      <c r="CT170" s="9"/>
      <c r="CU170" s="9"/>
      <c r="CV170" s="9"/>
    </row>
    <row r="171" spans="1:100" x14ac:dyDescent="0.25">
      <c r="CI171" s="9"/>
      <c r="CJ171" s="9"/>
      <c r="CK171" s="9"/>
      <c r="CL171" s="9"/>
      <c r="CM171" s="9"/>
      <c r="CN171" s="9"/>
      <c r="CO171" s="9"/>
      <c r="CP171" s="9"/>
      <c r="CQ171" s="9"/>
      <c r="CR171" s="9"/>
      <c r="CS171" s="9"/>
      <c r="CT171" s="9"/>
      <c r="CU171" s="9"/>
      <c r="CV171" s="9"/>
    </row>
    <row r="172" spans="1:100" x14ac:dyDescent="0.25">
      <c r="CI172" s="9"/>
      <c r="CJ172" s="9"/>
      <c r="CK172" s="9"/>
      <c r="CL172" s="9"/>
      <c r="CM172" s="9"/>
      <c r="CN172" s="9"/>
      <c r="CO172" s="9"/>
      <c r="CP172" s="9"/>
      <c r="CQ172" s="9"/>
      <c r="CR172" s="9"/>
      <c r="CS172" s="9"/>
      <c r="CT172" s="9"/>
      <c r="CU172" s="9"/>
      <c r="CV172" s="9"/>
    </row>
    <row r="173" spans="1:100" x14ac:dyDescent="0.25">
      <c r="CI173" s="9"/>
      <c r="CJ173" s="9"/>
      <c r="CK173" s="9"/>
      <c r="CL173" s="9"/>
      <c r="CM173" s="9"/>
      <c r="CN173" s="9"/>
      <c r="CO173" s="9"/>
      <c r="CP173" s="9"/>
      <c r="CQ173" s="9"/>
      <c r="CR173" s="9"/>
      <c r="CS173" s="9"/>
      <c r="CT173" s="9"/>
      <c r="CU173" s="9"/>
      <c r="CV173" s="9"/>
    </row>
    <row r="174" spans="1:100" x14ac:dyDescent="0.25">
      <c r="CI174" s="9"/>
      <c r="CJ174" s="9"/>
      <c r="CK174" s="9"/>
      <c r="CL174" s="9"/>
      <c r="CM174" s="9"/>
      <c r="CN174" s="9"/>
      <c r="CO174" s="9"/>
      <c r="CP174" s="9"/>
      <c r="CQ174" s="9"/>
      <c r="CR174" s="9"/>
      <c r="CS174" s="9"/>
      <c r="CT174" s="9"/>
      <c r="CU174" s="9"/>
      <c r="CV174" s="9"/>
    </row>
    <row r="175" spans="1:100" x14ac:dyDescent="0.25">
      <c r="CI175" s="9"/>
      <c r="CJ175" s="9"/>
      <c r="CK175" s="9"/>
      <c r="CL175" s="9"/>
      <c r="CM175" s="9"/>
      <c r="CN175" s="9"/>
      <c r="CO175" s="9"/>
      <c r="CP175" s="9"/>
      <c r="CQ175" s="9"/>
      <c r="CR175" s="9"/>
      <c r="CS175" s="9"/>
      <c r="CT175" s="9"/>
      <c r="CU175" s="9"/>
      <c r="CV175" s="9"/>
    </row>
    <row r="176" spans="1:100" x14ac:dyDescent="0.25">
      <c r="CI176" s="9"/>
      <c r="CJ176" s="9"/>
      <c r="CK176" s="9"/>
      <c r="CL176" s="9"/>
      <c r="CM176" s="9"/>
      <c r="CN176" s="9"/>
      <c r="CO176" s="9"/>
      <c r="CP176" s="9"/>
      <c r="CQ176" s="9"/>
      <c r="CR176" s="9"/>
      <c r="CS176" s="9"/>
      <c r="CT176" s="9"/>
      <c r="CU176" s="9"/>
      <c r="CV176" s="9"/>
    </row>
    <row r="177" spans="1:150" x14ac:dyDescent="0.25">
      <c r="CI177" s="9"/>
      <c r="CJ177" s="9"/>
      <c r="CK177" s="9"/>
      <c r="CL177" s="9"/>
      <c r="CM177" s="9"/>
      <c r="CN177" s="9"/>
      <c r="CO177" s="9"/>
      <c r="CP177" s="9"/>
      <c r="CQ177" s="9"/>
      <c r="CR177" s="9"/>
      <c r="CS177" s="9"/>
      <c r="CT177" s="9"/>
      <c r="CU177" s="9"/>
      <c r="CV177" s="9"/>
    </row>
    <row r="178" spans="1:150" x14ac:dyDescent="0.25">
      <c r="CI178" s="9"/>
      <c r="CJ178" s="9"/>
      <c r="CK178" s="9"/>
      <c r="CL178" s="9"/>
      <c r="CM178" s="9"/>
      <c r="CN178" s="9"/>
      <c r="CO178" s="9"/>
      <c r="CP178" s="9"/>
      <c r="CQ178" s="9"/>
      <c r="CR178" s="9"/>
      <c r="CS178" s="9"/>
      <c r="CT178" s="9"/>
      <c r="CU178" s="9"/>
      <c r="CV178" s="9"/>
    </row>
    <row r="179" spans="1:150" x14ac:dyDescent="0.25">
      <c r="CI179" s="9"/>
      <c r="CJ179" s="9"/>
      <c r="CK179" s="9"/>
      <c r="CL179" s="9"/>
      <c r="CM179" s="9"/>
      <c r="CN179" s="9"/>
      <c r="CO179" s="9"/>
      <c r="CP179" s="9"/>
      <c r="CQ179" s="9"/>
      <c r="CR179" s="9"/>
      <c r="CS179" s="9"/>
      <c r="CT179" s="9"/>
      <c r="CU179" s="9"/>
      <c r="CV179" s="9"/>
    </row>
    <row r="180" spans="1:150" x14ac:dyDescent="0.25">
      <c r="CI180" s="9"/>
      <c r="CJ180" s="9"/>
      <c r="CK180" s="9"/>
      <c r="CL180" s="9"/>
      <c r="CM180" s="9"/>
      <c r="CN180" s="9"/>
      <c r="CO180" s="9"/>
      <c r="CP180" s="9"/>
      <c r="CQ180" s="9"/>
      <c r="CR180" s="9"/>
      <c r="CS180" s="9"/>
      <c r="CT180" s="9"/>
      <c r="CU180" s="9"/>
      <c r="CV180" s="9"/>
    </row>
    <row r="181" spans="1:150" x14ac:dyDescent="0.25">
      <c r="CI181" s="9"/>
      <c r="CJ181" s="9"/>
      <c r="CK181" s="9"/>
      <c r="CL181" s="9"/>
      <c r="CM181" s="9"/>
      <c r="CN181" s="9"/>
      <c r="CO181" s="9"/>
      <c r="CP181" s="9"/>
      <c r="CQ181" s="9"/>
      <c r="CR181" s="9"/>
      <c r="CS181" s="9"/>
      <c r="CT181" s="9"/>
      <c r="CU181" s="9"/>
      <c r="CV181" s="9"/>
    </row>
    <row r="182" spans="1:150" ht="19.5" x14ac:dyDescent="0.3">
      <c r="A182" s="644" t="s">
        <v>1065</v>
      </c>
      <c r="B182" s="545"/>
      <c r="C182" s="545"/>
      <c r="D182" s="545"/>
      <c r="E182" s="545"/>
      <c r="F182" s="545"/>
      <c r="G182" s="545"/>
      <c r="H182" s="545"/>
      <c r="I182" s="545"/>
      <c r="J182" s="545"/>
      <c r="K182" s="545"/>
      <c r="L182" s="545"/>
      <c r="M182" s="545"/>
      <c r="N182" s="545"/>
      <c r="O182" s="545"/>
      <c r="P182" s="545"/>
      <c r="Q182" s="545"/>
      <c r="R182" s="545"/>
      <c r="S182" s="545"/>
      <c r="T182" s="545"/>
      <c r="U182" s="545"/>
      <c r="V182" s="545"/>
      <c r="W182" s="545"/>
      <c r="X182" s="545"/>
      <c r="Y182" s="545"/>
      <c r="Z182" s="545"/>
      <c r="AA182" s="545"/>
      <c r="AB182" s="545"/>
      <c r="AC182" s="545"/>
      <c r="AD182" s="545"/>
      <c r="AE182" s="545"/>
      <c r="AF182" s="545"/>
      <c r="AG182" s="545"/>
      <c r="AH182" s="545"/>
      <c r="AI182" s="545"/>
      <c r="AJ182" s="545"/>
      <c r="AK182" s="545"/>
      <c r="AL182" s="545"/>
      <c r="AM182" s="545"/>
      <c r="AN182" s="545"/>
      <c r="AO182" s="545"/>
      <c r="AP182" s="545"/>
      <c r="AQ182" s="545"/>
      <c r="AR182" s="545"/>
      <c r="AS182" s="545"/>
      <c r="AT182" s="545"/>
      <c r="AU182" s="545"/>
      <c r="AV182" s="545"/>
      <c r="AW182" s="545"/>
      <c r="AX182" s="545"/>
      <c r="AY182" s="545"/>
      <c r="AZ182" s="545"/>
      <c r="BA182" s="545"/>
      <c r="BB182" s="545"/>
      <c r="BC182" s="545"/>
      <c r="BD182" s="545"/>
      <c r="BE182" s="545"/>
      <c r="BF182" s="545"/>
      <c r="BG182" s="545"/>
      <c r="BH182" s="545"/>
      <c r="BI182" s="545"/>
      <c r="BJ182" s="545"/>
      <c r="BK182" s="545"/>
      <c r="BL182" s="545"/>
      <c r="BM182" s="545"/>
      <c r="BN182" s="545"/>
      <c r="BO182" s="965"/>
      <c r="BP182" s="545"/>
      <c r="BQ182" s="545"/>
      <c r="BR182" s="545"/>
      <c r="BS182" s="545"/>
      <c r="BT182" s="545"/>
      <c r="BU182" s="545"/>
      <c r="BV182" s="545"/>
      <c r="BW182" s="545"/>
      <c r="BX182" s="545"/>
      <c r="BY182" s="545"/>
      <c r="BZ182" s="545"/>
      <c r="CA182" s="545"/>
      <c r="CB182" s="545"/>
      <c r="CC182" s="545"/>
      <c r="CD182" s="545"/>
      <c r="CE182" s="545"/>
      <c r="CF182" s="545"/>
      <c r="CG182" s="545"/>
      <c r="CH182" s="545"/>
      <c r="CI182" s="545"/>
      <c r="CJ182" s="545"/>
      <c r="CK182" s="545"/>
      <c r="CL182" s="545"/>
      <c r="CM182" s="545"/>
      <c r="CN182" s="545"/>
      <c r="CO182" s="545"/>
      <c r="CP182" s="545"/>
      <c r="CQ182" s="545"/>
      <c r="CR182" s="545"/>
      <c r="CS182" s="545"/>
      <c r="CT182" s="545"/>
      <c r="CU182" s="545"/>
      <c r="CV182" s="545"/>
      <c r="CW182" s="545"/>
      <c r="CX182" s="545"/>
      <c r="CY182" s="545"/>
      <c r="CZ182" s="545"/>
      <c r="DA182" s="545"/>
      <c r="DB182" s="545"/>
      <c r="DC182" s="545"/>
      <c r="DD182" s="545"/>
      <c r="DE182" s="545"/>
      <c r="DF182" s="545"/>
      <c r="DG182" s="545"/>
      <c r="DH182" s="545"/>
      <c r="DI182" s="545"/>
      <c r="DJ182" s="545"/>
      <c r="DK182" s="545"/>
      <c r="DL182" s="545"/>
      <c r="DM182" s="545"/>
      <c r="DN182" s="545"/>
      <c r="DO182" s="545"/>
      <c r="DP182" s="545"/>
      <c r="DQ182" s="545"/>
      <c r="DR182" s="545"/>
      <c r="DS182" s="545"/>
      <c r="DT182" s="545"/>
      <c r="DU182" s="545"/>
      <c r="DV182" s="545"/>
      <c r="DW182" s="545"/>
      <c r="DX182" s="545"/>
      <c r="DY182" s="545"/>
      <c r="DZ182" s="545"/>
      <c r="EA182" s="545"/>
      <c r="EB182" s="545"/>
      <c r="EC182" s="545"/>
      <c r="ED182" s="545"/>
      <c r="EE182" s="545"/>
      <c r="EF182" s="545"/>
      <c r="EG182" s="545"/>
    </row>
    <row r="183" spans="1:150" x14ac:dyDescent="0.25">
      <c r="D183" s="348" t="s">
        <v>207</v>
      </c>
      <c r="E183" s="63" t="s">
        <v>1051</v>
      </c>
      <c r="F183" s="63" t="s">
        <v>1052</v>
      </c>
      <c r="G183" s="348"/>
      <c r="H183" s="316"/>
      <c r="I183" s="316"/>
      <c r="J183" s="316"/>
      <c r="K183" s="316"/>
      <c r="L183" s="316"/>
      <c r="BE183" s="873"/>
      <c r="BF183" s="991"/>
      <c r="BG183" s="991"/>
      <c r="BH183" s="991"/>
      <c r="BI183" s="991"/>
      <c r="BJ183" s="991"/>
      <c r="BK183" s="991"/>
      <c r="BL183" s="991"/>
      <c r="BM183" s="991"/>
      <c r="BN183" s="991"/>
      <c r="BO183" s="966"/>
      <c r="BP183" s="882"/>
      <c r="BQ183" s="882"/>
      <c r="BR183" s="882"/>
      <c r="BS183" s="882" t="s">
        <v>207</v>
      </c>
      <c r="BT183" s="165" t="s">
        <v>1051</v>
      </c>
      <c r="BU183" s="165" t="s">
        <v>1052</v>
      </c>
      <c r="BY183" s="882"/>
      <c r="CI183" s="9"/>
      <c r="CJ183" s="9"/>
      <c r="CK183" s="9"/>
      <c r="CL183" s="9"/>
      <c r="CM183" s="9"/>
      <c r="CN183" s="9"/>
      <c r="CO183" s="9"/>
      <c r="CP183" s="9"/>
      <c r="CQ183" s="9"/>
      <c r="CR183" s="9"/>
      <c r="CS183" s="9"/>
      <c r="CT183" s="9"/>
      <c r="CU183" s="9"/>
      <c r="CV183" s="9"/>
      <c r="EL183" s="165" t="s">
        <v>1083</v>
      </c>
      <c r="EM183" s="165" t="s">
        <v>1051</v>
      </c>
      <c r="EN183" s="165" t="s">
        <v>1052</v>
      </c>
      <c r="EO183" s="165" t="s">
        <v>9</v>
      </c>
      <c r="EP183" s="165" t="s">
        <v>1051</v>
      </c>
      <c r="EQ183" s="165" t="s">
        <v>1052</v>
      </c>
      <c r="ER183" s="165" t="s">
        <v>199</v>
      </c>
      <c r="ES183" s="165" t="s">
        <v>1051</v>
      </c>
      <c r="ET183" s="165" t="s">
        <v>1052</v>
      </c>
    </row>
    <row r="184" spans="1:150" x14ac:dyDescent="0.25">
      <c r="A184" s="258" t="s">
        <v>3</v>
      </c>
      <c r="B184" s="9" t="s">
        <v>3</v>
      </c>
      <c r="C184" s="236" t="s">
        <v>396</v>
      </c>
      <c r="D184" s="341">
        <f ca="1">VLOOKUP($A184,$A$74:$ER$89,COLUMN($AY$71),0)</f>
        <v>91221.709805785125</v>
      </c>
      <c r="E184" s="341">
        <f ca="1">VLOOKUP($A184,$A$74:$ER$89,COLUMN($BD$71),0)</f>
        <v>64516.86796929824</v>
      </c>
      <c r="F184" s="341">
        <f ca="1">VLOOKUP($A184,$A$74:$ER$89,COLUMN($BE$71),0)</f>
        <v>141328.78994202602</v>
      </c>
      <c r="G184" s="341"/>
      <c r="H184" s="341"/>
      <c r="I184" s="341"/>
      <c r="J184" s="341"/>
      <c r="K184" s="341"/>
      <c r="L184" s="341"/>
      <c r="BE184" s="469"/>
      <c r="BF184" s="469"/>
      <c r="BG184" s="469"/>
      <c r="BH184" s="469"/>
      <c r="BI184" s="469"/>
      <c r="BJ184" s="469"/>
      <c r="BK184" s="469"/>
      <c r="BL184" s="469"/>
      <c r="BM184" s="469"/>
      <c r="BN184" s="469"/>
      <c r="BO184" s="967"/>
      <c r="BP184" s="469"/>
      <c r="BQ184" s="469"/>
      <c r="BR184" s="9" t="s">
        <v>3</v>
      </c>
      <c r="BS184" s="341">
        <f ca="1">VLOOKUP($A184,$A$74:$ER$89,COLUMN($EC$71),0)</f>
        <v>216976.90315908345</v>
      </c>
      <c r="BT184" s="341">
        <f ca="1">VLOOKUP($A184,$A$74:$ER$89,COLUMN($EH$71),0)</f>
        <v>140873.52065114293</v>
      </c>
      <c r="BU184" s="341">
        <f ca="1">VLOOKUP($A184,$A$74:$ER$89,COLUMN($EI$71),0)</f>
        <v>680510.47853966278</v>
      </c>
      <c r="BY184" s="469"/>
      <c r="CI184" s="9"/>
      <c r="CJ184" s="9"/>
      <c r="CK184" s="9"/>
      <c r="CL184" s="9"/>
      <c r="CM184" s="9"/>
      <c r="CN184" s="9"/>
      <c r="CO184" s="9"/>
      <c r="CP184" s="9"/>
      <c r="CQ184" s="9"/>
      <c r="CR184" s="9"/>
      <c r="CS184" s="9"/>
      <c r="CT184" s="9"/>
      <c r="CU184" s="9"/>
      <c r="CV184" s="9"/>
      <c r="EK184" s="258" t="s">
        <v>3</v>
      </c>
      <c r="EL184" s="972">
        <f ca="1">VLOOKUP($A184,$A$74:$ER$89,COLUMN($EL$71),0)</f>
        <v>115511.41153566878</v>
      </c>
      <c r="EM184" s="972">
        <f ca="1">VLOOKUP($A184,$A$74:$ER$89,COLUMN($EQ$71),0)</f>
        <v>79162.141031262596</v>
      </c>
      <c r="EN184" s="972">
        <f ca="1">VLOOKUP($A184,$A$74:$ER$89,COLUMN($ER$71),0)</f>
        <v>244744.31147393002</v>
      </c>
      <c r="EO184" s="972" t="e">
        <f>INDEX(SSC_Combined_UnitWTP_HH,MATCH($A184,SSC_WTP_OPTIONS,0))</f>
        <v>#NAME?</v>
      </c>
      <c r="EP184" s="972" t="e">
        <f>INDEX(SSC_Combined_UnitWTP_HH_LD,MATCH($A184,SSC_WTP_OPTIONS,0))</f>
        <v>#NAME?</v>
      </c>
      <c r="EQ184" s="972" t="e">
        <f>INDEX(SSC_Combined_UnitWTP_HH_HD,MATCH($A184,SSC_WTP_OPTIONS,0))</f>
        <v>#NAME?</v>
      </c>
      <c r="ER184" s="972" t="e">
        <f>INDEX(SSC_Combined_UnitWTP_NHH,MATCH($A184,SSC_WTP_OPTIONS,0))</f>
        <v>#NAME?</v>
      </c>
      <c r="ES184" s="972" t="e">
        <f>INDEX(SSC_Combined_UnitWTP_NHH_LD,MATCH($A184,SSC_WTP_OPTIONS,0))</f>
        <v>#NAME?</v>
      </c>
      <c r="ET184" s="972" t="e">
        <f>INDEX(SSC_Combined_UnitWTP_NHH_HD,MATCH($A184,SSC_WTP_OPTIONS,0))</f>
        <v>#NAME?</v>
      </c>
    </row>
    <row r="185" spans="1:150" x14ac:dyDescent="0.25">
      <c r="A185" s="258"/>
      <c r="C185" s="236"/>
      <c r="D185" s="341"/>
      <c r="E185" s="341"/>
      <c r="F185" s="341"/>
      <c r="G185" s="341"/>
      <c r="H185" s="341"/>
      <c r="I185" s="341"/>
      <c r="J185" s="341"/>
      <c r="K185" s="341"/>
      <c r="L185" s="341"/>
      <c r="BE185" s="469"/>
      <c r="BF185" s="469"/>
      <c r="BG185" s="469"/>
      <c r="BH185" s="469"/>
      <c r="BI185" s="469"/>
      <c r="BJ185" s="469"/>
      <c r="BK185" s="469"/>
      <c r="BL185" s="469"/>
      <c r="BM185" s="469"/>
      <c r="BN185" s="469"/>
      <c r="BO185" s="967"/>
      <c r="BP185" s="469"/>
      <c r="BQ185" s="469"/>
      <c r="BR185" s="469"/>
      <c r="BS185" s="469"/>
      <c r="BT185" s="469"/>
      <c r="BU185" s="9"/>
      <c r="BV185" s="341"/>
      <c r="BW185" s="469"/>
      <c r="BX185" s="469"/>
      <c r="BY185" s="469"/>
      <c r="CD185" s="341"/>
      <c r="CE185" s="341"/>
      <c r="CI185" s="9"/>
      <c r="CJ185" s="9"/>
      <c r="CK185" s="9"/>
      <c r="CL185" s="9"/>
      <c r="CM185" s="9"/>
      <c r="CN185" s="9"/>
      <c r="CO185" s="9"/>
      <c r="CP185" s="9"/>
      <c r="CQ185" s="9"/>
      <c r="CR185" s="9"/>
      <c r="CS185" s="9"/>
      <c r="CT185" s="9"/>
      <c r="CU185" s="9"/>
      <c r="CV185" s="9"/>
      <c r="EK185" s="258"/>
      <c r="EL185" s="972"/>
      <c r="EM185" s="972"/>
      <c r="EN185" s="972"/>
      <c r="EO185" s="972"/>
      <c r="EP185" s="972"/>
      <c r="EQ185" s="972"/>
      <c r="ER185" s="972"/>
      <c r="ES185" s="972"/>
      <c r="ET185" s="972"/>
    </row>
    <row r="186" spans="1:150" ht="45" x14ac:dyDescent="0.3">
      <c r="A186" s="644" t="s">
        <v>1066</v>
      </c>
      <c r="D186" s="348" t="s">
        <v>207</v>
      </c>
      <c r="E186" s="347" t="s">
        <v>443</v>
      </c>
      <c r="F186" s="347" t="s">
        <v>972</v>
      </c>
      <c r="G186" s="788" t="s">
        <v>1047</v>
      </c>
      <c r="H186" s="347" t="s">
        <v>984</v>
      </c>
      <c r="I186" s="347" t="s">
        <v>448</v>
      </c>
      <c r="J186" s="348" t="s">
        <v>877</v>
      </c>
      <c r="K186" s="348" t="s">
        <v>876</v>
      </c>
      <c r="L186" s="347" t="s">
        <v>444</v>
      </c>
      <c r="M186" s="963" t="s">
        <v>964</v>
      </c>
      <c r="N186" s="347" t="s">
        <v>446</v>
      </c>
      <c r="O186" s="348" t="s">
        <v>449</v>
      </c>
      <c r="P186" s="348" t="s">
        <v>484</v>
      </c>
      <c r="Q186" s="987" t="s">
        <v>1051</v>
      </c>
      <c r="R186" s="987" t="s">
        <v>1052</v>
      </c>
      <c r="BE186" s="873"/>
      <c r="BF186" s="991"/>
      <c r="BG186" s="991"/>
      <c r="BH186" s="991"/>
      <c r="BI186" s="991"/>
      <c r="BJ186" s="991"/>
      <c r="BK186" s="991"/>
      <c r="BL186" s="991"/>
      <c r="BM186" s="991"/>
      <c r="BN186" s="991"/>
      <c r="BO186" s="966"/>
      <c r="BP186" s="546"/>
      <c r="BQ186" s="546"/>
      <c r="BR186" s="546"/>
      <c r="BS186" s="546" t="s">
        <v>207</v>
      </c>
      <c r="BT186" s="347" t="s">
        <v>443</v>
      </c>
      <c r="BU186" s="347" t="s">
        <v>972</v>
      </c>
      <c r="BV186" s="788" t="s">
        <v>1047</v>
      </c>
      <c r="BW186" s="347" t="s">
        <v>984</v>
      </c>
      <c r="BX186" s="959" t="s">
        <v>448</v>
      </c>
      <c r="BY186" s="348" t="s">
        <v>877</v>
      </c>
      <c r="BZ186" s="348" t="s">
        <v>876</v>
      </c>
      <c r="CA186" s="347" t="s">
        <v>444</v>
      </c>
      <c r="CB186" s="347" t="s">
        <v>446</v>
      </c>
      <c r="CC186" s="348" t="s">
        <v>449</v>
      </c>
      <c r="CD186" s="348" t="s">
        <v>484</v>
      </c>
      <c r="CE186" s="963" t="s">
        <v>964</v>
      </c>
      <c r="CF186" s="63" t="s">
        <v>1051</v>
      </c>
      <c r="CG186" s="63" t="s">
        <v>1052</v>
      </c>
      <c r="CI186" s="546"/>
      <c r="CJ186" s="9"/>
      <c r="CK186" s="9"/>
      <c r="CL186" s="9"/>
      <c r="CM186" s="9"/>
      <c r="CN186" s="9"/>
      <c r="CO186" s="9"/>
      <c r="CP186" s="9"/>
      <c r="CQ186" s="9"/>
      <c r="CR186" s="9"/>
      <c r="CS186" s="9"/>
      <c r="CT186" s="9"/>
      <c r="CU186" s="9"/>
      <c r="CV186" s="9"/>
    </row>
    <row r="187" spans="1:150" x14ac:dyDescent="0.25">
      <c r="A187" s="258" t="s">
        <v>3</v>
      </c>
      <c r="B187" s="9" t="s">
        <v>3</v>
      </c>
      <c r="C187" s="236" t="s">
        <v>396</v>
      </c>
      <c r="D187" s="341">
        <f ca="1">VLOOKUP($A187,$A$26:$ER$41,COLUMN($AY$23),0)</f>
        <v>31918.781568528757</v>
      </c>
      <c r="E187" s="341">
        <f ca="1">VLOOKUP($A187,$A$26:$ER$41,COLUMN($D$23),0)</f>
        <v>31319.148936170212</v>
      </c>
      <c r="F187" s="341">
        <f ca="1">VLOOKUP($A187,$A$26:$ER$41,COLUMN($I$23),0)</f>
        <v>26174.460418634368</v>
      </c>
      <c r="G187" s="341">
        <f ca="1">VLOOKUP($A187,$A$26:$ER$41,COLUMN($G$23),0)</f>
        <v>38209.361702127659</v>
      </c>
      <c r="H187" s="341">
        <f ca="1">VLOOKUP($A187,$A$26:$ER$41,COLUMN($L$23),0)</f>
        <v>10575.624844162328</v>
      </c>
      <c r="I187" s="341" t="str">
        <f>VLOOKUP($A187,$A$26:$ER$41,COLUMN($P$23),0)</f>
        <v/>
      </c>
      <c r="J187" s="341">
        <f ca="1">VLOOKUP($A187,$A$26:$ER$41,COLUMN($S$23),0)</f>
        <v>45867.8631546092</v>
      </c>
      <c r="K187" s="341">
        <f ca="1">VLOOKUP($A187,$A$26:$ER$41,COLUMN($T$23),0)</f>
        <v>82137.4490063673</v>
      </c>
      <c r="L187" s="341">
        <f ca="1">VLOOKUP($A187,$A$26:$ER$41,COLUMN($H$23),0)</f>
        <v>30485.03921540505</v>
      </c>
      <c r="M187" s="341">
        <f ca="1">VLOOKUP($A187,$A$26:$ER$41,COLUMN($U$23),0)</f>
        <v>15828.995612035655</v>
      </c>
      <c r="N187" s="341">
        <f ca="1">VLOOKUP($A187,$A$26:$ER$41,COLUMN($M$23),0)</f>
        <v>26705.369044429881</v>
      </c>
      <c r="O187" s="341">
        <f ca="1">VLOOKUP($A187,$A$26:$ER$41,COLUMN($Q$23),0)</f>
        <v>29046.089044386084</v>
      </c>
      <c r="P187" s="341">
        <f ca="1">VLOOKUP($A187,$A$26:$ER$41,COLUMN($R$23),0)</f>
        <v>44629.458292744872</v>
      </c>
      <c r="Q187" s="341">
        <f ca="1">VLOOKUP($A187,$A$26:$ER$41,COLUMN($BD$23),0)</f>
        <v>17074.525379493141</v>
      </c>
      <c r="R187" s="341">
        <f ca="1">VLOOKUP($A187,$A$26:$ER$41,COLUMN($BE$23),0)</f>
        <v>40174.933950270824</v>
      </c>
      <c r="BE187" s="469"/>
      <c r="BF187" s="469"/>
      <c r="BG187" s="469"/>
      <c r="BH187" s="469"/>
      <c r="BI187" s="469"/>
      <c r="BJ187" s="469"/>
      <c r="BK187" s="469"/>
      <c r="BL187" s="469"/>
      <c r="BM187" s="469"/>
      <c r="BN187" s="469"/>
      <c r="BO187" s="967"/>
      <c r="BP187" s="469"/>
      <c r="BQ187" s="469"/>
      <c r="BR187" s="9" t="s">
        <v>3</v>
      </c>
      <c r="BS187" s="341">
        <f ca="1">VLOOKUP($A187,$A$26:$ER$41,COLUMN($EC$23),0)</f>
        <v>91861.563109842726</v>
      </c>
      <c r="BT187" s="341">
        <f ca="1">VLOOKUP($A187,$A$26:$ER$41,COLUMN($BP$23),0)</f>
        <v>140121.48148148149</v>
      </c>
      <c r="BU187" s="341">
        <f ca="1">VLOOKUP($A187,$A$26:$ER$41,COLUMN($BU$23),0)</f>
        <v>60941.450056590147</v>
      </c>
      <c r="BV187" s="341">
        <f ca="1">VLOOKUP($A187,$A$26:$ER$41,COLUMN($BS$23),0)</f>
        <v>63462.222222222219</v>
      </c>
      <c r="BW187" s="341">
        <f ca="1">VLOOKUP($A187,$A$26:$ER$41,COLUMN($BX$23),0)</f>
        <v>43191.828048584292</v>
      </c>
      <c r="BY187" s="341">
        <f ca="1">VLOOKUP($A187,$A$26:$ER$41,COLUMN($CE$23),0)</f>
        <v>87376.335611595307</v>
      </c>
      <c r="BZ187" s="341">
        <f ca="1">VLOOKUP($A187,$A$26:$ER$41,COLUMN($CF$23),0)</f>
        <v>86453.117807355564</v>
      </c>
      <c r="CA187" s="341">
        <f ca="1">VLOOKUP($A187,$A$26:$ER$41,COLUMN($BT$23),0)</f>
        <v>40885.00234515479</v>
      </c>
      <c r="CB187" s="341">
        <f ca="1">VLOOKUP($A187,$A$26:$ER$41,COLUMN($BY$23),0)</f>
        <v>50383.602359329678</v>
      </c>
      <c r="CC187" s="341">
        <f ca="1">VLOOKUP($A187,$A$26:$ER$41,COLUMN($CC$23),0)</f>
        <v>150393.0418101199</v>
      </c>
      <c r="CD187" s="341">
        <f ca="1">VLOOKUP($A187,$A$26:$ER$41,COLUMN($CD$23),0)</f>
        <v>179977.98891374224</v>
      </c>
      <c r="CE187" s="341">
        <f ca="1">VLOOKUP($A187,$A$26:$ER$41,COLUMN($CG$23),0)</f>
        <v>59174.80951181936</v>
      </c>
      <c r="CF187" s="341">
        <f ca="1">VLOOKUP($A187,$A$26:$ER$41,COLUMN($EH$23),0)</f>
        <v>40781.248611750343</v>
      </c>
      <c r="CG187" s="341">
        <f ca="1">VLOOKUP($A187,$A$26:$ER$41,COLUMN($EI$23),0)</f>
        <v>70493.140643119623</v>
      </c>
      <c r="CI187" s="469"/>
      <c r="CJ187" s="9"/>
      <c r="CK187" s="9"/>
      <c r="CL187" s="9"/>
      <c r="CM187" s="9"/>
      <c r="CN187" s="9"/>
      <c r="CO187" s="9"/>
      <c r="CP187" s="9"/>
      <c r="CQ187" s="9"/>
      <c r="CR187" s="9"/>
      <c r="CS187" s="9"/>
      <c r="CT187" s="9"/>
      <c r="CU187" s="9"/>
      <c r="CV187" s="9"/>
    </row>
    <row r="188" spans="1:150" x14ac:dyDescent="0.25">
      <c r="A188" s="258"/>
      <c r="C188" s="236"/>
      <c r="D188" s="341"/>
      <c r="E188" s="341"/>
      <c r="F188" s="341"/>
      <c r="G188" s="341"/>
      <c r="H188" s="341"/>
      <c r="I188" s="341"/>
      <c r="J188" s="341"/>
      <c r="K188" s="341"/>
      <c r="L188" s="341"/>
      <c r="M188" s="341"/>
      <c r="N188" s="341"/>
      <c r="O188" s="341"/>
      <c r="P188" s="341"/>
      <c r="Q188" s="341"/>
      <c r="R188" s="341"/>
      <c r="BE188" s="469"/>
      <c r="BF188" s="469"/>
      <c r="BG188" s="469"/>
      <c r="BH188" s="469"/>
      <c r="BI188" s="469"/>
      <c r="BJ188" s="469"/>
      <c r="BK188" s="469"/>
      <c r="BL188" s="469"/>
      <c r="BM188" s="469"/>
      <c r="BN188" s="469"/>
      <c r="BO188" s="967"/>
      <c r="BP188" s="469"/>
      <c r="BQ188" s="469"/>
      <c r="BR188" s="469"/>
      <c r="BS188" s="469"/>
      <c r="BT188" s="469"/>
      <c r="BU188" s="469"/>
      <c r="BV188" s="469"/>
      <c r="BW188" s="469"/>
      <c r="BX188" s="469"/>
      <c r="BY188" s="469"/>
      <c r="BZ188" s="469"/>
      <c r="CA188" s="469"/>
      <c r="CI188" s="469"/>
      <c r="CJ188" s="9"/>
      <c r="CK188" s="9"/>
      <c r="CL188" s="9"/>
      <c r="CM188" s="9"/>
      <c r="CN188" s="9"/>
      <c r="CO188" s="9"/>
      <c r="CP188" s="9"/>
      <c r="CQ188" s="9"/>
      <c r="CR188" s="9"/>
      <c r="CS188" s="9"/>
      <c r="CT188" s="9"/>
      <c r="CU188" s="9"/>
      <c r="CV188" s="9"/>
    </row>
    <row r="189" spans="1:150" x14ac:dyDescent="0.25">
      <c r="A189" s="258"/>
      <c r="C189" s="236"/>
      <c r="D189" s="341"/>
      <c r="E189" s="341"/>
      <c r="F189" s="341"/>
      <c r="G189" s="341"/>
      <c r="H189" s="341"/>
      <c r="I189" s="341"/>
      <c r="J189" s="341"/>
      <c r="K189" s="341"/>
      <c r="L189" s="341"/>
      <c r="M189" s="341"/>
      <c r="N189" s="341"/>
      <c r="O189" s="341"/>
      <c r="P189" s="341"/>
      <c r="Q189" s="341"/>
      <c r="R189" s="341"/>
      <c r="BE189" s="469"/>
      <c r="BF189" s="469"/>
      <c r="BG189" s="469"/>
      <c r="BH189" s="469"/>
      <c r="BI189" s="469"/>
      <c r="BJ189" s="469"/>
      <c r="BK189" s="469"/>
      <c r="BL189" s="469"/>
      <c r="BM189" s="469"/>
      <c r="BN189" s="469"/>
      <c r="BO189" s="967"/>
      <c r="BP189" s="469"/>
      <c r="BQ189" s="469"/>
      <c r="BR189" s="469"/>
      <c r="BS189" s="469"/>
      <c r="BT189" s="469"/>
      <c r="BU189" s="469"/>
      <c r="BV189" s="469"/>
      <c r="BW189" s="469"/>
      <c r="BX189" s="469"/>
      <c r="BY189" s="469"/>
      <c r="BZ189" s="469"/>
      <c r="CA189" s="469"/>
      <c r="CI189" s="469"/>
      <c r="CJ189" s="9"/>
      <c r="CK189" s="9"/>
      <c r="CL189" s="9"/>
      <c r="CM189" s="9"/>
      <c r="CN189" s="9"/>
      <c r="CO189" s="9"/>
      <c r="CP189" s="9"/>
      <c r="CQ189" s="9"/>
      <c r="CR189" s="9"/>
      <c r="CS189" s="9"/>
      <c r="CT189" s="9"/>
      <c r="CU189" s="9"/>
      <c r="CV189" s="9"/>
    </row>
    <row r="190" spans="1:150" ht="45" x14ac:dyDescent="0.3">
      <c r="A190" s="644" t="s">
        <v>1075</v>
      </c>
      <c r="D190" s="348" t="s">
        <v>207</v>
      </c>
      <c r="E190" s="347" t="s">
        <v>443</v>
      </c>
      <c r="F190" s="347" t="s">
        <v>972</v>
      </c>
      <c r="G190" s="788" t="s">
        <v>1047</v>
      </c>
      <c r="H190" s="347" t="s">
        <v>984</v>
      </c>
      <c r="I190" s="347" t="s">
        <v>448</v>
      </c>
      <c r="J190" s="348" t="s">
        <v>877</v>
      </c>
      <c r="K190" s="348" t="s">
        <v>876</v>
      </c>
      <c r="L190" s="347" t="s">
        <v>444</v>
      </c>
      <c r="M190" s="963" t="s">
        <v>964</v>
      </c>
      <c r="N190" s="347" t="s">
        <v>446</v>
      </c>
      <c r="O190" s="348" t="s">
        <v>449</v>
      </c>
      <c r="P190" s="348" t="s">
        <v>484</v>
      </c>
      <c r="Q190" s="987" t="s">
        <v>1051</v>
      </c>
      <c r="R190" s="987" t="s">
        <v>1052</v>
      </c>
      <c r="BE190" s="469"/>
      <c r="BF190" s="469"/>
      <c r="BG190" s="469"/>
      <c r="BH190" s="469"/>
      <c r="BI190" s="469"/>
      <c r="BJ190" s="469"/>
      <c r="BK190" s="469"/>
      <c r="BL190" s="469"/>
      <c r="BM190" s="469"/>
      <c r="BN190" s="469"/>
      <c r="BO190" s="967"/>
      <c r="BP190" s="469"/>
      <c r="BQ190" s="469"/>
      <c r="BR190" s="546"/>
      <c r="BS190" s="546" t="s">
        <v>207</v>
      </c>
      <c r="BT190" s="347" t="s">
        <v>443</v>
      </c>
      <c r="BU190" s="347" t="s">
        <v>972</v>
      </c>
      <c r="BV190" s="788" t="s">
        <v>1047</v>
      </c>
      <c r="BW190" s="347" t="s">
        <v>984</v>
      </c>
      <c r="BX190" s="959" t="s">
        <v>448</v>
      </c>
      <c r="BY190" s="348" t="s">
        <v>877</v>
      </c>
      <c r="BZ190" s="348" t="s">
        <v>876</v>
      </c>
      <c r="CA190" s="347" t="s">
        <v>444</v>
      </c>
      <c r="CB190" s="347" t="s">
        <v>446</v>
      </c>
      <c r="CC190" s="348" t="s">
        <v>449</v>
      </c>
      <c r="CD190" s="348" t="s">
        <v>484</v>
      </c>
      <c r="CE190" s="963" t="s">
        <v>964</v>
      </c>
      <c r="CF190" s="63" t="s">
        <v>1051</v>
      </c>
      <c r="CG190" s="63" t="s">
        <v>1052</v>
      </c>
      <c r="CI190" s="469"/>
      <c r="CJ190" s="9"/>
      <c r="CK190" s="9"/>
      <c r="CL190" s="9"/>
      <c r="CM190" s="9"/>
      <c r="CN190" s="9"/>
      <c r="CO190" s="9"/>
      <c r="CP190" s="9"/>
      <c r="CQ190" s="9"/>
      <c r="CR190" s="9"/>
      <c r="CS190" s="9"/>
      <c r="CT190" s="9"/>
      <c r="CU190" s="9"/>
      <c r="CV190" s="9"/>
    </row>
    <row r="191" spans="1:150" x14ac:dyDescent="0.25">
      <c r="A191" s="258" t="s">
        <v>3</v>
      </c>
      <c r="B191" s="9" t="s">
        <v>3</v>
      </c>
      <c r="C191" s="236" t="s">
        <v>396</v>
      </c>
      <c r="D191" s="341">
        <f ca="1">VLOOKUP($A191,$A$50:$ER$65,COLUMN($AY$47),0)</f>
        <v>59302.928237256368</v>
      </c>
      <c r="E191" s="341">
        <f ca="1">VLOOKUP($A191,$A$50:$ER$65,COLUMN($D$47),0)</f>
        <v>23218.156028368794</v>
      </c>
      <c r="F191" s="341">
        <f ca="1">VLOOKUP($A191,$A$50:$ER$65,COLUMN($I$47),0)</f>
        <v>116341.56471501317</v>
      </c>
      <c r="G191" s="341">
        <f ca="1">VLOOKUP($A191,$A$50:$ER$65,COLUMN($G$47),0)</f>
        <v>185745.24822695035</v>
      </c>
      <c r="H191" s="341"/>
      <c r="I191" s="341" t="str">
        <f>VLOOKUP($A191,$A$50:$ER$65,COLUMN($P$47),0)</f>
        <v/>
      </c>
      <c r="J191" s="341">
        <f ca="1">VLOOKUP($A191,$A$50:$ER$65,COLUMN($S$47),0)</f>
        <v>22564.398505641631</v>
      </c>
      <c r="K191" s="341">
        <f ca="1">VLOOKUP($A191,$A$50:$ER$65,COLUMN($T$47),0)</f>
        <v>57408.734497341567</v>
      </c>
      <c r="L191" s="341">
        <f ca="1">VLOOKUP($A191,$A$50:$ER$65,COLUMN($H$47),0)</f>
        <v>25690.002515798245</v>
      </c>
      <c r="M191" s="341"/>
      <c r="N191" s="341"/>
      <c r="O191" s="341"/>
      <c r="P191" s="341"/>
      <c r="Q191" s="32">
        <f ca="1">VLOOKUP($A191,$A$50:$ER$65,COLUMN($BD$47),0)</f>
        <v>47442.342589805092</v>
      </c>
      <c r="R191" s="32">
        <f ca="1">VLOOKUP($A191,$A$50:$ER$65,COLUMN($BE$47),0)</f>
        <v>101153.8559917552</v>
      </c>
      <c r="BE191" s="469"/>
      <c r="BF191" s="469"/>
      <c r="BG191" s="469"/>
      <c r="BH191" s="469"/>
      <c r="BI191" s="469"/>
      <c r="BJ191" s="469"/>
      <c r="BK191" s="469"/>
      <c r="BL191" s="469"/>
      <c r="BM191" s="469"/>
      <c r="BN191" s="469"/>
      <c r="BO191" s="967"/>
      <c r="BP191" s="469"/>
      <c r="BQ191" s="469"/>
      <c r="BR191" s="9" t="s">
        <v>3</v>
      </c>
      <c r="BS191" s="341">
        <f ca="1">VLOOKUP($A191,$A$50:$ER$65,COLUMN($EC$47),0)</f>
        <v>125115.34004924072</v>
      </c>
      <c r="BT191" s="341">
        <f ca="1">VLOOKUP($A191,$A$50:$ER$65,COLUMN($BP$47),0)</f>
        <v>15170.37037037037</v>
      </c>
      <c r="BU191" s="341">
        <f ca="1">VLOOKUP($A191,$A$50:$ER$65,COLUMN($BU$47),0)</f>
        <v>810506.46593919117</v>
      </c>
      <c r="BV191" s="341">
        <f ca="1">VLOOKUP($A191,$A$50:$ER$65,COLUMN($BS$47),0)</f>
        <v>128948.14814814816</v>
      </c>
      <c r="BW191" s="341"/>
      <c r="BY191" s="341">
        <f ca="1">VLOOKUP($A191,$A$50:$ER$65,COLUMN($CE$47),0)</f>
        <v>822265.85575040022</v>
      </c>
      <c r="BZ191" s="341">
        <f ca="1">VLOOKUP($A191,$A$50:$ER$65,COLUMN($CF$47),0)</f>
        <v>295451.01963248639</v>
      </c>
      <c r="CA191" s="341">
        <f ca="1">VLOOKUP($A191,$A$50:$ER$65,COLUMN($BT$47),0)</f>
        <v>120407.33647512669</v>
      </c>
      <c r="CB191" s="341"/>
      <c r="CC191" s="341"/>
      <c r="CD191" s="341"/>
      <c r="CE191" s="341"/>
      <c r="CF191" s="341">
        <f ca="1">VLOOKUP($A191,$A$50:$ER$65,COLUMN($EH$47),0)</f>
        <v>100092.27203939258</v>
      </c>
      <c r="CG191" s="341">
        <f ca="1">VLOOKUP($A191,$A$50:$ER$65,COLUMN($EI$47),0)</f>
        <v>610017.33789654309</v>
      </c>
      <c r="CI191" s="469"/>
      <c r="CJ191" s="9"/>
      <c r="CK191" s="9"/>
      <c r="CL191" s="9"/>
      <c r="CM191" s="9"/>
      <c r="CN191" s="9"/>
      <c r="CO191" s="9"/>
      <c r="CP191" s="9"/>
      <c r="CQ191" s="9"/>
      <c r="CR191" s="9"/>
      <c r="CS191" s="9"/>
      <c r="CT191" s="9"/>
      <c r="CU191" s="9"/>
      <c r="CV191" s="9"/>
    </row>
    <row r="192" spans="1:150" x14ac:dyDescent="0.25">
      <c r="A192" s="258"/>
      <c r="C192" s="236"/>
      <c r="D192" s="341"/>
      <c r="E192" s="341"/>
      <c r="F192" s="341"/>
      <c r="G192" s="341"/>
      <c r="H192" s="341"/>
      <c r="I192" s="341"/>
      <c r="J192" s="341"/>
      <c r="K192" s="341"/>
      <c r="L192" s="341"/>
      <c r="M192" s="341"/>
      <c r="N192" s="341"/>
      <c r="O192" s="341"/>
      <c r="P192" s="341"/>
      <c r="BE192" s="469"/>
      <c r="BF192" s="469"/>
      <c r="BG192" s="469"/>
      <c r="BH192" s="469"/>
      <c r="BI192" s="469"/>
      <c r="BJ192" s="469"/>
      <c r="BK192" s="469"/>
      <c r="BL192" s="469"/>
      <c r="BM192" s="469"/>
      <c r="BN192" s="469"/>
      <c r="BO192" s="967"/>
      <c r="BP192" s="469"/>
      <c r="BQ192" s="469"/>
      <c r="BR192" s="469"/>
      <c r="BS192" s="469"/>
      <c r="BT192" s="469"/>
      <c r="CI192" s="469"/>
      <c r="CJ192" s="9"/>
      <c r="CK192" s="9"/>
      <c r="CL192" s="9"/>
      <c r="CM192" s="9"/>
      <c r="CN192" s="9"/>
      <c r="CO192" s="9"/>
      <c r="CP192" s="9"/>
      <c r="CQ192" s="9"/>
      <c r="CR192" s="9"/>
      <c r="CS192" s="9"/>
      <c r="CT192" s="9"/>
      <c r="CU192" s="9"/>
      <c r="CV192" s="9"/>
    </row>
    <row r="193" spans="1:100" x14ac:dyDescent="0.25">
      <c r="A193" s="258"/>
      <c r="C193" s="236"/>
      <c r="D193" s="341"/>
      <c r="E193" s="341"/>
      <c r="F193" s="341"/>
      <c r="G193" s="341"/>
      <c r="H193" s="341"/>
      <c r="I193" s="341"/>
      <c r="J193" s="341"/>
      <c r="K193" s="341"/>
      <c r="L193" s="341"/>
      <c r="M193" s="341"/>
      <c r="N193" s="341"/>
      <c r="O193" s="341"/>
      <c r="P193" s="341"/>
      <c r="BE193" s="469"/>
      <c r="BF193" s="469"/>
      <c r="BG193" s="469"/>
      <c r="BH193" s="469"/>
      <c r="BI193" s="469"/>
      <c r="BJ193" s="469"/>
      <c r="BK193" s="469"/>
      <c r="BL193" s="469"/>
      <c r="BM193" s="469"/>
      <c r="BN193" s="469"/>
      <c r="BO193" s="967"/>
      <c r="BP193" s="469"/>
      <c r="BQ193" s="469"/>
      <c r="BR193" s="469"/>
      <c r="BS193" s="469"/>
      <c r="BT193" s="469"/>
      <c r="BU193" s="469"/>
      <c r="BV193" s="469"/>
      <c r="BW193" s="469"/>
      <c r="BX193" s="469"/>
      <c r="BY193" s="469"/>
      <c r="BZ193" s="469"/>
      <c r="CA193" s="469"/>
      <c r="CI193" s="469"/>
      <c r="CJ193" s="9"/>
      <c r="CK193" s="9"/>
      <c r="CL193" s="9"/>
      <c r="CM193" s="9"/>
      <c r="CN193" s="9"/>
      <c r="CO193" s="9"/>
      <c r="CP193" s="9"/>
      <c r="CQ193" s="9"/>
      <c r="CR193" s="9"/>
      <c r="CS193" s="9"/>
      <c r="CT193" s="9"/>
      <c r="CU193" s="9"/>
      <c r="CV193" s="9"/>
    </row>
    <row r="194" spans="1:100" x14ac:dyDescent="0.25">
      <c r="CI194" s="9"/>
      <c r="CJ194" s="9"/>
      <c r="CK194" s="9"/>
      <c r="CL194" s="9"/>
      <c r="CM194" s="9"/>
      <c r="CN194" s="9"/>
      <c r="CO194" s="9"/>
      <c r="CP194" s="9"/>
      <c r="CQ194" s="9"/>
      <c r="CR194" s="9"/>
      <c r="CS194" s="9"/>
      <c r="CT194" s="9"/>
      <c r="CU194" s="9"/>
      <c r="CV194" s="9"/>
    </row>
    <row r="195" spans="1:100" x14ac:dyDescent="0.25">
      <c r="CI195" s="9"/>
      <c r="CJ195" s="9"/>
      <c r="CK195" s="9"/>
      <c r="CL195" s="9"/>
      <c r="CM195" s="9"/>
      <c r="CN195" s="9"/>
      <c r="CO195" s="9"/>
      <c r="CP195" s="9"/>
      <c r="CQ195" s="9"/>
      <c r="CR195" s="9"/>
      <c r="CS195" s="9"/>
      <c r="CT195" s="9"/>
      <c r="CU195" s="9"/>
      <c r="CV195" s="9"/>
    </row>
    <row r="196" spans="1:100" x14ac:dyDescent="0.25">
      <c r="CI196" s="9"/>
      <c r="CJ196" s="9"/>
      <c r="CK196" s="9"/>
      <c r="CL196" s="9"/>
      <c r="CM196" s="9"/>
      <c r="CN196" s="9"/>
      <c r="CO196" s="9"/>
      <c r="CP196" s="9"/>
      <c r="CQ196" s="9"/>
      <c r="CR196" s="9"/>
      <c r="CS196" s="9"/>
      <c r="CT196" s="9"/>
      <c r="CU196" s="9"/>
      <c r="CV196" s="9"/>
    </row>
    <row r="197" spans="1:100" x14ac:dyDescent="0.25">
      <c r="CI197" s="9"/>
      <c r="CJ197" s="9"/>
      <c r="CK197" s="9"/>
      <c r="CL197" s="9"/>
      <c r="CM197" s="9"/>
      <c r="CN197" s="9"/>
      <c r="CO197" s="9"/>
      <c r="CP197" s="9"/>
      <c r="CQ197" s="9"/>
      <c r="CR197" s="9"/>
      <c r="CS197" s="9"/>
      <c r="CT197" s="9"/>
      <c r="CU197" s="9"/>
      <c r="CV197" s="9"/>
    </row>
    <row r="198" spans="1:100" x14ac:dyDescent="0.25">
      <c r="CI198" s="9"/>
      <c r="CJ198" s="9"/>
      <c r="CK198" s="9"/>
      <c r="CL198" s="9"/>
      <c r="CM198" s="9"/>
      <c r="CN198" s="9"/>
      <c r="CO198" s="9"/>
      <c r="CP198" s="9"/>
      <c r="CQ198" s="9"/>
      <c r="CR198" s="9"/>
      <c r="CS198" s="9"/>
      <c r="CT198" s="9"/>
      <c r="CU198" s="9"/>
      <c r="CV198" s="9"/>
    </row>
    <row r="199" spans="1:100" x14ac:dyDescent="0.25">
      <c r="CI199" s="9"/>
      <c r="CJ199" s="9"/>
      <c r="CK199" s="9"/>
      <c r="CL199" s="9"/>
      <c r="CM199" s="9"/>
      <c r="CN199" s="9"/>
      <c r="CO199" s="9"/>
      <c r="CP199" s="9"/>
      <c r="CQ199" s="9"/>
      <c r="CR199" s="9"/>
      <c r="CS199" s="9"/>
      <c r="CT199" s="9"/>
      <c r="CU199" s="9"/>
      <c r="CV199" s="9"/>
    </row>
    <row r="200" spans="1:100" x14ac:dyDescent="0.25">
      <c r="CI200" s="9"/>
      <c r="CJ200" s="9"/>
      <c r="CK200" s="9"/>
      <c r="CL200" s="9"/>
      <c r="CM200" s="9"/>
      <c r="CN200" s="9"/>
      <c r="CO200" s="9"/>
      <c r="CP200" s="9"/>
      <c r="CQ200" s="9"/>
      <c r="CR200" s="9"/>
      <c r="CS200" s="9"/>
      <c r="CT200" s="9"/>
      <c r="CU200" s="9"/>
      <c r="CV200" s="9"/>
    </row>
    <row r="201" spans="1:100" x14ac:dyDescent="0.25">
      <c r="CI201" s="9"/>
      <c r="CJ201" s="9"/>
      <c r="CK201" s="9"/>
      <c r="CL201" s="9"/>
      <c r="CM201" s="9"/>
      <c r="CN201" s="9"/>
      <c r="CO201" s="9"/>
      <c r="CP201" s="9"/>
      <c r="CQ201" s="9"/>
      <c r="CR201" s="9"/>
      <c r="CS201" s="9"/>
      <c r="CT201" s="9"/>
      <c r="CU201" s="9"/>
      <c r="CV201" s="9"/>
    </row>
    <row r="202" spans="1:100" x14ac:dyDescent="0.25">
      <c r="CI202" s="9"/>
      <c r="CJ202" s="9"/>
      <c r="CK202" s="9"/>
      <c r="CL202" s="9"/>
      <c r="CM202" s="9"/>
      <c r="CN202" s="9"/>
      <c r="CO202" s="9"/>
      <c r="CP202" s="9"/>
      <c r="CQ202" s="9"/>
      <c r="CR202" s="9"/>
      <c r="CS202" s="9"/>
      <c r="CT202" s="9"/>
      <c r="CU202" s="9"/>
      <c r="CV202" s="9"/>
    </row>
    <row r="203" spans="1:100" x14ac:dyDescent="0.25">
      <c r="CI203" s="9"/>
      <c r="CJ203" s="9"/>
      <c r="CK203" s="9"/>
      <c r="CL203" s="9"/>
      <c r="CM203" s="9"/>
      <c r="CN203" s="9"/>
      <c r="CO203" s="9"/>
      <c r="CP203" s="9"/>
      <c r="CQ203" s="9"/>
      <c r="CR203" s="9"/>
      <c r="CS203" s="9"/>
      <c r="CT203" s="9"/>
      <c r="CU203" s="9"/>
      <c r="CV203" s="9"/>
    </row>
    <row r="204" spans="1:100" x14ac:dyDescent="0.25">
      <c r="CI204" s="9"/>
      <c r="CJ204" s="9"/>
      <c r="CK204" s="9"/>
      <c r="CL204" s="9"/>
      <c r="CM204" s="9"/>
      <c r="CN204" s="9"/>
      <c r="CO204" s="9"/>
      <c r="CP204" s="9"/>
      <c r="CQ204" s="9"/>
      <c r="CR204" s="9"/>
      <c r="CS204" s="9"/>
      <c r="CT204" s="9"/>
      <c r="CU204" s="9"/>
      <c r="CV204" s="9"/>
    </row>
    <row r="205" spans="1:100" x14ac:dyDescent="0.25">
      <c r="CI205" s="9"/>
      <c r="CJ205" s="9"/>
      <c r="CK205" s="9"/>
      <c r="CL205" s="9"/>
      <c r="CM205" s="9"/>
      <c r="CN205" s="9"/>
      <c r="CO205" s="9"/>
      <c r="CP205" s="9"/>
      <c r="CQ205" s="9"/>
      <c r="CR205" s="9"/>
      <c r="CS205" s="9"/>
      <c r="CT205" s="9"/>
      <c r="CU205" s="9"/>
      <c r="CV205" s="9"/>
    </row>
    <row r="206" spans="1:100" x14ac:dyDescent="0.25">
      <c r="CI206" s="9"/>
      <c r="CJ206" s="9"/>
      <c r="CK206" s="9"/>
      <c r="CL206" s="9"/>
      <c r="CM206" s="9"/>
      <c r="CN206" s="9"/>
      <c r="CO206" s="9"/>
      <c r="CP206" s="9"/>
      <c r="CQ206" s="9"/>
      <c r="CR206" s="9"/>
      <c r="CS206" s="9"/>
      <c r="CT206" s="9"/>
      <c r="CU206" s="9"/>
      <c r="CV206" s="9"/>
    </row>
    <row r="207" spans="1:100" x14ac:dyDescent="0.25">
      <c r="CI207" s="9"/>
      <c r="CJ207" s="9"/>
      <c r="CK207" s="9"/>
      <c r="CL207" s="9"/>
      <c r="CM207" s="9"/>
      <c r="CN207" s="9"/>
      <c r="CO207" s="9"/>
      <c r="CP207" s="9"/>
      <c r="CQ207" s="9"/>
      <c r="CR207" s="9"/>
      <c r="CS207" s="9"/>
      <c r="CT207" s="9"/>
      <c r="CU207" s="9"/>
      <c r="CV207" s="9"/>
    </row>
    <row r="208" spans="1:100" x14ac:dyDescent="0.25">
      <c r="CI208" s="9"/>
      <c r="CJ208" s="9"/>
      <c r="CK208" s="9"/>
      <c r="CL208" s="9"/>
      <c r="CM208" s="9"/>
      <c r="CN208" s="9"/>
      <c r="CO208" s="9"/>
      <c r="CP208" s="9"/>
      <c r="CQ208" s="9"/>
      <c r="CR208" s="9"/>
      <c r="CS208" s="9"/>
      <c r="CT208" s="9"/>
      <c r="CU208" s="9"/>
      <c r="CV208" s="9"/>
    </row>
    <row r="209" spans="1:150" x14ac:dyDescent="0.25">
      <c r="CI209" s="9"/>
      <c r="CJ209" s="9"/>
      <c r="CK209" s="9"/>
      <c r="CL209" s="9"/>
      <c r="CM209" s="9"/>
      <c r="CN209" s="9"/>
      <c r="CO209" s="9"/>
      <c r="CP209" s="9"/>
      <c r="CQ209" s="9"/>
      <c r="CR209" s="9"/>
      <c r="CS209" s="9"/>
      <c r="CT209" s="9"/>
      <c r="CU209" s="9"/>
      <c r="CV209" s="9"/>
    </row>
    <row r="210" spans="1:150" x14ac:dyDescent="0.25">
      <c r="CI210" s="9"/>
      <c r="CJ210" s="9"/>
      <c r="CK210" s="9"/>
      <c r="CL210" s="9"/>
      <c r="CM210" s="9"/>
      <c r="CN210" s="9"/>
      <c r="CO210" s="9"/>
      <c r="CP210" s="9"/>
      <c r="CQ210" s="9"/>
      <c r="CR210" s="9"/>
      <c r="CS210" s="9"/>
      <c r="CT210" s="9"/>
      <c r="CU210" s="9"/>
      <c r="CV210" s="9"/>
    </row>
    <row r="211" spans="1:150" x14ac:dyDescent="0.25">
      <c r="CI211" s="9"/>
      <c r="CJ211" s="9"/>
      <c r="CK211" s="9"/>
      <c r="CL211" s="9"/>
      <c r="CM211" s="9"/>
      <c r="CN211" s="9"/>
      <c r="CO211" s="9"/>
      <c r="CP211" s="9"/>
      <c r="CQ211" s="9"/>
      <c r="CR211" s="9"/>
      <c r="CS211" s="9"/>
      <c r="CT211" s="9"/>
      <c r="CU211" s="9"/>
      <c r="CV211" s="9"/>
    </row>
    <row r="212" spans="1:150" x14ac:dyDescent="0.25">
      <c r="CI212" s="9"/>
      <c r="CJ212" s="9"/>
      <c r="CK212" s="9"/>
      <c r="CL212" s="9"/>
      <c r="CM212" s="9"/>
      <c r="CN212" s="9"/>
      <c r="CO212" s="9"/>
      <c r="CP212" s="9"/>
      <c r="CQ212" s="9"/>
      <c r="CR212" s="9"/>
      <c r="CS212" s="9"/>
      <c r="CT212" s="9"/>
      <c r="CU212" s="9"/>
      <c r="CV212" s="9"/>
    </row>
    <row r="213" spans="1:150" x14ac:dyDescent="0.25">
      <c r="CI213" s="9"/>
      <c r="CJ213" s="9"/>
      <c r="CK213" s="9"/>
      <c r="CL213" s="9"/>
      <c r="CM213" s="9"/>
      <c r="CN213" s="9"/>
      <c r="CO213" s="9"/>
      <c r="CP213" s="9"/>
      <c r="CQ213" s="9"/>
      <c r="CR213" s="9"/>
      <c r="CS213" s="9"/>
      <c r="CT213" s="9"/>
      <c r="CU213" s="9"/>
      <c r="CV213" s="9"/>
    </row>
    <row r="214" spans="1:150" ht="19.5" x14ac:dyDescent="0.3">
      <c r="A214" s="644" t="s">
        <v>1067</v>
      </c>
      <c r="B214" s="545"/>
      <c r="C214" s="545"/>
      <c r="D214" s="545"/>
      <c r="E214" s="545"/>
      <c r="F214" s="545"/>
      <c r="G214" s="545"/>
      <c r="H214" s="545"/>
      <c r="I214" s="545"/>
      <c r="J214" s="545"/>
      <c r="K214" s="545"/>
      <c r="L214" s="545"/>
      <c r="M214" s="545"/>
      <c r="N214" s="545"/>
      <c r="O214" s="545"/>
      <c r="P214" s="545"/>
      <c r="Q214" s="545"/>
      <c r="R214" s="545"/>
      <c r="S214" s="545"/>
      <c r="T214" s="545"/>
      <c r="U214" s="545"/>
      <c r="V214" s="545"/>
      <c r="W214" s="545"/>
      <c r="X214" s="545"/>
      <c r="Y214" s="545"/>
      <c r="Z214" s="545"/>
      <c r="AA214" s="545"/>
      <c r="AB214" s="545"/>
      <c r="AC214" s="545"/>
      <c r="AD214" s="545"/>
      <c r="AE214" s="545"/>
      <c r="AF214" s="545"/>
      <c r="AG214" s="545"/>
      <c r="AH214" s="545"/>
      <c r="AI214" s="545"/>
      <c r="AJ214" s="545"/>
      <c r="AK214" s="545"/>
      <c r="AL214" s="545"/>
      <c r="AM214" s="545"/>
      <c r="AN214" s="545"/>
      <c r="AO214" s="545"/>
      <c r="AP214" s="545"/>
      <c r="AQ214" s="545"/>
      <c r="AR214" s="545"/>
      <c r="AS214" s="545"/>
      <c r="AT214" s="545"/>
      <c r="AU214" s="545"/>
      <c r="AV214" s="545"/>
      <c r="AW214" s="545"/>
      <c r="AX214" s="545"/>
      <c r="AY214" s="545"/>
      <c r="AZ214" s="545"/>
      <c r="BA214" s="545"/>
      <c r="BB214" s="545"/>
      <c r="BC214" s="545"/>
      <c r="BD214" s="545"/>
      <c r="BE214" s="545"/>
      <c r="BF214" s="545"/>
      <c r="BG214" s="545"/>
      <c r="BH214" s="545"/>
      <c r="BI214" s="545"/>
      <c r="BJ214" s="545"/>
      <c r="BK214" s="545"/>
      <c r="BL214" s="545"/>
      <c r="BM214" s="545"/>
      <c r="BN214" s="545"/>
      <c r="BO214" s="965"/>
      <c r="BP214" s="545"/>
      <c r="BQ214" s="545"/>
      <c r="BR214" s="545"/>
      <c r="BS214" s="545"/>
      <c r="BT214" s="545"/>
      <c r="BU214" s="545"/>
      <c r="BV214" s="545"/>
      <c r="BW214" s="545"/>
      <c r="BX214" s="545"/>
      <c r="BY214" s="545"/>
      <c r="BZ214" s="545"/>
      <c r="CA214" s="545"/>
      <c r="CB214" s="545"/>
      <c r="CC214" s="545"/>
      <c r="CD214" s="545"/>
      <c r="CE214" s="545"/>
      <c r="CF214" s="545"/>
      <c r="CG214" s="545"/>
      <c r="CH214" s="545"/>
      <c r="CI214" s="545"/>
      <c r="CJ214" s="545"/>
      <c r="CK214" s="545"/>
      <c r="CL214" s="545"/>
      <c r="CM214" s="545"/>
      <c r="CN214" s="545"/>
      <c r="CO214" s="545"/>
      <c r="CP214" s="545"/>
      <c r="CQ214" s="545"/>
      <c r="CR214" s="545"/>
      <c r="CS214" s="545"/>
      <c r="CT214" s="545"/>
      <c r="CU214" s="545"/>
      <c r="CV214" s="545"/>
      <c r="CW214" s="545"/>
      <c r="CX214" s="545"/>
      <c r="CY214" s="545"/>
      <c r="CZ214" s="545"/>
      <c r="DA214" s="545"/>
      <c r="DB214" s="545"/>
      <c r="DC214" s="545"/>
      <c r="DD214" s="545"/>
      <c r="DE214" s="545"/>
      <c r="DF214" s="545"/>
      <c r="DG214" s="545"/>
      <c r="DH214" s="545"/>
      <c r="DI214" s="545"/>
      <c r="DJ214" s="545"/>
      <c r="DK214" s="545"/>
      <c r="DL214" s="545"/>
      <c r="DM214" s="545"/>
      <c r="DN214" s="545"/>
      <c r="DO214" s="545"/>
      <c r="DP214" s="545"/>
      <c r="DQ214" s="545"/>
      <c r="DR214" s="545"/>
      <c r="DS214" s="545"/>
      <c r="DT214" s="545"/>
      <c r="DU214" s="545"/>
      <c r="DV214" s="545"/>
      <c r="DW214" s="545"/>
      <c r="DX214" s="545"/>
      <c r="DY214" s="545"/>
      <c r="DZ214" s="545"/>
      <c r="EA214" s="545"/>
      <c r="EB214" s="545"/>
      <c r="EC214" s="545"/>
      <c r="ED214" s="545"/>
      <c r="EE214" s="545"/>
      <c r="EF214" s="545"/>
      <c r="EG214" s="545"/>
    </row>
    <row r="215" spans="1:150" x14ac:dyDescent="0.25">
      <c r="A215" s="64"/>
      <c r="B215" s="64"/>
      <c r="C215" s="64"/>
      <c r="D215" s="348" t="s">
        <v>207</v>
      </c>
      <c r="E215" s="63" t="s">
        <v>1051</v>
      </c>
      <c r="F215" s="63" t="s">
        <v>1052</v>
      </c>
      <c r="G215" s="348"/>
      <c r="H215" s="316"/>
      <c r="I215" s="316"/>
      <c r="J215" s="316"/>
      <c r="K215" s="316"/>
      <c r="L215" s="316"/>
      <c r="BE215" s="873"/>
      <c r="BF215" s="991"/>
      <c r="BG215" s="991"/>
      <c r="BH215" s="991"/>
      <c r="BI215" s="991"/>
      <c r="BJ215" s="991"/>
      <c r="BK215" s="991"/>
      <c r="BL215" s="991"/>
      <c r="BM215" s="991"/>
      <c r="BN215" s="991"/>
      <c r="BO215" s="966"/>
      <c r="BP215" s="882"/>
      <c r="BQ215" s="882"/>
      <c r="BR215" s="882"/>
      <c r="BS215" s="882" t="s">
        <v>207</v>
      </c>
      <c r="BT215" s="165" t="s">
        <v>1051</v>
      </c>
      <c r="BU215" s="165" t="s">
        <v>1052</v>
      </c>
      <c r="BV215" s="882"/>
      <c r="CI215" s="9"/>
      <c r="CJ215" s="9"/>
      <c r="CK215" s="9"/>
      <c r="CL215" s="9"/>
      <c r="CM215" s="9"/>
      <c r="CN215" s="9"/>
      <c r="CO215" s="9"/>
      <c r="CP215" s="9"/>
      <c r="CQ215" s="9"/>
      <c r="CR215" s="9"/>
      <c r="CS215" s="9"/>
      <c r="CT215" s="9"/>
      <c r="CU215" s="9"/>
      <c r="CV215" s="9"/>
      <c r="CW215" s="9"/>
      <c r="EL215" s="165" t="s">
        <v>1083</v>
      </c>
      <c r="EM215" s="165" t="s">
        <v>1051</v>
      </c>
      <c r="EN215" s="165" t="s">
        <v>1052</v>
      </c>
      <c r="EO215" s="165" t="s">
        <v>9</v>
      </c>
      <c r="EP215" s="165" t="s">
        <v>1051</v>
      </c>
      <c r="EQ215" s="165" t="s">
        <v>1052</v>
      </c>
      <c r="ER215" s="165" t="s">
        <v>199</v>
      </c>
      <c r="ES215" s="165" t="s">
        <v>1051</v>
      </c>
      <c r="ET215" s="165" t="s">
        <v>1052</v>
      </c>
    </row>
    <row r="216" spans="1:150" x14ac:dyDescent="0.25">
      <c r="A216" s="258" t="s">
        <v>324</v>
      </c>
      <c r="B216" s="9" t="s">
        <v>318</v>
      </c>
      <c r="C216" s="236" t="s">
        <v>423</v>
      </c>
      <c r="D216" s="341">
        <f ca="1">VLOOKUP($A216,$A$74:$ER$89,COLUMN($AY$71),0)</f>
        <v>10.690109023584879</v>
      </c>
      <c r="E216" s="341">
        <f ca="1">VLOOKUP($A216,$A$74:$ER$89,COLUMN($BD$71),0)</f>
        <v>7.3029644118503594</v>
      </c>
      <c r="F216" s="341">
        <f ca="1">VLOOKUP($A216,$A$74:$ER$89,COLUMN($BE$71),0)</f>
        <v>14.656232692323579</v>
      </c>
      <c r="G216" s="51"/>
      <c r="H216" s="51"/>
      <c r="I216" s="51"/>
      <c r="J216" s="51"/>
      <c r="K216" s="51"/>
      <c r="L216" s="51"/>
      <c r="BE216" s="156"/>
      <c r="BF216" s="156"/>
      <c r="BG216" s="156"/>
      <c r="BH216" s="156"/>
      <c r="BI216" s="156"/>
      <c r="BJ216" s="156"/>
      <c r="BK216" s="156"/>
      <c r="BL216" s="156"/>
      <c r="BM216" s="156"/>
      <c r="BN216" s="156"/>
      <c r="BO216" s="968"/>
      <c r="BP216" s="156"/>
      <c r="BQ216" s="156"/>
      <c r="BR216" s="258" t="s">
        <v>324</v>
      </c>
      <c r="BS216" s="341">
        <f ca="1">VLOOKUP($A216,$A$74:$ER$89,COLUMN($EC$71),0)</f>
        <v>7.1076022792989635</v>
      </c>
      <c r="BT216" s="341">
        <f ca="1">VLOOKUP($A216,$A$74:$ER$89,COLUMN($EH$71),0)</f>
        <v>4.360599740740386</v>
      </c>
      <c r="BU216" s="341">
        <f ca="1">VLOOKUP($A216,$A$74:$ER$89,COLUMN($EI$71),0)</f>
        <v>2.6334281554866577</v>
      </c>
      <c r="BV216" s="156"/>
      <c r="CI216" s="9"/>
      <c r="CJ216" s="9"/>
      <c r="CK216" s="9"/>
      <c r="CL216" s="9"/>
      <c r="CM216" s="9"/>
      <c r="CN216" s="9"/>
      <c r="CO216" s="9"/>
      <c r="CP216" s="9"/>
      <c r="CQ216" s="9"/>
      <c r="CR216" s="9"/>
      <c r="CS216" s="9"/>
      <c r="CT216" s="9"/>
      <c r="CU216" s="9"/>
      <c r="CV216" s="9"/>
      <c r="CW216" s="9"/>
      <c r="EK216" s="9" t="s">
        <v>318</v>
      </c>
      <c r="EL216" s="972">
        <f ca="1">VLOOKUP($A216,$A$74:$ER$89,COLUMN($EL$71),0)</f>
        <v>9.9981453921543135</v>
      </c>
      <c r="EM216" s="972">
        <f ca="1">VLOOKUP($A216,$A$74:$ER$89,COLUMN($EQ$71),0)</f>
        <v>6.7386162831308773</v>
      </c>
      <c r="EN216" s="972">
        <f ca="1">VLOOKUP($A216,$A$74:$ER$89,COLUMN($ER$71),0)</f>
        <v>12.350248220397317</v>
      </c>
      <c r="EO216" s="972" t="e">
        <f>INDEX(SSC_Combined_UnitWTP_HH,MATCH($A216,SSC_WTP_OPTIONS,0))</f>
        <v>#NAME?</v>
      </c>
      <c r="EP216" s="972" t="e">
        <f>INDEX(SSC_Combined_UnitWTP_HH_LD,MATCH($A216,SSC_WTP_OPTIONS,0))</f>
        <v>#NAME?</v>
      </c>
      <c r="EQ216" s="972" t="e">
        <f>INDEX(SSC_Combined_UnitWTP_HH_HD,MATCH($A216,SSC_WTP_OPTIONS,0))</f>
        <v>#NAME?</v>
      </c>
      <c r="ER216" s="143"/>
      <c r="ES216" s="143"/>
      <c r="ET216" s="143"/>
    </row>
    <row r="217" spans="1:150" x14ac:dyDescent="0.25">
      <c r="A217" s="9" t="s">
        <v>373</v>
      </c>
      <c r="B217" s="9" t="s">
        <v>402</v>
      </c>
      <c r="C217" s="236" t="s">
        <v>423</v>
      </c>
      <c r="D217" s="51">
        <f ca="1">VLOOKUP($A217,$A$74:$ER$89,COLUMN($AY$71),0)</f>
        <v>0.44495840011230475</v>
      </c>
      <c r="E217" s="51">
        <f ca="1">VLOOKUP($A217,$A$74:$ER$89,COLUMN($BD$71),0)</f>
        <v>0.16243269052751447</v>
      </c>
      <c r="F217" s="51">
        <f ca="1">VLOOKUP($A217,$A$74:$ER$89,COLUMN($BE$71),0)</f>
        <v>0.35198850894798578</v>
      </c>
      <c r="G217" s="51"/>
      <c r="H217" s="51"/>
      <c r="I217" s="51"/>
      <c r="J217" s="51"/>
      <c r="K217" s="51"/>
      <c r="L217" s="51"/>
      <c r="O217" s="64"/>
      <c r="P217" s="64"/>
      <c r="BE217" s="156"/>
      <c r="BF217" s="156"/>
      <c r="BG217" s="156"/>
      <c r="BH217" s="156"/>
      <c r="BI217" s="156"/>
      <c r="BJ217" s="156"/>
      <c r="BK217" s="156"/>
      <c r="BL217" s="156"/>
      <c r="BM217" s="156"/>
      <c r="BN217" s="156"/>
      <c r="BO217" s="968"/>
      <c r="BP217" s="156"/>
      <c r="BQ217" s="156"/>
      <c r="BR217" s="9" t="s">
        <v>373</v>
      </c>
      <c r="BS217" s="341">
        <f ca="1">VLOOKUP($A217,$A$74:$ER$89,COLUMN($EC$71),0)</f>
        <v>1.6539842281407462</v>
      </c>
      <c r="BT217" s="341">
        <f ca="1">VLOOKUP($A217,$A$74:$ER$89,COLUMN($EH$71),0)</f>
        <v>1.0601500590153006</v>
      </c>
      <c r="BU217" s="341">
        <f ca="1">VLOOKUP($A217,$A$74:$ER$89,COLUMN($EI$71),0)</f>
        <v>1.7872126174874032</v>
      </c>
      <c r="BV217" s="156"/>
      <c r="CJ217" s="9"/>
      <c r="CK217" s="9"/>
      <c r="CL217" s="9"/>
      <c r="CM217" s="9"/>
      <c r="CN217" s="9"/>
      <c r="CO217" s="9"/>
      <c r="CP217" s="9"/>
      <c r="CQ217" s="9"/>
      <c r="CR217" s="9"/>
      <c r="CS217" s="9"/>
      <c r="CT217" s="9"/>
      <c r="CU217" s="9"/>
      <c r="CV217" s="9"/>
      <c r="CW217" s="9"/>
      <c r="EK217" s="9" t="s">
        <v>402</v>
      </c>
      <c r="EL217" s="972">
        <f ca="1">VLOOKUP($A217,$A$74:$ER$89,COLUMN($EL$71),0)</f>
        <v>0.67848256689588038</v>
      </c>
      <c r="EM217" s="143">
        <f ca="1">VLOOKUP($A217,$A$74:$ER$89,COLUMN($EQ$71),0)</f>
        <v>0.33461567042780727</v>
      </c>
      <c r="EN217" s="972">
        <f ca="1">VLOOKUP($A217,$A$74:$ER$89,COLUMN($ER$71),0)</f>
        <v>0.62726575377765437</v>
      </c>
      <c r="EO217" s="972" t="e">
        <f>INDEX(SSC_Combined_UnitWTP_HH,MATCH($A217,SSC_WTP_OPTIONS,0))</f>
        <v>#NAME?</v>
      </c>
      <c r="EP217" s="359" t="e">
        <f>INDEX(SSC_Combined_UnitWTP_HH_LD,MATCH($A217,SSC_WTP_OPTIONS,0))</f>
        <v>#NAME?</v>
      </c>
      <c r="EQ217" s="972" t="e">
        <f>INDEX(SSC_Combined_UnitWTP_HH_HD,MATCH($A217,SSC_WTP_OPTIONS,0))</f>
        <v>#NAME?</v>
      </c>
      <c r="ER217" s="143"/>
      <c r="ES217" s="143"/>
      <c r="ET217" s="143"/>
    </row>
    <row r="218" spans="1:150" ht="45" x14ac:dyDescent="0.3">
      <c r="A218" s="644" t="s">
        <v>1070</v>
      </c>
      <c r="D218" s="348" t="s">
        <v>207</v>
      </c>
      <c r="E218" s="347" t="s">
        <v>443</v>
      </c>
      <c r="F218" s="347" t="s">
        <v>972</v>
      </c>
      <c r="G218" s="788" t="s">
        <v>1047</v>
      </c>
      <c r="H218" s="347" t="s">
        <v>984</v>
      </c>
      <c r="I218" s="348" t="s">
        <v>877</v>
      </c>
      <c r="J218" s="348" t="s">
        <v>876</v>
      </c>
      <c r="K218" s="347" t="s">
        <v>444</v>
      </c>
      <c r="L218" s="348" t="s">
        <v>449</v>
      </c>
      <c r="M218" s="348" t="s">
        <v>484</v>
      </c>
      <c r="N218" s="987" t="s">
        <v>1051</v>
      </c>
      <c r="O218" s="987" t="s">
        <v>1052</v>
      </c>
      <c r="BE218" s="873"/>
      <c r="BF218" s="991"/>
      <c r="BG218" s="991"/>
      <c r="BH218" s="991"/>
      <c r="BI218" s="991"/>
      <c r="BJ218" s="991"/>
      <c r="BK218" s="991"/>
      <c r="BL218" s="991"/>
      <c r="BM218" s="991"/>
      <c r="BN218" s="991"/>
      <c r="BO218" s="966"/>
      <c r="BP218" s="546"/>
      <c r="BQ218" s="546"/>
      <c r="BR218" s="873"/>
      <c r="BS218" s="873" t="s">
        <v>207</v>
      </c>
      <c r="BT218" s="347" t="s">
        <v>443</v>
      </c>
      <c r="BU218" s="347" t="s">
        <v>972</v>
      </c>
      <c r="BV218" s="788" t="s">
        <v>1047</v>
      </c>
      <c r="BW218" s="347" t="s">
        <v>984</v>
      </c>
      <c r="BX218" s="959" t="s">
        <v>448</v>
      </c>
      <c r="BY218" s="348" t="s">
        <v>877</v>
      </c>
      <c r="BZ218" s="348" t="s">
        <v>876</v>
      </c>
      <c r="CA218" s="347" t="s">
        <v>444</v>
      </c>
      <c r="CB218" s="348" t="s">
        <v>449</v>
      </c>
      <c r="CC218" s="348" t="s">
        <v>484</v>
      </c>
      <c r="CD218" s="63" t="s">
        <v>1051</v>
      </c>
      <c r="CE218" s="63" t="s">
        <v>1052</v>
      </c>
      <c r="CI218" s="9"/>
      <c r="CJ218" s="9"/>
      <c r="CK218" s="9"/>
      <c r="CL218" s="9"/>
      <c r="CM218" s="9"/>
      <c r="CN218" s="9"/>
      <c r="CO218" s="9"/>
      <c r="CP218" s="9"/>
      <c r="CQ218" s="9"/>
      <c r="CR218" s="9"/>
      <c r="CS218" s="9"/>
      <c r="CT218" s="9"/>
      <c r="CU218" s="9"/>
      <c r="CV218" s="9"/>
    </row>
    <row r="219" spans="1:150" x14ac:dyDescent="0.25">
      <c r="A219" s="258" t="s">
        <v>324</v>
      </c>
      <c r="B219" s="9" t="s">
        <v>318</v>
      </c>
      <c r="C219" s="236" t="s">
        <v>423</v>
      </c>
      <c r="D219" s="341">
        <f ca="1">VLOOKUP($A219,$A$26:$ER$41,COLUMN($AY$23),0)</f>
        <v>10.690109023584879</v>
      </c>
      <c r="E219" s="341">
        <f ca="1">VLOOKUP($A219,$A$26:$ER$41,COLUMN($D$23),0)</f>
        <v>1.7719298245614032</v>
      </c>
      <c r="F219" s="341">
        <f ca="1">VLOOKUP($A219,$A$26:$ER$41,COLUMN($I$23),0)</f>
        <v>26.493731890352418</v>
      </c>
      <c r="G219" s="341">
        <f ca="1">VLOOKUP($A219,$A$26:$ER$41,COLUMN($G$23),0)</f>
        <v>1.6140350877192977</v>
      </c>
      <c r="H219" s="341">
        <f ca="1">VLOOKUP($A219,$A$26:$ER$41,COLUMN($L$23),0)</f>
        <v>23.049146180227552</v>
      </c>
      <c r="I219" s="51"/>
      <c r="J219" s="51">
        <f ca="1">VLOOKUP($A219,$A$26:$ER$41,COLUMN($T$23),0)</f>
        <v>3.5280159685623818</v>
      </c>
      <c r="K219" s="51">
        <f ca="1">VLOOKUP($A219,$A$26:$ER$41,COLUMN($H$23),0)</f>
        <v>3.0647590035788905</v>
      </c>
      <c r="L219" s="341" t="str">
        <f>VLOOKUP($A219,$A$26:$ER$41,COLUMN($Q$23),0)</f>
        <v/>
      </c>
      <c r="M219" s="341">
        <f ca="1">VLOOKUP($A219,$A$26:$ER$41,COLUMN($R$23),0)</f>
        <v>5.561127447643095</v>
      </c>
      <c r="N219" s="341">
        <f ca="1">VLOOKUP($A219,$A$26:$ER$41,COLUMN($BD$23),0)</f>
        <v>7.3029644118503594</v>
      </c>
      <c r="O219" s="341">
        <f ca="1">VLOOKUP($A219,$A$26:$ER$41,COLUMN($BE$23),0)</f>
        <v>14.656232692323579</v>
      </c>
      <c r="BE219" s="156"/>
      <c r="BF219" s="156"/>
      <c r="BG219" s="156"/>
      <c r="BH219" s="156"/>
      <c r="BI219" s="156"/>
      <c r="BJ219" s="156"/>
      <c r="BK219" s="156"/>
      <c r="BL219" s="156"/>
      <c r="BM219" s="156"/>
      <c r="BN219" s="156"/>
      <c r="BO219" s="968"/>
      <c r="BP219" s="156"/>
      <c r="BQ219" s="156"/>
      <c r="BR219" s="258" t="s">
        <v>324</v>
      </c>
      <c r="BS219" s="341">
        <f ca="1">VLOOKUP($A219,$A$26:$ER$41,COLUMN($EC$23),0)</f>
        <v>7.1076022792989635</v>
      </c>
      <c r="BT219" s="341">
        <f ca="1">VLOOKUP($A219,$A$26:$ER$41,COLUMN($BP$23),0)</f>
        <v>8.64</v>
      </c>
      <c r="BU219" s="341">
        <f ca="1">VLOOKUP($A219,$A$26:$ER$41,COLUMN($BU$23),0)</f>
        <v>9.4166450083520168</v>
      </c>
      <c r="BV219" s="341">
        <f ca="1">VLOOKUP($A219,$A$26:$ER$41,COLUMN($BS$23),0)</f>
        <v>3.96</v>
      </c>
      <c r="BW219" s="341">
        <f ca="1">VLOOKUP($A219,$A$26:$ER$41,COLUMN($BX$23),0)</f>
        <v>9.504174351220037</v>
      </c>
      <c r="BY219" s="970"/>
      <c r="BZ219" s="341">
        <f ca="1">VLOOKUP($A219,$A$26:$ER$41,COLUMN($CF$23),0)</f>
        <v>7.1132863561434307</v>
      </c>
      <c r="CA219" s="341">
        <f ca="1">VLOOKUP($A219,$A$26:$ER$41,COLUMN($BT$23),0)</f>
        <v>2.1472541793312949</v>
      </c>
      <c r="CB219" s="341" t="str">
        <f>VLOOKUP($A219,$A$26:$ER$41,COLUMN($CC$23),0)</f>
        <v/>
      </c>
      <c r="CC219" s="341">
        <f ca="1">VLOOKUP($A219,$A$26:$ER$41,COLUMN($CD$23),0)</f>
        <v>1.6568526033734807</v>
      </c>
      <c r="CD219" s="341">
        <f ca="1">VLOOKUP($A219,$A$26:$ER$41,COLUMN($EH$23),0)</f>
        <v>4.360599740740386</v>
      </c>
      <c r="CE219" s="341">
        <f ca="1">VLOOKUP($A219,$A$26:$ER$41,COLUMN($EI$23),0)</f>
        <v>2.6334281554866577</v>
      </c>
      <c r="CI219" s="9"/>
      <c r="CJ219" s="9"/>
      <c r="CK219" s="9"/>
      <c r="CL219" s="9"/>
      <c r="CM219" s="9"/>
      <c r="CN219" s="9"/>
      <c r="CO219" s="9"/>
      <c r="CP219" s="9"/>
      <c r="CQ219" s="9"/>
      <c r="CR219" s="9"/>
      <c r="CS219" s="9"/>
      <c r="CT219" s="9"/>
      <c r="CU219" s="9"/>
      <c r="CV219" s="9"/>
    </row>
    <row r="220" spans="1:150" x14ac:dyDescent="0.25">
      <c r="A220" s="9" t="s">
        <v>373</v>
      </c>
      <c r="B220" s="9" t="s">
        <v>402</v>
      </c>
      <c r="C220" s="236" t="s">
        <v>423</v>
      </c>
      <c r="D220" s="51">
        <f ca="1">VLOOKUP($A220,$A$26:$ER$41,COLUMN($AY$23),0)</f>
        <v>0.44495840011230475</v>
      </c>
      <c r="E220" s="51">
        <f ca="1">VLOOKUP($A220,$A$26:$ER$41,COLUMN($D$23),0)</f>
        <v>0.44199999999999995</v>
      </c>
      <c r="F220" s="51"/>
      <c r="G220" s="51">
        <f ca="1">VLOOKUP($A220,$A$26:$ER$41,COLUMN($G$23),0)</f>
        <v>0.40200000000000002</v>
      </c>
      <c r="H220" s="51"/>
      <c r="I220" s="51"/>
      <c r="J220" s="51"/>
      <c r="K220" s="51">
        <f ca="1">VLOOKUP($A220,$A$26:$ER$41,COLUMN($H$23),0)</f>
        <v>0.24191753695291163</v>
      </c>
      <c r="L220" s="51">
        <f ca="1">VLOOKUP($A220,$A$26:$ER$41,COLUMN($Q$23),0)</f>
        <v>0.42288809069532801</v>
      </c>
      <c r="M220" s="341">
        <f ca="1">VLOOKUP($A220,$A$26:$ER$41,COLUMN($R$23),0)</f>
        <v>0.88494403629728691</v>
      </c>
      <c r="N220" s="51">
        <f ca="1">VLOOKUP($A220,$A$26:$ER$41,COLUMN($BD$23),0)</f>
        <v>0.16243269052751447</v>
      </c>
      <c r="O220" s="51">
        <f ca="1">VLOOKUP($A220,$A$26:$ER$41,COLUMN($BE$23),0)</f>
        <v>0.35198850894798578</v>
      </c>
      <c r="BE220" s="156"/>
      <c r="BF220" s="156"/>
      <c r="BG220" s="156"/>
      <c r="BH220" s="156"/>
      <c r="BI220" s="156"/>
      <c r="BJ220" s="156"/>
      <c r="BK220" s="156"/>
      <c r="BL220" s="156"/>
      <c r="BM220" s="156"/>
      <c r="BN220" s="156"/>
      <c r="BO220" s="968"/>
      <c r="BP220" s="156"/>
      <c r="BQ220" s="156"/>
      <c r="BR220" s="9" t="s">
        <v>373</v>
      </c>
      <c r="BS220" s="341">
        <f ca="1">VLOOKUP($A220,$A$26:$ER$41,COLUMN($EC$23),0)</f>
        <v>1.6539842281407462</v>
      </c>
      <c r="BT220" s="341">
        <f ca="1">VLOOKUP($A220,$A$26:$ER$41,COLUMN($BP$23),0)</f>
        <v>2.8979999999999997</v>
      </c>
      <c r="BU220" s="969"/>
      <c r="BV220" s="341">
        <f ca="1">VLOOKUP($A220,$A$26:$ER$41,COLUMN($BS$23),0)</f>
        <v>3.8879999999999999</v>
      </c>
      <c r="BW220" s="341"/>
      <c r="BY220" s="970"/>
      <c r="BZ220" s="970"/>
      <c r="CA220" s="969">
        <f ca="1">VLOOKUP($A220,$A$26:$ER$41,COLUMN($BT$23),0)</f>
        <v>0.33191412726834152</v>
      </c>
      <c r="CB220" s="51">
        <f ca="1">VLOOKUP($A220,$A$26:$ER$41,COLUMN($CC$23),0)</f>
        <v>0.32879665437162053</v>
      </c>
      <c r="CC220" s="341">
        <f ca="1">VLOOKUP($A220,$A$26:$ER$41,COLUMN($CD$23),0)</f>
        <v>0.647248916217667</v>
      </c>
      <c r="CD220" s="341">
        <f ca="1">VLOOKUP($A220,$A$26:$ER$41,COLUMN($EH$23),0)</f>
        <v>1.0601500590153006</v>
      </c>
      <c r="CE220" s="341">
        <f ca="1">VLOOKUP($A220,$A$26:$ER$41,COLUMN($EI$23),0)</f>
        <v>1.7872126174874032</v>
      </c>
      <c r="CI220" s="9"/>
      <c r="CJ220" s="9"/>
      <c r="CK220" s="9"/>
      <c r="CL220" s="9"/>
      <c r="CM220" s="9"/>
      <c r="CN220" s="9"/>
      <c r="CO220" s="9"/>
      <c r="CP220" s="9"/>
      <c r="CQ220" s="9"/>
      <c r="CR220" s="9"/>
      <c r="CS220" s="9"/>
      <c r="CT220" s="9"/>
      <c r="CU220" s="9"/>
      <c r="CV220" s="9"/>
    </row>
    <row r="221" spans="1:150" x14ac:dyDescent="0.25">
      <c r="CI221" s="9"/>
      <c r="CJ221" s="9"/>
      <c r="CK221" s="9"/>
      <c r="CL221" s="9"/>
      <c r="CM221" s="9"/>
      <c r="CN221" s="9"/>
      <c r="CO221" s="9"/>
      <c r="CP221" s="9"/>
      <c r="CQ221" s="9"/>
      <c r="CR221" s="9"/>
      <c r="CS221" s="9"/>
      <c r="CT221" s="9"/>
      <c r="CU221" s="9"/>
      <c r="CV221" s="9"/>
      <c r="CW221" s="9"/>
    </row>
    <row r="222" spans="1:150" x14ac:dyDescent="0.25">
      <c r="CI222" s="9"/>
      <c r="CJ222" s="9"/>
      <c r="CK222" s="9"/>
      <c r="CL222" s="9"/>
      <c r="CM222" s="9"/>
      <c r="CN222" s="9"/>
      <c r="CO222" s="9"/>
      <c r="CP222" s="9"/>
      <c r="CQ222" s="9"/>
      <c r="CR222" s="9"/>
      <c r="CS222" s="9"/>
      <c r="CT222" s="9"/>
      <c r="CU222" s="9"/>
      <c r="CV222" s="9"/>
      <c r="CW222" s="9"/>
    </row>
    <row r="223" spans="1:150" ht="19.5" x14ac:dyDescent="0.3">
      <c r="A223" s="644" t="s">
        <v>1076</v>
      </c>
      <c r="D223" s="348"/>
      <c r="E223" s="347"/>
      <c r="F223" s="347"/>
      <c r="G223" s="788"/>
      <c r="H223" s="347"/>
      <c r="I223" s="348"/>
      <c r="J223" s="348"/>
      <c r="K223" s="347"/>
      <c r="L223" s="348"/>
      <c r="M223" s="348"/>
      <c r="N223" s="987"/>
      <c r="O223" s="987"/>
      <c r="CI223" s="9"/>
      <c r="CJ223" s="9"/>
      <c r="CK223" s="9"/>
      <c r="CL223" s="9"/>
      <c r="CM223" s="9"/>
      <c r="CN223" s="9"/>
      <c r="CO223" s="9"/>
      <c r="CP223" s="9"/>
      <c r="CQ223" s="9"/>
      <c r="CR223" s="9"/>
      <c r="CS223" s="9"/>
      <c r="CT223" s="9"/>
      <c r="CU223" s="9"/>
      <c r="CV223" s="9"/>
      <c r="CW223" s="9"/>
    </row>
    <row r="224" spans="1:150" x14ac:dyDescent="0.25">
      <c r="A224" s="258"/>
      <c r="C224" s="236"/>
      <c r="D224" s="341"/>
      <c r="E224" s="341"/>
      <c r="F224" s="341"/>
      <c r="G224" s="341"/>
      <c r="H224" s="341"/>
      <c r="I224" s="51"/>
      <c r="J224" s="51"/>
      <c r="K224" s="51"/>
      <c r="L224" s="341"/>
      <c r="M224" s="341"/>
      <c r="N224" s="341"/>
      <c r="O224" s="341"/>
      <c r="CI224" s="9"/>
      <c r="CJ224" s="9"/>
      <c r="CK224" s="9"/>
      <c r="CL224" s="9"/>
      <c r="CM224" s="9"/>
      <c r="CN224" s="9"/>
      <c r="CO224" s="9"/>
      <c r="CP224" s="9"/>
      <c r="CQ224" s="9"/>
      <c r="CR224" s="9"/>
      <c r="CS224" s="9"/>
      <c r="CT224" s="9"/>
      <c r="CU224" s="9"/>
      <c r="CV224" s="9"/>
      <c r="CW224" s="9"/>
    </row>
    <row r="225" spans="1:101" x14ac:dyDescent="0.25">
      <c r="A225" s="162" t="s">
        <v>1077</v>
      </c>
      <c r="C225" s="236"/>
      <c r="D225" s="51"/>
      <c r="E225" s="51"/>
      <c r="F225" s="51"/>
      <c r="G225" s="51"/>
      <c r="H225" s="51"/>
      <c r="I225" s="51"/>
      <c r="J225" s="51"/>
      <c r="K225" s="51"/>
      <c r="L225" s="51"/>
      <c r="M225" s="341"/>
      <c r="N225" s="51"/>
      <c r="O225" s="51"/>
      <c r="CI225" s="9"/>
      <c r="CJ225" s="9"/>
      <c r="CK225" s="9"/>
      <c r="CL225" s="9"/>
      <c r="CM225" s="9"/>
      <c r="CN225" s="9"/>
      <c r="CO225" s="9"/>
      <c r="CP225" s="9"/>
      <c r="CQ225" s="9"/>
      <c r="CR225" s="9"/>
      <c r="CS225" s="9"/>
      <c r="CT225" s="9"/>
      <c r="CU225" s="9"/>
      <c r="CV225" s="9"/>
      <c r="CW225" s="9"/>
    </row>
    <row r="226" spans="1:101" x14ac:dyDescent="0.25">
      <c r="CI226" s="9"/>
      <c r="CJ226" s="9"/>
      <c r="CK226" s="9"/>
      <c r="CL226" s="9"/>
      <c r="CM226" s="9"/>
      <c r="CN226" s="9"/>
      <c r="CO226" s="9"/>
      <c r="CP226" s="9"/>
      <c r="CQ226" s="9"/>
      <c r="CR226" s="9"/>
      <c r="CS226" s="9"/>
      <c r="CT226" s="9"/>
      <c r="CU226" s="9"/>
      <c r="CV226" s="9"/>
      <c r="CW226" s="9"/>
    </row>
    <row r="227" spans="1:101" x14ac:dyDescent="0.25">
      <c r="CI227" s="9"/>
      <c r="CJ227" s="9"/>
      <c r="CK227" s="9"/>
      <c r="CL227" s="9"/>
      <c r="CM227" s="9"/>
      <c r="CN227" s="9"/>
      <c r="CO227" s="9"/>
      <c r="CP227" s="9"/>
      <c r="CQ227" s="9"/>
      <c r="CR227" s="9"/>
      <c r="CS227" s="9"/>
      <c r="CT227" s="9"/>
      <c r="CU227" s="9"/>
      <c r="CV227" s="9"/>
      <c r="CW227" s="9"/>
    </row>
    <row r="228" spans="1:101" x14ac:dyDescent="0.25">
      <c r="CI228" s="9"/>
      <c r="CJ228" s="9"/>
      <c r="CK228" s="9"/>
      <c r="CL228" s="9"/>
      <c r="CM228" s="9"/>
      <c r="CN228" s="9"/>
      <c r="CO228" s="9"/>
      <c r="CP228" s="9"/>
      <c r="CQ228" s="9"/>
      <c r="CR228" s="9"/>
      <c r="CS228" s="9"/>
      <c r="CT228" s="9"/>
      <c r="CU228" s="9"/>
      <c r="CV228" s="9"/>
      <c r="CW228" s="9"/>
    </row>
    <row r="229" spans="1:101" x14ac:dyDescent="0.25">
      <c r="CI229" s="9"/>
      <c r="CJ229" s="9"/>
      <c r="CK229" s="9"/>
      <c r="CL229" s="9"/>
      <c r="CM229" s="9"/>
      <c r="CN229" s="9"/>
      <c r="CO229" s="9"/>
      <c r="CP229" s="9"/>
      <c r="CQ229" s="9"/>
      <c r="CR229" s="9"/>
      <c r="CS229" s="9"/>
      <c r="CT229" s="9"/>
      <c r="CU229" s="9"/>
      <c r="CV229" s="9"/>
      <c r="CW229" s="9"/>
    </row>
    <row r="230" spans="1:101" x14ac:dyDescent="0.25">
      <c r="CI230" s="9"/>
      <c r="CJ230" s="9"/>
      <c r="CK230" s="9"/>
      <c r="CL230" s="9"/>
      <c r="CM230" s="9"/>
      <c r="CN230" s="9"/>
      <c r="CO230" s="9"/>
      <c r="CP230" s="9"/>
      <c r="CQ230" s="9"/>
      <c r="CR230" s="9"/>
      <c r="CS230" s="9"/>
      <c r="CT230" s="9"/>
      <c r="CU230" s="9"/>
      <c r="CV230" s="9"/>
      <c r="CW230" s="9"/>
    </row>
    <row r="231" spans="1:101" x14ac:dyDescent="0.25">
      <c r="CI231" s="9"/>
      <c r="CJ231" s="9"/>
      <c r="CK231" s="9"/>
      <c r="CL231" s="9"/>
      <c r="CM231" s="9"/>
      <c r="CN231" s="9"/>
      <c r="CO231" s="9"/>
      <c r="CP231" s="9"/>
      <c r="CQ231" s="9"/>
      <c r="CR231" s="9"/>
      <c r="CS231" s="9"/>
      <c r="CT231" s="9"/>
      <c r="CU231" s="9"/>
      <c r="CV231" s="9"/>
      <c r="CW231" s="9"/>
    </row>
    <row r="232" spans="1:101" x14ac:dyDescent="0.25">
      <c r="CI232" s="9"/>
      <c r="CJ232" s="9"/>
      <c r="CK232" s="9"/>
      <c r="CL232" s="9"/>
      <c r="CM232" s="9"/>
      <c r="CN232" s="9"/>
      <c r="CO232" s="9"/>
      <c r="CP232" s="9"/>
      <c r="CQ232" s="9"/>
      <c r="CR232" s="9"/>
      <c r="CS232" s="9"/>
      <c r="CT232" s="9"/>
      <c r="CU232" s="9"/>
      <c r="CV232" s="9"/>
      <c r="CW232" s="9"/>
    </row>
    <row r="233" spans="1:101" x14ac:dyDescent="0.25">
      <c r="CI233" s="9"/>
      <c r="CJ233" s="9"/>
      <c r="CK233" s="9"/>
      <c r="CL233" s="9"/>
      <c r="CM233" s="9"/>
      <c r="CN233" s="9"/>
      <c r="CO233" s="9"/>
      <c r="CP233" s="9"/>
      <c r="CQ233" s="9"/>
      <c r="CR233" s="9"/>
      <c r="CS233" s="9"/>
      <c r="CT233" s="9"/>
      <c r="CU233" s="9"/>
      <c r="CV233" s="9"/>
      <c r="CW233" s="9"/>
    </row>
    <row r="234" spans="1:101" x14ac:dyDescent="0.25">
      <c r="CI234" s="9"/>
      <c r="CJ234" s="9"/>
      <c r="CK234" s="9"/>
      <c r="CL234" s="9"/>
      <c r="CM234" s="9"/>
      <c r="CN234" s="9"/>
      <c r="CO234" s="9"/>
      <c r="CP234" s="9"/>
      <c r="CQ234" s="9"/>
      <c r="CR234" s="9"/>
      <c r="CS234" s="9"/>
      <c r="CT234" s="9"/>
      <c r="CU234" s="9"/>
      <c r="CV234" s="9"/>
      <c r="CW234" s="9"/>
    </row>
    <row r="235" spans="1:101" x14ac:dyDescent="0.25">
      <c r="CI235" s="9"/>
      <c r="CJ235" s="9"/>
      <c r="CK235" s="9"/>
      <c r="CL235" s="9"/>
      <c r="CM235" s="9"/>
      <c r="CN235" s="9"/>
      <c r="CO235" s="9"/>
      <c r="CP235" s="9"/>
      <c r="CQ235" s="9"/>
      <c r="CR235" s="9"/>
      <c r="CS235" s="9"/>
      <c r="CT235" s="9"/>
      <c r="CU235" s="9"/>
      <c r="CV235" s="9"/>
      <c r="CW235" s="9"/>
    </row>
    <row r="236" spans="1:101" x14ac:dyDescent="0.25">
      <c r="CI236" s="9"/>
      <c r="CJ236" s="9"/>
      <c r="CK236" s="9"/>
      <c r="CL236" s="9"/>
      <c r="CM236" s="9"/>
      <c r="CN236" s="9"/>
      <c r="CO236" s="9"/>
      <c r="CP236" s="9"/>
      <c r="CQ236" s="9"/>
      <c r="CR236" s="9"/>
      <c r="CS236" s="9"/>
      <c r="CT236" s="9"/>
      <c r="CU236" s="9"/>
      <c r="CV236" s="9"/>
      <c r="CW236" s="9"/>
    </row>
    <row r="237" spans="1:101" x14ac:dyDescent="0.25">
      <c r="CI237" s="9"/>
      <c r="CJ237" s="9"/>
      <c r="CK237" s="9"/>
      <c r="CL237" s="9"/>
      <c r="CM237" s="9"/>
      <c r="CN237" s="9"/>
      <c r="CO237" s="9"/>
      <c r="CP237" s="9"/>
      <c r="CQ237" s="9"/>
      <c r="CR237" s="9"/>
      <c r="CS237" s="9"/>
      <c r="CT237" s="9"/>
      <c r="CU237" s="9"/>
      <c r="CV237" s="9"/>
      <c r="CW237" s="9"/>
    </row>
    <row r="238" spans="1:101" x14ac:dyDescent="0.25">
      <c r="CI238" s="9"/>
      <c r="CJ238" s="9"/>
      <c r="CK238" s="9"/>
      <c r="CL238" s="9"/>
      <c r="CM238" s="9"/>
      <c r="CN238" s="9"/>
      <c r="CO238" s="9"/>
      <c r="CP238" s="9"/>
      <c r="CQ238" s="9"/>
      <c r="CR238" s="9"/>
      <c r="CS238" s="9"/>
      <c r="CT238" s="9"/>
      <c r="CU238" s="9"/>
      <c r="CV238" s="9"/>
      <c r="CW238" s="9"/>
    </row>
    <row r="239" spans="1:101" x14ac:dyDescent="0.25">
      <c r="CI239" s="9"/>
      <c r="CJ239" s="9"/>
      <c r="CK239" s="9"/>
      <c r="CL239" s="9"/>
      <c r="CM239" s="9"/>
      <c r="CN239" s="9"/>
      <c r="CO239" s="9"/>
      <c r="CP239" s="9"/>
      <c r="CQ239" s="9"/>
      <c r="CR239" s="9"/>
      <c r="CS239" s="9"/>
      <c r="CT239" s="9"/>
      <c r="CU239" s="9"/>
      <c r="CV239" s="9"/>
      <c r="CW239" s="9"/>
    </row>
    <row r="240" spans="1:101" x14ac:dyDescent="0.25">
      <c r="CI240" s="9"/>
      <c r="CJ240" s="9"/>
      <c r="CK240" s="9"/>
      <c r="CL240" s="9"/>
      <c r="CM240" s="9"/>
      <c r="CN240" s="9"/>
      <c r="CO240" s="9"/>
      <c r="CP240" s="9"/>
      <c r="CQ240" s="9"/>
      <c r="CR240" s="9"/>
      <c r="CS240" s="9"/>
      <c r="CT240" s="9"/>
      <c r="CU240" s="9"/>
      <c r="CV240" s="9"/>
      <c r="CW240" s="9"/>
    </row>
    <row r="241" spans="1:150" x14ac:dyDescent="0.25">
      <c r="CI241" s="9"/>
      <c r="CJ241" s="9"/>
      <c r="CK241" s="9"/>
      <c r="CL241" s="9"/>
      <c r="CM241" s="9"/>
      <c r="CN241" s="9"/>
      <c r="CO241" s="9"/>
      <c r="CP241" s="9"/>
      <c r="CQ241" s="9"/>
      <c r="CR241" s="9"/>
      <c r="CS241" s="9"/>
      <c r="CT241" s="9"/>
      <c r="CU241" s="9"/>
      <c r="CV241" s="9"/>
      <c r="CW241" s="9"/>
    </row>
    <row r="242" spans="1:150" x14ac:dyDescent="0.25">
      <c r="CI242" s="9"/>
      <c r="CJ242" s="9"/>
      <c r="CK242" s="9"/>
      <c r="CL242" s="9"/>
      <c r="CM242" s="9"/>
      <c r="CN242" s="9"/>
      <c r="CO242" s="9"/>
      <c r="CP242" s="9"/>
      <c r="CQ242" s="9"/>
      <c r="CR242" s="9"/>
      <c r="CS242" s="9"/>
      <c r="CT242" s="9"/>
      <c r="CU242" s="9"/>
      <c r="CV242" s="9"/>
      <c r="CW242" s="9"/>
    </row>
    <row r="243" spans="1:150" x14ac:dyDescent="0.25">
      <c r="CI243" s="9"/>
      <c r="CJ243" s="9"/>
      <c r="CK243" s="9"/>
      <c r="CL243" s="9"/>
      <c r="CM243" s="9"/>
      <c r="CN243" s="9"/>
      <c r="CO243" s="9"/>
      <c r="CP243" s="9"/>
      <c r="CQ243" s="9"/>
      <c r="CR243" s="9"/>
      <c r="CS243" s="9"/>
      <c r="CT243" s="9"/>
      <c r="CU243" s="9"/>
      <c r="CV243" s="9"/>
      <c r="CW243" s="9"/>
    </row>
    <row r="244" spans="1:150" x14ac:dyDescent="0.25">
      <c r="CI244" s="9"/>
      <c r="CJ244" s="9"/>
      <c r="CK244" s="9"/>
      <c r="CL244" s="9"/>
      <c r="CM244" s="9"/>
      <c r="CN244" s="9"/>
      <c r="CO244" s="9"/>
      <c r="CP244" s="9"/>
      <c r="CQ244" s="9"/>
      <c r="CR244" s="9"/>
      <c r="CS244" s="9"/>
      <c r="CT244" s="9"/>
      <c r="CU244" s="9"/>
      <c r="CV244" s="9"/>
      <c r="CW244" s="9"/>
    </row>
    <row r="245" spans="1:150" x14ac:dyDescent="0.25">
      <c r="CI245" s="9"/>
      <c r="CJ245" s="9"/>
      <c r="CK245" s="9"/>
      <c r="CL245" s="9"/>
      <c r="CM245" s="9"/>
      <c r="CN245" s="9"/>
      <c r="CO245" s="9"/>
      <c r="CP245" s="9"/>
      <c r="CQ245" s="9"/>
      <c r="CR245" s="9"/>
      <c r="CS245" s="9"/>
      <c r="CT245" s="9"/>
      <c r="CU245" s="9"/>
      <c r="CV245" s="9"/>
      <c r="CW245" s="9"/>
    </row>
    <row r="246" spans="1:150" ht="19.5" x14ac:dyDescent="0.3">
      <c r="A246" s="644" t="s">
        <v>1068</v>
      </c>
      <c r="CI246" s="9"/>
      <c r="CJ246" s="9"/>
      <c r="CK246" s="9"/>
      <c r="CL246" s="9"/>
      <c r="CM246" s="9"/>
      <c r="CN246" s="9"/>
      <c r="CO246" s="9"/>
      <c r="CP246" s="9"/>
      <c r="CQ246" s="9"/>
      <c r="CR246" s="9"/>
      <c r="CS246" s="9"/>
      <c r="CT246" s="9"/>
      <c r="CU246" s="9"/>
      <c r="CV246" s="9"/>
      <c r="CW246" s="9"/>
    </row>
    <row r="247" spans="1:150" x14ac:dyDescent="0.25">
      <c r="A247" s="258"/>
      <c r="C247" s="236"/>
      <c r="D247" s="348" t="s">
        <v>207</v>
      </c>
      <c r="E247" s="63" t="s">
        <v>1051</v>
      </c>
      <c r="F247" s="63" t="s">
        <v>1052</v>
      </c>
      <c r="G247" s="348"/>
      <c r="H247" s="316"/>
      <c r="I247" s="316"/>
      <c r="J247" s="316"/>
      <c r="K247" s="316"/>
      <c r="L247" s="316"/>
      <c r="BE247" s="873"/>
      <c r="BF247" s="991"/>
      <c r="BG247" s="991"/>
      <c r="BH247" s="991"/>
      <c r="BI247" s="991"/>
      <c r="BJ247" s="991"/>
      <c r="BK247" s="991"/>
      <c r="BL247" s="991"/>
      <c r="BM247" s="991"/>
      <c r="BN247" s="991"/>
      <c r="BO247" s="966"/>
      <c r="BP247" s="882"/>
      <c r="BQ247" s="882"/>
      <c r="BR247" s="882"/>
      <c r="BS247" s="882" t="s">
        <v>207</v>
      </c>
      <c r="BT247" s="165" t="s">
        <v>1051</v>
      </c>
      <c r="BU247" s="165" t="s">
        <v>1052</v>
      </c>
      <c r="BV247" s="882"/>
      <c r="CI247" s="9"/>
      <c r="CJ247" s="9"/>
      <c r="CK247" s="9"/>
      <c r="CL247" s="9"/>
      <c r="CM247" s="9"/>
      <c r="CN247" s="9"/>
      <c r="CO247" s="9"/>
      <c r="CP247" s="9"/>
      <c r="CQ247" s="9"/>
      <c r="CR247" s="9"/>
      <c r="CS247" s="9"/>
      <c r="CT247" s="9"/>
      <c r="CU247" s="9"/>
      <c r="CV247" s="9"/>
      <c r="EL247" s="165" t="s">
        <v>1083</v>
      </c>
      <c r="EM247" s="165" t="s">
        <v>1051</v>
      </c>
      <c r="EN247" s="165" t="s">
        <v>1052</v>
      </c>
      <c r="EO247" s="165" t="s">
        <v>9</v>
      </c>
      <c r="EP247" s="165" t="s">
        <v>1051</v>
      </c>
      <c r="EQ247" s="165" t="s">
        <v>1052</v>
      </c>
      <c r="ER247" s="165" t="s">
        <v>199</v>
      </c>
      <c r="ES247" s="165" t="s">
        <v>1051</v>
      </c>
      <c r="ET247" s="165" t="s">
        <v>1052</v>
      </c>
    </row>
    <row r="248" spans="1:150" x14ac:dyDescent="0.25">
      <c r="A248" s="258" t="s">
        <v>88</v>
      </c>
      <c r="B248" s="9" t="s">
        <v>315</v>
      </c>
      <c r="C248" s="236" t="s">
        <v>397</v>
      </c>
      <c r="D248" s="341">
        <f ca="1">VLOOKUP($A248,$A$74:$ER$89,COLUMN($AY$71),0)</f>
        <v>18048.809740546116</v>
      </c>
      <c r="E248" s="341">
        <f ca="1">VLOOKUP($A248,$A$74:$ER$89,COLUMN($BD$71),0)</f>
        <v>13322.719076906573</v>
      </c>
      <c r="F248" s="341">
        <f ca="1">VLOOKUP($A248,$A$74:$ER$89,COLUMN($BE$71),0)</f>
        <v>17707.343386558787</v>
      </c>
      <c r="G248" s="341"/>
      <c r="H248" s="341"/>
      <c r="I248" s="341"/>
      <c r="J248" s="341"/>
      <c r="K248" s="341"/>
      <c r="L248" s="341"/>
      <c r="BE248" s="469"/>
      <c r="BF248" s="469"/>
      <c r="BG248" s="469"/>
      <c r="BH248" s="469"/>
      <c r="BI248" s="469"/>
      <c r="BJ248" s="469"/>
      <c r="BK248" s="469"/>
      <c r="BL248" s="469"/>
      <c r="BM248" s="469"/>
      <c r="BN248" s="469"/>
      <c r="BO248" s="967"/>
      <c r="BP248" s="469"/>
      <c r="BQ248" s="469"/>
      <c r="BR248" s="258" t="s">
        <v>88</v>
      </c>
      <c r="BS248" s="341">
        <f ca="1">VLOOKUP($A248,$A$74:$ER$89,COLUMN($EC$71),0)</f>
        <v>42233.385537830625</v>
      </c>
      <c r="BT248" s="341">
        <f ca="1">VLOOKUP($A248,$A$74:$ER$89,COLUMN($EH$71),0)</f>
        <v>32706.864615649058</v>
      </c>
      <c r="BU248" s="341">
        <f ca="1">VLOOKUP($A248,$A$74:$ER$89,COLUMN($EI$71),0)</f>
        <v>689678.78116370377</v>
      </c>
      <c r="BV248" s="469">
        <f ca="1">BS248+BU248</f>
        <v>731912.16670153441</v>
      </c>
      <c r="CI248" s="9"/>
      <c r="CJ248" s="9"/>
      <c r="CK248" s="9"/>
      <c r="CL248" s="9"/>
      <c r="CM248" s="9"/>
      <c r="CN248" s="9"/>
      <c r="CO248" s="9"/>
      <c r="CP248" s="9"/>
      <c r="CQ248" s="9"/>
      <c r="CR248" s="9"/>
      <c r="CS248" s="9"/>
      <c r="CT248" s="9"/>
      <c r="CU248" s="9"/>
      <c r="CV248" s="9"/>
      <c r="EK248" s="258" t="s">
        <v>88</v>
      </c>
      <c r="EL248" s="972">
        <f ca="1">VLOOKUP($A248,$A$74:$ER$89,COLUMN($EL$71),0)</f>
        <v>22720.07712056956</v>
      </c>
      <c r="EM248" s="972">
        <f ca="1">VLOOKUP($A248,$A$74:$ER$89,COLUMN($EQ$71),0)</f>
        <v>17040.615219769334</v>
      </c>
      <c r="EN248" s="972">
        <f ca="1">VLOOKUP($A248,$A$74:$ER$89,COLUMN($ER$71),0)</f>
        <v>146592.05546387355</v>
      </c>
      <c r="EO248" s="972" t="e">
        <f>INDEX(SSC_Combined_UnitWTP_HH,MATCH($A248,SSC_WTP_OPTIONS,0))</f>
        <v>#NAME?</v>
      </c>
      <c r="EP248" s="972" t="e">
        <f>INDEX(SSC_Combined_UnitWTP_HH_LD,MATCH($A248,SSC_WTP_OPTIONS,0))</f>
        <v>#NAME?</v>
      </c>
      <c r="EQ248" s="972" t="e">
        <f>INDEX(SSC_Combined_UnitWTP_HH_HD,MATCH($A248,SSC_WTP_OPTIONS,0))</f>
        <v>#NAME?</v>
      </c>
      <c r="ER248" s="972" t="e">
        <f>INDEX(SSC_Combined_UnitWTP_NHH,MATCH($A248,SSC_WTP_OPTIONS,0))</f>
        <v>#NAME?</v>
      </c>
      <c r="ES248" s="972" t="e">
        <f>INDEX(SSC_Combined_UnitWTP_NHH_LD,MATCH($A248,SSC_WTP_OPTIONS,0))</f>
        <v>#NAME?</v>
      </c>
      <c r="ET248" s="972" t="e">
        <f>INDEX(SSC_Combined_UnitWTP_NHH_HD,MATCH($A248,SSC_WTP_OPTIONS,0))</f>
        <v>#NAME?</v>
      </c>
    </row>
    <row r="249" spans="1:150" x14ac:dyDescent="0.25">
      <c r="A249" s="258" t="s">
        <v>89</v>
      </c>
      <c r="B249" s="9" t="s">
        <v>320</v>
      </c>
      <c r="C249" s="236" t="s">
        <v>397</v>
      </c>
      <c r="D249" s="341">
        <f ca="1">VLOOKUP($A249,$A$74:$ER$89,COLUMN($AY$71),0)</f>
        <v>10649.272803353917</v>
      </c>
      <c r="E249" s="341">
        <f ca="1">VLOOKUP($A249,$A$74:$ER$89,COLUMN($BD$71),0)</f>
        <v>6216.3142426831328</v>
      </c>
      <c r="F249" s="341">
        <f ca="1">VLOOKUP($A249,$A$74:$ER$89,COLUMN($BE$71),0)</f>
        <v>6319.8820435525267</v>
      </c>
      <c r="G249" s="341"/>
      <c r="H249" s="341"/>
      <c r="I249" s="341"/>
      <c r="J249" s="341"/>
      <c r="K249" s="341"/>
      <c r="L249" s="341"/>
      <c r="O249" s="64"/>
      <c r="P249" s="64"/>
      <c r="BE249" s="469"/>
      <c r="BF249" s="469"/>
      <c r="BG249" s="469"/>
      <c r="BH249" s="469"/>
      <c r="BI249" s="469"/>
      <c r="BJ249" s="469"/>
      <c r="BK249" s="469"/>
      <c r="BL249" s="469"/>
      <c r="BM249" s="469"/>
      <c r="BN249" s="469"/>
      <c r="BO249" s="967"/>
      <c r="BP249" s="469"/>
      <c r="BQ249" s="469"/>
      <c r="BR249" s="258" t="s">
        <v>89</v>
      </c>
      <c r="BS249" s="341">
        <f ca="1">VLOOKUP($A249,$A$74:$ER$89,COLUMN($EC$71),0)</f>
        <v>13603.537639484868</v>
      </c>
      <c r="BT249" s="341">
        <f ca="1">VLOOKUP($A249,$A$74:$ER$89,COLUMN($EH$71),0)</f>
        <v>10348.350111587893</v>
      </c>
      <c r="BU249" s="341">
        <f ca="1">VLOOKUP($A249,$A$74:$ER$89,COLUMN($EI$71),0)</f>
        <v>22224.686503444576</v>
      </c>
      <c r="BV249" s="469"/>
      <c r="CI249" s="9"/>
      <c r="CJ249" s="9"/>
      <c r="CK249" s="9"/>
      <c r="CL249" s="9"/>
      <c r="CM249" s="9"/>
      <c r="CN249" s="9"/>
      <c r="CO249" s="9"/>
      <c r="CP249" s="9"/>
      <c r="CQ249" s="9"/>
      <c r="CR249" s="9"/>
      <c r="CS249" s="9"/>
      <c r="CT249" s="9"/>
      <c r="CU249" s="9"/>
      <c r="CV249" s="9"/>
      <c r="EK249" s="258" t="s">
        <v>89</v>
      </c>
      <c r="EL249" s="972">
        <f ca="1">VLOOKUP($A249,$A$74:$ER$89,COLUMN($EL$71),0)</f>
        <v>11219.891079921676</v>
      </c>
      <c r="EM249" s="972">
        <f ca="1">VLOOKUP($A249,$A$74:$ER$89,COLUMN($EQ$71),0)</f>
        <v>7008.8423522388048</v>
      </c>
      <c r="EN249" s="972">
        <f ca="1">VLOOKUP($A249,$A$74:$ER$89,COLUMN($ER$71),0)</f>
        <v>9370.4375109695957</v>
      </c>
      <c r="EO249" s="972" t="e">
        <f>INDEX(SSC_Combined_UnitWTP_HH,MATCH($A249,SSC_WTP_OPTIONS,0))</f>
        <v>#NAME?</v>
      </c>
      <c r="EP249" s="972" t="e">
        <f>INDEX(SSC_Combined_UnitWTP_HH_LD,MATCH($A249,SSC_WTP_OPTIONS,0))</f>
        <v>#NAME?</v>
      </c>
      <c r="EQ249" s="972" t="e">
        <f>INDEX(SSC_Combined_UnitWTP_HH_HD,MATCH($A249,SSC_WTP_OPTIONS,0))</f>
        <v>#NAME?</v>
      </c>
      <c r="ER249" s="972" t="e">
        <f>INDEX(SSC_Combined_UnitWTP_NHH,MATCH($A249,SSC_WTP_OPTIONS,0))</f>
        <v>#NAME?</v>
      </c>
      <c r="ES249" s="972" t="e">
        <f>INDEX(SSC_Combined_UnitWTP_NHH_LD,MATCH($A249,SSC_WTP_OPTIONS,0))</f>
        <v>#NAME?</v>
      </c>
      <c r="ET249" s="972" t="e">
        <f>INDEX(SSC_Combined_UnitWTP_NHH_HD,MATCH($A249,SSC_WTP_OPTIONS,0))</f>
        <v>#NAME?</v>
      </c>
    </row>
    <row r="250" spans="1:150" ht="45" x14ac:dyDescent="0.3">
      <c r="A250" s="644" t="s">
        <v>1071</v>
      </c>
      <c r="D250" s="348" t="s">
        <v>207</v>
      </c>
      <c r="E250" s="347" t="s">
        <v>443</v>
      </c>
      <c r="F250" s="347" t="s">
        <v>972</v>
      </c>
      <c r="G250" s="788" t="s">
        <v>1047</v>
      </c>
      <c r="H250" s="347" t="s">
        <v>984</v>
      </c>
      <c r="I250" s="347" t="s">
        <v>448</v>
      </c>
      <c r="J250" s="348" t="s">
        <v>877</v>
      </c>
      <c r="K250" s="348" t="s">
        <v>876</v>
      </c>
      <c r="L250" s="347" t="s">
        <v>444</v>
      </c>
      <c r="M250" s="963" t="s">
        <v>964</v>
      </c>
      <c r="N250" s="347" t="s">
        <v>446</v>
      </c>
      <c r="O250" s="347" t="s">
        <v>445</v>
      </c>
      <c r="P250" s="347" t="s">
        <v>447</v>
      </c>
      <c r="Q250" s="987" t="s">
        <v>1051</v>
      </c>
      <c r="R250" s="987" t="s">
        <v>1052</v>
      </c>
      <c r="BE250" s="873"/>
      <c r="BF250" s="991"/>
      <c r="BG250" s="991"/>
      <c r="BH250" s="991"/>
      <c r="BI250" s="991"/>
      <c r="BJ250" s="991"/>
      <c r="BK250" s="991"/>
      <c r="BL250" s="991"/>
      <c r="BM250" s="991"/>
      <c r="BN250" s="991"/>
      <c r="BO250" s="966"/>
      <c r="BP250" s="546"/>
      <c r="BQ250" s="546"/>
      <c r="BR250" s="546"/>
      <c r="BS250" s="546" t="s">
        <v>207</v>
      </c>
      <c r="BT250" s="347" t="s">
        <v>443</v>
      </c>
      <c r="BU250" s="347" t="s">
        <v>972</v>
      </c>
      <c r="BV250" s="788" t="s">
        <v>1047</v>
      </c>
      <c r="BW250" s="347" t="s">
        <v>984</v>
      </c>
      <c r="BX250" s="959" t="s">
        <v>448</v>
      </c>
      <c r="BY250" s="348" t="s">
        <v>877</v>
      </c>
      <c r="BZ250" s="348" t="s">
        <v>876</v>
      </c>
      <c r="CA250" s="347" t="s">
        <v>444</v>
      </c>
      <c r="CB250" s="963" t="s">
        <v>964</v>
      </c>
      <c r="CC250" s="347" t="s">
        <v>446</v>
      </c>
      <c r="CD250" s="63" t="s">
        <v>1051</v>
      </c>
      <c r="CE250" s="63" t="s">
        <v>1052</v>
      </c>
      <c r="CI250" s="9"/>
      <c r="CJ250" s="9"/>
      <c r="CK250" s="9"/>
      <c r="CL250" s="9"/>
      <c r="CM250" s="9"/>
      <c r="CN250" s="9"/>
      <c r="CO250" s="9"/>
      <c r="CP250" s="9"/>
      <c r="CQ250" s="9"/>
      <c r="CR250" s="9"/>
      <c r="CS250" s="9"/>
      <c r="CT250" s="9"/>
      <c r="CU250" s="9"/>
      <c r="CV250" s="9"/>
    </row>
    <row r="251" spans="1:150" x14ac:dyDescent="0.25">
      <c r="A251" s="258" t="s">
        <v>88</v>
      </c>
      <c r="B251" s="9" t="s">
        <v>315</v>
      </c>
      <c r="C251" s="236" t="s">
        <v>397</v>
      </c>
      <c r="D251" s="341">
        <f ca="1">VLOOKUP($A251,$A$26:$ER$41,COLUMN($AY$23),0)</f>
        <v>9584.5287297691484</v>
      </c>
      <c r="E251" s="341">
        <f ca="1">VLOOKUP($A251,$A$26:$ER$41,COLUMN($D$23),0)</f>
        <v>10488</v>
      </c>
      <c r="F251" s="341">
        <f ca="1">VLOOKUP($A251,$A$26:$ER$41,COLUMN($I$23),0)</f>
        <v>4903.6066795211782</v>
      </c>
      <c r="G251" s="341">
        <f ca="1">VLOOKUP($A251,$A$26:$ER$41,COLUMN($G$23),0)</f>
        <v>11224</v>
      </c>
      <c r="H251" s="341">
        <f ca="1">VLOOKUP($A251,$A$26:$ER$41,COLUMN($L$23),0)</f>
        <v>3790.594513526878</v>
      </c>
      <c r="I251" s="341" t="str">
        <f>VLOOKUP($A251,$A$26:$ER$41,COLUMN($P$23),0)</f>
        <v/>
      </c>
      <c r="J251" s="341"/>
      <c r="K251" s="341">
        <f ca="1">VLOOKUP($A251,$A$26:$ER$41,COLUMN($T$23),0)</f>
        <v>13235.3210147993</v>
      </c>
      <c r="L251" s="341">
        <f ca="1">VLOOKUP($A251,$A$26:$ER$41,COLUMN($H$23),0)</f>
        <v>23814.188973744589</v>
      </c>
      <c r="M251" s="341">
        <f ca="1">VLOOKUP($A251,$A$26:$ER$41,COLUMN($U$23),0)</f>
        <v>1395.4108944129</v>
      </c>
      <c r="N251" s="341">
        <f ca="1">VLOOKUP($A251,$A$26:$ER$41,COLUMN($M$23),0)</f>
        <v>8962.4547475690797</v>
      </c>
      <c r="O251" s="341" t="str">
        <f>VLOOKUP($A251,$A$26:$ER$41,COLUMN($N$23),0)</f>
        <v/>
      </c>
      <c r="P251" s="341" t="str">
        <f>VLOOKUP($A251,$A$26:$ER$41,COLUMN($O$23),0)</f>
        <v/>
      </c>
      <c r="Q251" s="341">
        <f ca="1">VLOOKUP($A251,$A$26:$ER$41,COLUMN($BD$23),0)</f>
        <v>6551.2942682849989</v>
      </c>
      <c r="R251" s="341">
        <f ca="1">VLOOKUP($A251,$A$26:$ER$41,COLUMN($BE$23),0)</f>
        <v>11383.728195180354</v>
      </c>
      <c r="BE251" s="469"/>
      <c r="BF251" s="469"/>
      <c r="BG251" s="469"/>
      <c r="BH251" s="469"/>
      <c r="BI251" s="469"/>
      <c r="BJ251" s="469"/>
      <c r="BK251" s="469"/>
      <c r="BL251" s="469"/>
      <c r="BM251" s="469"/>
      <c r="BN251" s="469"/>
      <c r="BO251" s="967"/>
      <c r="BP251" s="469"/>
      <c r="BQ251" s="469"/>
      <c r="BR251" s="258" t="s">
        <v>88</v>
      </c>
      <c r="BS251" s="341">
        <f ca="1">VLOOKUP($A251,$A$26:$ER$41,COLUMN($EC$23),0)</f>
        <v>11869.706961417576</v>
      </c>
      <c r="BT251" s="341">
        <f ca="1">VLOOKUP($A251,$A$26:$ER$41,COLUMN($BP$23),0)</f>
        <v>14803.000000000004</v>
      </c>
      <c r="BU251" s="341">
        <f ca="1">VLOOKUP($A251,$A$26:$ER$41,COLUMN($BU$23),0)</f>
        <v>2727.836734528471</v>
      </c>
      <c r="BV251" s="341">
        <f ca="1">VLOOKUP($A251,$A$26:$ER$41,COLUMN($BS$23),0)</f>
        <v>6943</v>
      </c>
      <c r="BW251" s="341">
        <f ca="1">VLOOKUP($A251,$A$26:$ER$41,COLUMN($BX$23),0)</f>
        <v>3770.1933406620033</v>
      </c>
      <c r="BY251" s="341"/>
      <c r="BZ251" s="341">
        <f ca="1">VLOOKUP($A251,$A$26:$ER$41,COLUMN($CF$23),0)</f>
        <v>8718.2717971501042</v>
      </c>
      <c r="CA251" s="341">
        <f ca="1">VLOOKUP($A251,$A$26:$ER$41,COLUMN($BT$23),0)</f>
        <v>35231.798622039343</v>
      </c>
      <c r="CB251" s="341">
        <f ca="1">VLOOKUP($A251,$A$26:$ER$41,COLUMN($CG$23),0)</f>
        <v>1349.8047682693043</v>
      </c>
      <c r="CC251" s="341">
        <f ca="1">VLOOKUP($A251,$A$26:$ER$41,COLUMN($BY$23),0)</f>
        <v>14171.071943964789</v>
      </c>
      <c r="CD251" s="341">
        <f ca="1">VLOOKUP($A251,$A$26:$ER$41,COLUMN($EH$23),0)</f>
        <v>8415.9217545186184</v>
      </c>
      <c r="CE251" s="341">
        <f ca="1">VLOOKUP($A251,$A$26:$ER$41,COLUMN($EI$23),0)</f>
        <v>18689.673328497418</v>
      </c>
      <c r="CI251" s="9"/>
      <c r="CJ251" s="9"/>
      <c r="CK251" s="9"/>
      <c r="CL251" s="9"/>
      <c r="CM251" s="9"/>
      <c r="CN251" s="9"/>
      <c r="CO251" s="9"/>
      <c r="CP251" s="9"/>
      <c r="CQ251" s="9"/>
      <c r="CR251" s="9"/>
      <c r="CS251" s="9"/>
      <c r="CT251" s="9"/>
      <c r="CU251" s="9"/>
      <c r="CV251" s="9"/>
    </row>
    <row r="252" spans="1:150" x14ac:dyDescent="0.25">
      <c r="A252" s="258" t="s">
        <v>89</v>
      </c>
      <c r="B252" s="9" t="s">
        <v>320</v>
      </c>
      <c r="C252" s="236" t="s">
        <v>397</v>
      </c>
      <c r="D252" s="341">
        <f ca="1">VLOOKUP($A252,$A$26:$ER$41,COLUMN($AY$23),0)</f>
        <v>4674.8272845630163</v>
      </c>
      <c r="E252" s="341">
        <f ca="1">VLOOKUP($A252,$A$26:$ER$41,COLUMN($D$23),0)</f>
        <v>1435.2</v>
      </c>
      <c r="F252" s="341">
        <f ca="1">VLOOKUP($A252,$A$26:$ER$41,COLUMN($I$23),0)</f>
        <v>7224.0770803574251</v>
      </c>
      <c r="G252" s="341">
        <f ca="1">VLOOKUP($A252,$A$26:$ER$41,COLUMN($G$23),0)</f>
        <v>1435.2</v>
      </c>
      <c r="H252" s="341">
        <f ca="1">VLOOKUP($A252,$A$26:$ER$41,COLUMN($L$23),0)</f>
        <v>4308.0266952067414</v>
      </c>
      <c r="I252" s="341" t="str">
        <f>VLOOKUP($A252,$A$26:$ER$41,COLUMN($P$23),0)</f>
        <v/>
      </c>
      <c r="J252" s="341"/>
      <c r="K252" s="341"/>
      <c r="L252" s="341">
        <f ca="1">VLOOKUP($A252,$A$26:$ER$41,COLUMN($H$23),0)</f>
        <v>6055.5822621002308</v>
      </c>
      <c r="M252" s="341"/>
      <c r="N252" s="341" t="str">
        <f>VLOOKUP($A252,$A$26:$ER$41,COLUMN($M$23),0)</f>
        <v/>
      </c>
      <c r="O252" s="341" t="str">
        <f>VLOOKUP($A252,$A$26:$ER$41,COLUMN($N$23),0)</f>
        <v/>
      </c>
      <c r="P252" s="341" t="str">
        <f>VLOOKUP($A252,$A$26:$ER$41,COLUMN($O$23),0)</f>
        <v/>
      </c>
      <c r="Q252" s="341">
        <f ca="1">VLOOKUP($A252,$A$26:$ER$41,COLUMN($BD$23),0)</f>
        <v>2746.2618276504131</v>
      </c>
      <c r="R252" s="341">
        <f ca="1">VLOOKUP($A252,$A$26:$ER$41,COLUMN($BE$23),0)</f>
        <v>2587.662458585246</v>
      </c>
      <c r="BE252" s="469"/>
      <c r="BF252" s="469"/>
      <c r="BG252" s="469"/>
      <c r="BH252" s="469"/>
      <c r="BI252" s="469"/>
      <c r="BJ252" s="469"/>
      <c r="BK252" s="469"/>
      <c r="BL252" s="469"/>
      <c r="BM252" s="469"/>
      <c r="BN252" s="469"/>
      <c r="BO252" s="967"/>
      <c r="BP252" s="469"/>
      <c r="BQ252" s="469"/>
      <c r="BR252" s="258" t="s">
        <v>89</v>
      </c>
      <c r="BS252" s="341">
        <f ca="1">VLOOKUP($A252,$A$26:$ER$41,COLUMN($EC$23),0)</f>
        <v>2131.2810014187971</v>
      </c>
      <c r="BT252" s="341">
        <f ca="1">VLOOKUP($A252,$A$26:$ER$41,COLUMN($BP$23),0)</f>
        <v>1912.6</v>
      </c>
      <c r="BU252" s="341">
        <f ca="1">VLOOKUP($A252,$A$26:$ER$41,COLUMN($BU$23),0)</f>
        <v>1749.1316971465267</v>
      </c>
      <c r="BV252" s="341">
        <f ca="1">VLOOKUP($A252,$A$26:$ER$41,COLUMN($BS$23),0)</f>
        <v>668.1</v>
      </c>
      <c r="BW252" s="341">
        <f ca="1">VLOOKUP($A252,$A$26:$ER$41,COLUMN($BX$23),0)</f>
        <v>1474.5976723446449</v>
      </c>
      <c r="BY252" s="341"/>
      <c r="BZ252" s="341"/>
      <c r="CA252" s="341">
        <f ca="1">VLOOKUP($A252,$A$26:$ER$41,COLUMN($BT$23),0)</f>
        <v>3332.9416128009325</v>
      </c>
      <c r="CB252" s="341"/>
      <c r="CC252" s="341" t="str">
        <f>VLOOKUP($A252,$A$26:$ER$41,COLUMN($BY$23),0)</f>
        <v/>
      </c>
      <c r="CD252" s="341">
        <f ca="1">VLOOKUP($A252,$A$26:$ER$41,COLUMN($EH$23),0)</f>
        <v>1170.5448011350377</v>
      </c>
      <c r="CE252" s="341">
        <f ca="1">VLOOKUP($A252,$A$26:$ER$41,COLUMN($EI$23),0)</f>
        <v>961.32848910570829</v>
      </c>
      <c r="CI252" s="9"/>
      <c r="CJ252" s="9"/>
      <c r="CK252" s="9"/>
      <c r="CL252" s="9"/>
      <c r="CM252" s="9"/>
      <c r="CN252" s="9"/>
      <c r="CO252" s="9"/>
      <c r="CP252" s="9"/>
      <c r="CQ252" s="9"/>
      <c r="CR252" s="9"/>
      <c r="CS252" s="9"/>
      <c r="CT252" s="9"/>
      <c r="CU252" s="9"/>
      <c r="CV252" s="9"/>
    </row>
    <row r="253" spans="1:150" x14ac:dyDescent="0.25">
      <c r="CI253" s="9"/>
      <c r="CJ253" s="9"/>
      <c r="CK253" s="9"/>
      <c r="CL253" s="9"/>
      <c r="CM253" s="9"/>
      <c r="CN253" s="9"/>
      <c r="CO253" s="9"/>
      <c r="CP253" s="9"/>
      <c r="CQ253" s="9"/>
      <c r="CR253" s="9"/>
      <c r="CS253" s="9"/>
      <c r="CT253" s="9"/>
      <c r="CU253" s="9"/>
      <c r="CV253" s="9"/>
    </row>
    <row r="254" spans="1:150" ht="45" x14ac:dyDescent="0.3">
      <c r="A254" s="644" t="s">
        <v>1078</v>
      </c>
      <c r="D254" s="348" t="s">
        <v>207</v>
      </c>
      <c r="E254" s="347" t="s">
        <v>443</v>
      </c>
      <c r="F254" s="347" t="s">
        <v>972</v>
      </c>
      <c r="G254" s="788" t="s">
        <v>1047</v>
      </c>
      <c r="H254" s="347" t="s">
        <v>984</v>
      </c>
      <c r="I254" s="347" t="s">
        <v>448</v>
      </c>
      <c r="J254" s="348" t="s">
        <v>877</v>
      </c>
      <c r="K254" s="348" t="s">
        <v>876</v>
      </c>
      <c r="L254" s="347" t="s">
        <v>444</v>
      </c>
      <c r="M254" s="963" t="s">
        <v>964</v>
      </c>
      <c r="N254" s="347" t="s">
        <v>446</v>
      </c>
      <c r="O254" s="347" t="s">
        <v>445</v>
      </c>
      <c r="P254" s="347" t="s">
        <v>447</v>
      </c>
      <c r="Q254" s="987" t="s">
        <v>1051</v>
      </c>
      <c r="R254" s="987" t="s">
        <v>1052</v>
      </c>
      <c r="BR254" s="546"/>
      <c r="BS254" s="546" t="s">
        <v>207</v>
      </c>
      <c r="BT254" s="347" t="s">
        <v>443</v>
      </c>
      <c r="BU254" s="347" t="s">
        <v>972</v>
      </c>
      <c r="BV254" s="788" t="s">
        <v>1047</v>
      </c>
      <c r="BW254" s="347" t="s">
        <v>984</v>
      </c>
      <c r="BX254" s="959" t="s">
        <v>448</v>
      </c>
      <c r="BY254" s="348" t="s">
        <v>877</v>
      </c>
      <c r="BZ254" s="348" t="s">
        <v>876</v>
      </c>
      <c r="CA254" s="347" t="s">
        <v>444</v>
      </c>
      <c r="CB254" s="963" t="s">
        <v>964</v>
      </c>
      <c r="CC254" s="347" t="s">
        <v>446</v>
      </c>
      <c r="CD254" s="63" t="s">
        <v>1051</v>
      </c>
      <c r="CE254" s="63" t="s">
        <v>1052</v>
      </c>
      <c r="CI254" s="9"/>
      <c r="CJ254" s="9"/>
      <c r="CK254" s="9"/>
      <c r="CL254" s="9"/>
      <c r="CM254" s="9"/>
      <c r="CN254" s="9"/>
      <c r="CO254" s="9"/>
      <c r="CP254" s="9"/>
      <c r="CQ254" s="9"/>
      <c r="CR254" s="9"/>
      <c r="CS254" s="9"/>
      <c r="CT254" s="9"/>
      <c r="CU254" s="9"/>
      <c r="CV254" s="9"/>
    </row>
    <row r="255" spans="1:150" x14ac:dyDescent="0.25">
      <c r="A255" s="258" t="s">
        <v>88</v>
      </c>
      <c r="B255" s="9" t="s">
        <v>315</v>
      </c>
      <c r="C255" s="236" t="s">
        <v>397</v>
      </c>
      <c r="D255" s="341">
        <f ca="1">VLOOKUP($A255,$A$50:$ER$65,COLUMN($AY$47),0)</f>
        <v>8464.2810107769692</v>
      </c>
      <c r="E255" s="341">
        <f ca="1">VLOOKUP($A255,$A$50:$ER$65,COLUMN($D$47),0)</f>
        <v>8184.4</v>
      </c>
      <c r="F255" s="341">
        <f ca="1">VLOOKUP($A255,$A$50:$ER$65,COLUMN($I$47),0)</f>
        <v>5978.637071618562</v>
      </c>
      <c r="G255" s="341">
        <f ca="1">VLOOKUP($A255,$A$50:$ER$65,COLUMN($G$47),0)</f>
        <v>6547.52</v>
      </c>
      <c r="H255" s="341"/>
      <c r="I255" s="341" t="str">
        <f>VLOOKUP($A255,$A$50:$ER$65,COLUMN($P$47),0)</f>
        <v/>
      </c>
      <c r="J255" s="341"/>
      <c r="K255" s="341">
        <f ca="1">VLOOKUP($A255,$A$50:$ER$65,COLUMN($T$47),0)</f>
        <v>5247.5182374965852</v>
      </c>
      <c r="L255" s="341">
        <f ca="1">VLOOKUP($A255,$A$50:$ER$65,COLUMN($H$47),0)</f>
        <v>15603.712297287921</v>
      </c>
      <c r="M255" s="341"/>
      <c r="N255" s="341"/>
      <c r="O255" s="341" t="str">
        <f>VLOOKUP($A255,$A$26:$ER$41,COLUMN($N$23),0)</f>
        <v/>
      </c>
      <c r="P255" s="341" t="str">
        <f>VLOOKUP($A255,$A$26:$ER$41,COLUMN($O$23),0)</f>
        <v/>
      </c>
      <c r="Q255" s="32">
        <f ca="1">VLOOKUP($A255,$A$50:$ER$65,COLUMN($BD$47),0)</f>
        <v>6771.4248086215757</v>
      </c>
      <c r="R255" s="32">
        <f ca="1">VLOOKUP($A255,$A$50:$ER$65,COLUMN($BE$47),0)</f>
        <v>6323.6151913784252</v>
      </c>
      <c r="BR255" s="258" t="s">
        <v>88</v>
      </c>
      <c r="BS255" s="341">
        <f ca="1">VLOOKUP($A255,$A$50:$ER$65,COLUMN($EC$47),0)</f>
        <v>30363.678576413047</v>
      </c>
      <c r="BT255" s="341">
        <f ca="1">VLOOKUP($A255,$A$50:$ER$65,COLUMN($BP$47),0)</f>
        <v>5120</v>
      </c>
      <c r="BU255" s="341">
        <f ca="1">VLOOKUP($A255,$A$50:$ER$65,COLUMN($BU$47),0)</f>
        <v>115707.47377785998</v>
      </c>
      <c r="BV255" s="341">
        <f ca="1">VLOOKUP($A255,$A$50:$ER$65,COLUMN($BS$47),0)</f>
        <v>17920</v>
      </c>
      <c r="BW255" s="341"/>
      <c r="BY255" s="341"/>
      <c r="BZ255" s="341">
        <f ca="1">VLOOKUP($A255,$A$50:$ER$65,COLUMN($CF$47),0)</f>
        <v>25165.264848875609</v>
      </c>
      <c r="CA255" s="341">
        <f ca="1">VLOOKUP($A255,$A$50:$ER$65,COLUMN($BT$47),0)</f>
        <v>83450.242593007861</v>
      </c>
      <c r="CB255" s="341"/>
      <c r="CC255" s="341"/>
      <c r="CD255" s="341">
        <f ca="1">VLOOKUP($A255,$A$50:$ER$65,COLUMN($EH$47),0)</f>
        <v>24290.942861130439</v>
      </c>
      <c r="CE255" s="341">
        <f ca="1">VLOOKUP($A255,$A$50:$ER$65,COLUMN($EI$47),0)</f>
        <v>670989.1078352062</v>
      </c>
      <c r="CF255" s="469"/>
      <c r="CI255" s="9"/>
      <c r="CJ255" s="9"/>
      <c r="CK255" s="9"/>
      <c r="CL255" s="9"/>
      <c r="CM255" s="9"/>
      <c r="CN255" s="9"/>
      <c r="CO255" s="9"/>
      <c r="CP255" s="9"/>
      <c r="CQ255" s="9"/>
      <c r="CR255" s="9"/>
      <c r="CS255" s="9"/>
      <c r="CT255" s="9"/>
      <c r="CU255" s="9"/>
      <c r="CV255" s="9"/>
    </row>
    <row r="256" spans="1:150" x14ac:dyDescent="0.25">
      <c r="A256" s="258" t="s">
        <v>89</v>
      </c>
      <c r="B256" s="9" t="s">
        <v>320</v>
      </c>
      <c r="C256" s="236" t="s">
        <v>397</v>
      </c>
      <c r="D256" s="341">
        <f ca="1">VLOOKUP($A256,$A$50:$ER$65,COLUMN($AY$47),0)</f>
        <v>5974.4455187908998</v>
      </c>
      <c r="E256" s="341">
        <f ca="1">VLOOKUP($A256,$A$50:$ER$65,COLUMN($D$47),0)</f>
        <v>6547.52</v>
      </c>
      <c r="F256" s="341">
        <f ca="1">VLOOKUP($A256,$A$50:$ER$65,COLUMN($I$47),0)</f>
        <v>6298.8109000190461</v>
      </c>
      <c r="G256" s="341">
        <f ca="1">VLOOKUP($A256,$A$50:$ER$65,COLUMN($G$47),0)</f>
        <v>6547.52</v>
      </c>
      <c r="H256" s="341"/>
      <c r="I256" s="341" t="str">
        <f>VLOOKUP($A256,$A$50:$ER$65,COLUMN($P$47),0)</f>
        <v/>
      </c>
      <c r="J256" s="341"/>
      <c r="K256" s="341"/>
      <c r="L256" s="341">
        <f ca="1">VLOOKUP($A256,$A$50:$ER$65,COLUMN($H$47),0)</f>
        <v>4179.5657939164075</v>
      </c>
      <c r="M256" s="341"/>
      <c r="N256" s="341" t="str">
        <f>VLOOKUP($A256,$A$26:$ER$41,COLUMN($M$23),0)</f>
        <v/>
      </c>
      <c r="O256" s="341" t="str">
        <f>VLOOKUP($A256,$A$26:$ER$41,COLUMN($N$23),0)</f>
        <v/>
      </c>
      <c r="P256" s="341" t="str">
        <f>VLOOKUP($A256,$A$26:$ER$41,COLUMN($O$23),0)</f>
        <v/>
      </c>
      <c r="Q256" s="32">
        <f ca="1">VLOOKUP($A256,$A$50:$ER$65,COLUMN($BD$47),0)</f>
        <v>3470.0524150327196</v>
      </c>
      <c r="R256" s="32">
        <f ca="1">VLOOKUP($A256,$A$50:$ER$65,COLUMN($BE$47),0)</f>
        <v>3732.2195849672798</v>
      </c>
      <c r="BR256" s="258" t="s">
        <v>89</v>
      </c>
      <c r="BS256" s="341">
        <f ca="1">VLOOKUP($A256,$A$50:$ER$65,COLUMN($EC$47),0)</f>
        <v>11472.256638066072</v>
      </c>
      <c r="BT256" s="341">
        <f ca="1">VLOOKUP($A256,$A$50:$ER$65,COLUMN($BP$47),0)</f>
        <v>13312</v>
      </c>
      <c r="BU256" s="341">
        <f ca="1">VLOOKUP($A256,$A$50:$ER$65,COLUMN($BU$47),0)</f>
        <v>35976.184774612797</v>
      </c>
      <c r="BV256" s="341">
        <f ca="1">VLOOKUP($A256,$A$50:$ER$65,COLUMN($BS$47),0)</f>
        <v>17612.8</v>
      </c>
      <c r="BW256" s="341"/>
      <c r="BY256" s="341"/>
      <c r="BZ256" s="341"/>
      <c r="CA256" s="341">
        <f ca="1">VLOOKUP($A256,$A$50:$ER$65,COLUMN($BT$47),0)</f>
        <v>7792.7699141982121</v>
      </c>
      <c r="CB256" s="341"/>
      <c r="CC256" s="341" t="str">
        <f>VLOOKUP($A256,$A$26:$ER$41,COLUMN($BY$23),0)</f>
        <v/>
      </c>
      <c r="CD256" s="341">
        <f ca="1">VLOOKUP($A256,$A$50:$ER$65,COLUMN($EH$47),0)</f>
        <v>9177.8053104528572</v>
      </c>
      <c r="CE256" s="341">
        <f ca="1">VLOOKUP($A256,$A$50:$ER$65,COLUMN($EI$47),0)</f>
        <v>21263.358014338872</v>
      </c>
      <c r="CI256" s="9"/>
      <c r="CJ256" s="9"/>
      <c r="CK256" s="9"/>
      <c r="CL256" s="9"/>
      <c r="CM256" s="9"/>
      <c r="CN256" s="9"/>
      <c r="CO256" s="9"/>
      <c r="CP256" s="9"/>
      <c r="CQ256" s="9"/>
      <c r="CR256" s="9"/>
      <c r="CS256" s="9"/>
      <c r="CT256" s="9"/>
      <c r="CU256" s="9"/>
      <c r="CV256" s="9"/>
    </row>
    <row r="257" spans="1:100" x14ac:dyDescent="0.25">
      <c r="BY257" s="341"/>
      <c r="BZ257" s="341"/>
      <c r="CA257" s="341"/>
      <c r="CB257" s="341"/>
      <c r="CI257" s="9"/>
      <c r="CJ257" s="9"/>
      <c r="CK257" s="9"/>
      <c r="CL257" s="9"/>
      <c r="CM257" s="9"/>
      <c r="CN257" s="9"/>
      <c r="CO257" s="9"/>
      <c r="CP257" s="9"/>
      <c r="CQ257" s="9"/>
      <c r="CR257" s="9"/>
      <c r="CS257" s="9"/>
      <c r="CT257" s="9"/>
      <c r="CU257" s="9"/>
      <c r="CV257" s="9"/>
    </row>
    <row r="258" spans="1:100" x14ac:dyDescent="0.25">
      <c r="CI258" s="9"/>
      <c r="CJ258" s="9"/>
      <c r="CK258" s="9"/>
      <c r="CL258" s="9"/>
      <c r="CM258" s="9"/>
      <c r="CN258" s="9"/>
      <c r="CO258" s="9"/>
      <c r="CP258" s="9"/>
      <c r="CQ258" s="9"/>
      <c r="CR258" s="9"/>
      <c r="CS258" s="9"/>
      <c r="CT258" s="9"/>
      <c r="CU258" s="9"/>
      <c r="CV258" s="9"/>
    </row>
    <row r="259" spans="1:100" x14ac:dyDescent="0.25">
      <c r="CI259" s="9"/>
      <c r="CJ259" s="9"/>
      <c r="CK259" s="9"/>
      <c r="CL259" s="9"/>
      <c r="CM259" s="9"/>
      <c r="CN259" s="9"/>
      <c r="CO259" s="9"/>
      <c r="CP259" s="9"/>
      <c r="CQ259" s="9"/>
      <c r="CR259" s="9"/>
      <c r="CS259" s="9"/>
      <c r="CT259" s="9"/>
      <c r="CU259" s="9"/>
      <c r="CV259" s="9"/>
    </row>
    <row r="260" spans="1:100" x14ac:dyDescent="0.25">
      <c r="CI260" s="9"/>
      <c r="CJ260" s="9"/>
      <c r="CK260" s="9"/>
      <c r="CL260" s="9"/>
      <c r="CM260" s="9"/>
      <c r="CN260" s="9"/>
      <c r="CO260" s="9"/>
      <c r="CP260" s="9"/>
      <c r="CQ260" s="9"/>
      <c r="CR260" s="9"/>
      <c r="CS260" s="9"/>
      <c r="CT260" s="9"/>
      <c r="CU260" s="9"/>
      <c r="CV260" s="9"/>
    </row>
    <row r="261" spans="1:100" x14ac:dyDescent="0.25">
      <c r="CI261" s="9"/>
      <c r="CJ261" s="9"/>
      <c r="CK261" s="9"/>
      <c r="CL261" s="9"/>
      <c r="CM261" s="9"/>
      <c r="CN261" s="9"/>
      <c r="CO261" s="9"/>
      <c r="CP261" s="9"/>
      <c r="CQ261" s="9"/>
      <c r="CR261" s="9"/>
      <c r="CS261" s="9"/>
      <c r="CT261" s="9"/>
      <c r="CU261" s="9"/>
      <c r="CV261" s="9"/>
    </row>
    <row r="262" spans="1:100" x14ac:dyDescent="0.25">
      <c r="CI262" s="9"/>
      <c r="CJ262" s="9"/>
      <c r="CK262" s="9"/>
      <c r="CL262" s="9"/>
      <c r="CM262" s="9"/>
      <c r="CN262" s="9"/>
      <c r="CO262" s="9"/>
      <c r="CP262" s="9"/>
      <c r="CQ262" s="9"/>
      <c r="CR262" s="9"/>
      <c r="CS262" s="9"/>
      <c r="CT262" s="9"/>
      <c r="CU262" s="9"/>
      <c r="CV262" s="9"/>
    </row>
    <row r="263" spans="1:100" x14ac:dyDescent="0.25">
      <c r="CI263" s="9"/>
      <c r="CJ263" s="9"/>
      <c r="CK263" s="9"/>
      <c r="CL263" s="9"/>
      <c r="CM263" s="9"/>
      <c r="CN263" s="9"/>
      <c r="CO263" s="9"/>
      <c r="CP263" s="9"/>
      <c r="CQ263" s="9"/>
      <c r="CR263" s="9"/>
      <c r="CS263" s="9"/>
      <c r="CT263" s="9"/>
      <c r="CU263" s="9"/>
      <c r="CV263" s="9"/>
    </row>
    <row r="264" spans="1:100" x14ac:dyDescent="0.25">
      <c r="CI264" s="9"/>
      <c r="CJ264" s="9"/>
      <c r="CK264" s="9"/>
      <c r="CL264" s="9"/>
      <c r="CM264" s="9"/>
      <c r="CN264" s="9"/>
      <c r="CO264" s="9"/>
      <c r="CP264" s="9"/>
      <c r="CQ264" s="9"/>
      <c r="CR264" s="9"/>
      <c r="CS264" s="9"/>
      <c r="CT264" s="9"/>
      <c r="CU264" s="9"/>
      <c r="CV264" s="9"/>
    </row>
    <row r="265" spans="1:100" x14ac:dyDescent="0.25">
      <c r="CI265" s="9"/>
      <c r="CJ265" s="9"/>
      <c r="CK265" s="9"/>
      <c r="CL265" s="9"/>
      <c r="CM265" s="9"/>
      <c r="CN265" s="9"/>
      <c r="CO265" s="9"/>
      <c r="CP265" s="9"/>
      <c r="CQ265" s="9"/>
      <c r="CR265" s="9"/>
      <c r="CS265" s="9"/>
      <c r="CT265" s="9"/>
      <c r="CU265" s="9"/>
      <c r="CV265" s="9"/>
    </row>
    <row r="266" spans="1:100" x14ac:dyDescent="0.25">
      <c r="CI266" s="9"/>
      <c r="CJ266" s="9"/>
      <c r="CK266" s="9"/>
      <c r="CL266" s="9"/>
      <c r="CM266" s="9"/>
      <c r="CN266" s="9"/>
      <c r="CO266" s="9"/>
      <c r="CP266" s="9"/>
      <c r="CQ266" s="9"/>
      <c r="CR266" s="9"/>
      <c r="CS266" s="9"/>
      <c r="CT266" s="9"/>
      <c r="CU266" s="9"/>
      <c r="CV266" s="9"/>
    </row>
    <row r="267" spans="1:100" x14ac:dyDescent="0.25">
      <c r="CI267" s="9"/>
      <c r="CJ267" s="9"/>
      <c r="CK267" s="9"/>
      <c r="CL267" s="9"/>
      <c r="CM267" s="9"/>
      <c r="CN267" s="9"/>
      <c r="CO267" s="9"/>
      <c r="CP267" s="9"/>
      <c r="CQ267" s="9"/>
      <c r="CR267" s="9"/>
      <c r="CS267" s="9"/>
      <c r="CT267" s="9"/>
      <c r="CU267" s="9"/>
      <c r="CV267" s="9"/>
    </row>
    <row r="268" spans="1:100" x14ac:dyDescent="0.25">
      <c r="CI268" s="9"/>
      <c r="CJ268" s="9"/>
      <c r="CK268" s="9"/>
      <c r="CL268" s="9"/>
      <c r="CM268" s="9"/>
      <c r="CN268" s="9"/>
      <c r="CO268" s="9"/>
      <c r="CP268" s="9"/>
      <c r="CQ268" s="9"/>
      <c r="CR268" s="9"/>
      <c r="CS268" s="9"/>
      <c r="CT268" s="9"/>
      <c r="CU268" s="9"/>
      <c r="CV268" s="9"/>
    </row>
    <row r="269" spans="1:100" x14ac:dyDescent="0.25">
      <c r="CI269" s="9"/>
      <c r="CJ269" s="9"/>
      <c r="CK269" s="9"/>
      <c r="CL269" s="9"/>
      <c r="CM269" s="9"/>
      <c r="CN269" s="9"/>
      <c r="CO269" s="9"/>
      <c r="CP269" s="9"/>
      <c r="CQ269" s="9"/>
      <c r="CR269" s="9"/>
      <c r="CS269" s="9"/>
      <c r="CT269" s="9"/>
      <c r="CU269" s="9"/>
      <c r="CV269" s="9"/>
    </row>
    <row r="270" spans="1:100" x14ac:dyDescent="0.25">
      <c r="CI270" s="9"/>
      <c r="CJ270" s="9"/>
      <c r="CK270" s="9"/>
      <c r="CL270" s="9"/>
      <c r="CM270" s="9"/>
      <c r="CN270" s="9"/>
      <c r="CO270" s="9"/>
      <c r="CP270" s="9"/>
      <c r="CQ270" s="9"/>
      <c r="CR270" s="9"/>
      <c r="CS270" s="9"/>
      <c r="CT270" s="9"/>
      <c r="CU270" s="9"/>
      <c r="CV270" s="9"/>
    </row>
    <row r="271" spans="1:100" x14ac:dyDescent="0.25">
      <c r="A271" s="64"/>
      <c r="B271" s="64"/>
      <c r="C271" s="64"/>
      <c r="CI271" s="9"/>
      <c r="CJ271" s="9"/>
      <c r="CK271" s="9"/>
      <c r="CL271" s="9"/>
      <c r="CM271" s="9"/>
      <c r="CN271" s="9"/>
      <c r="CO271" s="9"/>
      <c r="CP271" s="9"/>
      <c r="CQ271" s="9"/>
      <c r="CR271" s="9"/>
      <c r="CS271" s="9"/>
      <c r="CT271" s="9"/>
      <c r="CU271" s="9"/>
      <c r="CV271" s="9"/>
    </row>
    <row r="272" spans="1:100" x14ac:dyDescent="0.25">
      <c r="A272" s="64"/>
      <c r="B272" s="64"/>
      <c r="C272" s="64"/>
      <c r="CI272" s="9"/>
      <c r="CJ272" s="9"/>
      <c r="CK272" s="9"/>
      <c r="CL272" s="9"/>
      <c r="CM272" s="9"/>
      <c r="CN272" s="9"/>
      <c r="CO272" s="9"/>
      <c r="CP272" s="9"/>
      <c r="CQ272" s="9"/>
      <c r="CR272" s="9"/>
      <c r="CS272" s="9"/>
      <c r="CT272" s="9"/>
      <c r="CU272" s="9"/>
      <c r="CV272" s="9"/>
    </row>
    <row r="273" spans="1:150" x14ac:dyDescent="0.25">
      <c r="CI273" s="9"/>
      <c r="CJ273" s="9"/>
      <c r="CK273" s="9"/>
      <c r="CL273" s="9"/>
      <c r="CM273" s="9"/>
      <c r="CN273" s="9"/>
      <c r="CO273" s="9"/>
      <c r="CP273" s="9"/>
      <c r="CQ273" s="9"/>
      <c r="CR273" s="9"/>
      <c r="CS273" s="9"/>
      <c r="CT273" s="9"/>
      <c r="CU273" s="9"/>
      <c r="CV273" s="9"/>
    </row>
    <row r="274" spans="1:150" x14ac:dyDescent="0.25">
      <c r="CI274" s="9"/>
      <c r="CJ274" s="9"/>
      <c r="CK274" s="9"/>
      <c r="CL274" s="9"/>
      <c r="CM274" s="9"/>
      <c r="CN274" s="9"/>
      <c r="CO274" s="9"/>
      <c r="CP274" s="9"/>
      <c r="CQ274" s="9"/>
      <c r="CR274" s="9"/>
      <c r="CS274" s="9"/>
      <c r="CT274" s="9"/>
      <c r="CU274" s="9"/>
      <c r="CV274" s="9"/>
    </row>
    <row r="275" spans="1:150" x14ac:dyDescent="0.25">
      <c r="CI275" s="9"/>
      <c r="CJ275" s="9"/>
      <c r="CK275" s="9"/>
      <c r="CL275" s="9"/>
      <c r="CM275" s="9"/>
      <c r="CN275" s="9"/>
      <c r="CO275" s="9"/>
      <c r="CP275" s="9"/>
      <c r="CQ275" s="9"/>
      <c r="CR275" s="9"/>
      <c r="CS275" s="9"/>
      <c r="CT275" s="9"/>
      <c r="CU275" s="9"/>
      <c r="CV275" s="9"/>
    </row>
    <row r="276" spans="1:150" ht="19.5" x14ac:dyDescent="0.3">
      <c r="A276" s="644" t="s">
        <v>1069</v>
      </c>
      <c r="CI276" s="9"/>
      <c r="CJ276" s="9"/>
      <c r="CK276" s="9"/>
      <c r="CL276" s="9"/>
      <c r="CM276" s="9"/>
      <c r="CN276" s="9"/>
      <c r="CO276" s="9"/>
      <c r="CP276" s="9"/>
      <c r="CQ276" s="9"/>
      <c r="CR276" s="9"/>
      <c r="CS276" s="9"/>
      <c r="CT276" s="9"/>
      <c r="CU276" s="9"/>
      <c r="CV276" s="9"/>
    </row>
    <row r="277" spans="1:150" x14ac:dyDescent="0.25">
      <c r="A277" s="64"/>
      <c r="B277" s="64"/>
      <c r="C277" s="64"/>
      <c r="D277" s="348" t="s">
        <v>207</v>
      </c>
      <c r="E277" s="63" t="s">
        <v>1051</v>
      </c>
      <c r="F277" s="63" t="s">
        <v>1052</v>
      </c>
      <c r="G277" s="348"/>
      <c r="H277" s="316"/>
      <c r="I277" s="316"/>
      <c r="J277" s="316"/>
      <c r="K277" s="316"/>
      <c r="L277" s="316"/>
      <c r="U277" s="9"/>
      <c r="BE277" s="873"/>
      <c r="BF277" s="991"/>
      <c r="BG277" s="991"/>
      <c r="BH277" s="991"/>
      <c r="BI277" s="991"/>
      <c r="BJ277" s="991"/>
      <c r="BK277" s="991"/>
      <c r="BL277" s="991"/>
      <c r="BM277" s="991"/>
      <c r="BN277" s="991"/>
      <c r="BO277" s="966"/>
      <c r="BP277" s="882"/>
      <c r="BQ277" s="882"/>
      <c r="BR277" s="882"/>
      <c r="BS277" s="882" t="s">
        <v>207</v>
      </c>
      <c r="BT277" s="165" t="s">
        <v>1051</v>
      </c>
      <c r="BU277" s="165" t="s">
        <v>1052</v>
      </c>
      <c r="BV277" s="882"/>
      <c r="CI277" s="9"/>
      <c r="CJ277" s="9"/>
      <c r="CK277" s="9"/>
      <c r="CL277" s="9"/>
      <c r="CM277" s="9"/>
      <c r="CN277" s="9"/>
      <c r="CO277" s="9"/>
      <c r="CP277" s="9"/>
      <c r="CQ277" s="9"/>
      <c r="CR277" s="9"/>
      <c r="CS277" s="9"/>
      <c r="CT277" s="9"/>
      <c r="CU277" s="9"/>
      <c r="CV277" s="9"/>
      <c r="CW277" s="9"/>
      <c r="CX277" s="9"/>
      <c r="CY277" s="9"/>
      <c r="CZ277" s="9"/>
      <c r="DA277" s="9"/>
      <c r="DB277" s="9"/>
      <c r="DC277" s="9"/>
      <c r="DD277" s="9"/>
      <c r="DE277" s="9"/>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9"/>
      <c r="EL277" s="165" t="s">
        <v>1083</v>
      </c>
      <c r="EM277" s="165" t="s">
        <v>1051</v>
      </c>
      <c r="EN277" s="165" t="s">
        <v>1052</v>
      </c>
      <c r="EO277" s="165" t="s">
        <v>9</v>
      </c>
      <c r="EP277" s="165" t="s">
        <v>1051</v>
      </c>
      <c r="EQ277" s="165" t="s">
        <v>1052</v>
      </c>
      <c r="ER277" s="165" t="s">
        <v>199</v>
      </c>
      <c r="ES277" s="165" t="s">
        <v>1051</v>
      </c>
      <c r="ET277" s="165" t="s">
        <v>1052</v>
      </c>
    </row>
    <row r="278" spans="1:150" x14ac:dyDescent="0.25">
      <c r="A278" s="258" t="s">
        <v>111</v>
      </c>
      <c r="B278" s="9" t="s">
        <v>271</v>
      </c>
      <c r="C278" s="236" t="s">
        <v>398</v>
      </c>
      <c r="D278" s="341">
        <f ca="1">VLOOKUP($A278,$A$74:$ER$89,COLUMN($AY$71),0)</f>
        <v>1745.7370894466044</v>
      </c>
      <c r="E278" s="341">
        <f ca="1">VLOOKUP($A278,$A$74:$ER$89,COLUMN($BD$71),0)</f>
        <v>815.43923320528393</v>
      </c>
      <c r="F278" s="341">
        <f ca="1">VLOOKUP($A278,$A$74:$ER$89,COLUMN($BE$71),0)</f>
        <v>801.37726105936645</v>
      </c>
      <c r="G278" s="341"/>
      <c r="H278" s="341"/>
      <c r="I278" s="341"/>
      <c r="J278" s="341"/>
      <c r="K278" s="341"/>
      <c r="L278" s="341"/>
      <c r="U278" s="9"/>
      <c r="BE278" s="469"/>
      <c r="BF278" s="469"/>
      <c r="BG278" s="469"/>
      <c r="BH278" s="469"/>
      <c r="BI278" s="469"/>
      <c r="BJ278" s="469"/>
      <c r="BK278" s="469"/>
      <c r="BL278" s="469"/>
      <c r="BM278" s="469"/>
      <c r="BN278" s="469"/>
      <c r="BO278" s="967"/>
      <c r="BP278" s="469"/>
      <c r="BQ278" s="469"/>
      <c r="BR278" s="258" t="s">
        <v>111</v>
      </c>
      <c r="BS278" s="341">
        <f ca="1">VLOOKUP($A278,$A$74:$ER$89,COLUMN($EC$71),0)</f>
        <v>2259.1504125404981</v>
      </c>
      <c r="BT278" s="341">
        <f ca="1">VLOOKUP($A278,$A$74:$ER$89,COLUMN($EH$71),0)</f>
        <v>765.05371745124125</v>
      </c>
      <c r="BU278" s="341">
        <f ca="1">VLOOKUP($A278,$A$74:$ER$89,COLUMN($EI$71),0)</f>
        <v>583.96887700108937</v>
      </c>
      <c r="BV278" s="469"/>
      <c r="CI278" s="9"/>
      <c r="CJ278" s="9"/>
      <c r="CK278" s="9"/>
      <c r="CL278" s="9"/>
      <c r="CM278" s="9"/>
      <c r="CN278" s="9"/>
      <c r="CO278" s="9"/>
      <c r="CP278" s="9"/>
      <c r="CQ278" s="9"/>
      <c r="CR278" s="9"/>
      <c r="CS278" s="9"/>
      <c r="CT278" s="9"/>
      <c r="CU278" s="9"/>
      <c r="CV278" s="9"/>
      <c r="CW278" s="9"/>
      <c r="CX278" s="9"/>
      <c r="CY278" s="9"/>
      <c r="CZ278" s="9"/>
      <c r="DA278" s="9"/>
      <c r="DB278" s="9"/>
      <c r="DC278" s="9"/>
      <c r="DD278" s="9"/>
      <c r="DE278" s="9"/>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9"/>
      <c r="EK278" s="258" t="s">
        <v>111</v>
      </c>
      <c r="EL278" s="972">
        <f ca="1">VLOOKUP($A278,$A$74:$ER$89,COLUMN($EL$71),0)</f>
        <v>1844.9032244551508</v>
      </c>
      <c r="EM278" s="972">
        <f ca="1">VLOOKUP($A278,$A$74:$ER$89,COLUMN($EQ$71),0)</f>
        <v>805.77524702112635</v>
      </c>
      <c r="EN278" s="972">
        <f ca="1">VLOOKUP($A278,$A$74:$ER$89,COLUMN($ER$71),0)</f>
        <v>759.67814200865746</v>
      </c>
      <c r="EO278" s="972" t="e">
        <f>INDEX(SSC_Combined_UnitWTP_HH,MATCH($A278,SSC_WTP_OPTIONS,0))</f>
        <v>#NAME?</v>
      </c>
      <c r="EP278" s="972" t="e">
        <f>INDEX(SSC_Combined_UnitWTP_HH_LD,MATCH($A278,SSC_WTP_OPTIONS,0))</f>
        <v>#NAME?</v>
      </c>
      <c r="EQ278" s="972" t="e">
        <f>INDEX(SSC_Combined_UnitWTP_HH_HD,MATCH($A278,SSC_WTP_OPTIONS,0))</f>
        <v>#NAME?</v>
      </c>
      <c r="ER278" s="972" t="e">
        <f>INDEX(SSC_Combined_UnitWTP_NHH,MATCH($A278,SSC_WTP_OPTIONS,0))</f>
        <v>#NAME?</v>
      </c>
      <c r="ES278" s="972" t="e">
        <f>INDEX(SSC_Combined_UnitWTP_NHH_LD,MATCH($A278,SSC_WTP_OPTIONS,0))</f>
        <v>#NAME?</v>
      </c>
      <c r="ET278" s="972" t="e">
        <f>INDEX(SSC_Combined_UnitWTP_NHH_HD,MATCH($A278,SSC_WTP_OPTIONS,0))</f>
        <v>#NAME?</v>
      </c>
    </row>
    <row r="279" spans="1:150" ht="45" x14ac:dyDescent="0.3">
      <c r="A279" s="644" t="s">
        <v>1072</v>
      </c>
      <c r="D279" s="348" t="s">
        <v>207</v>
      </c>
      <c r="E279" s="347" t="s">
        <v>443</v>
      </c>
      <c r="F279" s="347" t="s">
        <v>972</v>
      </c>
      <c r="G279" s="788" t="s">
        <v>1047</v>
      </c>
      <c r="H279" s="347" t="s">
        <v>984</v>
      </c>
      <c r="I279" s="347" t="s">
        <v>448</v>
      </c>
      <c r="J279" s="348" t="s">
        <v>877</v>
      </c>
      <c r="K279" s="348" t="s">
        <v>876</v>
      </c>
      <c r="L279" s="347" t="s">
        <v>444</v>
      </c>
      <c r="M279" s="347" t="s">
        <v>446</v>
      </c>
      <c r="N279" s="347" t="s">
        <v>445</v>
      </c>
      <c r="O279" s="347" t="s">
        <v>447</v>
      </c>
      <c r="P279" s="987" t="s">
        <v>1051</v>
      </c>
      <c r="Q279" s="987" t="s">
        <v>1052</v>
      </c>
      <c r="BE279" s="873"/>
      <c r="BF279" s="991"/>
      <c r="BG279" s="991"/>
      <c r="BH279" s="991"/>
      <c r="BI279" s="991"/>
      <c r="BJ279" s="991"/>
      <c r="BK279" s="991"/>
      <c r="BL279" s="991"/>
      <c r="BM279" s="991"/>
      <c r="BN279" s="991"/>
      <c r="BO279" s="966"/>
      <c r="BP279" s="546"/>
      <c r="BQ279" s="546"/>
      <c r="BR279" s="546"/>
      <c r="BS279" s="546" t="s">
        <v>207</v>
      </c>
      <c r="BT279" s="347" t="s">
        <v>443</v>
      </c>
      <c r="BU279" s="347" t="s">
        <v>972</v>
      </c>
      <c r="BV279" s="788" t="s">
        <v>1047</v>
      </c>
      <c r="BW279" s="347" t="s">
        <v>984</v>
      </c>
      <c r="BX279" s="959" t="s">
        <v>448</v>
      </c>
      <c r="BY279" s="348" t="s">
        <v>877</v>
      </c>
      <c r="BZ279" s="348" t="s">
        <v>876</v>
      </c>
      <c r="CA279" s="347" t="s">
        <v>444</v>
      </c>
      <c r="CB279" s="347" t="s">
        <v>446</v>
      </c>
      <c r="CC279" s="347" t="s">
        <v>445</v>
      </c>
      <c r="CD279" s="347" t="s">
        <v>447</v>
      </c>
      <c r="CE279" s="63" t="s">
        <v>1051</v>
      </c>
      <c r="CF279" s="63" t="s">
        <v>1052</v>
      </c>
      <c r="CI279" s="9"/>
      <c r="CJ279" s="9"/>
      <c r="CK279" s="9"/>
      <c r="CL279" s="9"/>
      <c r="CM279" s="9"/>
      <c r="CN279" s="9"/>
      <c r="CO279" s="9"/>
      <c r="CP279" s="9"/>
      <c r="CQ279" s="9"/>
      <c r="CR279" s="9"/>
      <c r="CS279" s="9"/>
      <c r="CT279" s="9"/>
      <c r="CU279" s="9"/>
      <c r="CV279" s="9"/>
      <c r="CW279" s="9"/>
      <c r="CX279" s="9"/>
      <c r="CY279" s="9"/>
      <c r="CZ279" s="9"/>
      <c r="DA279" s="9"/>
      <c r="DB279" s="9"/>
      <c r="DC279" s="9"/>
      <c r="DD279" s="9"/>
      <c r="DE279" s="9"/>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9"/>
    </row>
    <row r="280" spans="1:150" x14ac:dyDescent="0.25">
      <c r="A280" s="258" t="s">
        <v>111</v>
      </c>
      <c r="B280" s="9" t="s">
        <v>271</v>
      </c>
      <c r="C280" s="236" t="s">
        <v>398</v>
      </c>
      <c r="D280" s="341">
        <f ca="1">VLOOKUP($A280,$A$26:$ER$41,COLUMN($AY$23),0)</f>
        <v>643.58805311383639</v>
      </c>
      <c r="E280" s="341">
        <f ca="1">VLOOKUP($A280,$A$26:$ER$41,COLUMN($D$23),0)</f>
        <v>786.41095890410963</v>
      </c>
      <c r="F280" s="341"/>
      <c r="G280" s="341"/>
      <c r="H280" s="341"/>
      <c r="I280" s="341" t="str">
        <f>VLOOKUP($A280,$A$26:$ER$41,COLUMN($P$23),0)</f>
        <v/>
      </c>
      <c r="J280" s="341"/>
      <c r="K280" s="341">
        <f ca="1">VLOOKUP($A280,$A$26:$ER$41,COLUMN($T$23),0)</f>
        <v>339.69294707005673</v>
      </c>
      <c r="L280" s="341">
        <f ca="1">VLOOKUP($A280,$A$26:$ER$41,COLUMN($H$23),0)</f>
        <v>638.18896918362577</v>
      </c>
      <c r="M280" s="341">
        <f ca="1">VLOOKUP($A280,$A$26:$ER$41,COLUMN($M$23),0)</f>
        <v>386.9897038569444</v>
      </c>
      <c r="N280" s="341"/>
      <c r="O280" s="341"/>
      <c r="P280" s="341">
        <f ca="1">VLOOKUP($A280,$A$26:$ER$41,COLUMN($BD$23),0)</f>
        <v>243.11608483502368</v>
      </c>
      <c r="Q280" s="341">
        <f ca="1">VLOOKUP($A280,$A$26:$ER$41,COLUMN($BE$23),0)</f>
        <v>186.85010545413661</v>
      </c>
      <c r="U280" s="9"/>
      <c r="BE280" s="469"/>
      <c r="BF280" s="469"/>
      <c r="BG280" s="469"/>
      <c r="BH280" s="469"/>
      <c r="BI280" s="469"/>
      <c r="BJ280" s="469"/>
      <c r="BK280" s="469"/>
      <c r="BL280" s="469"/>
      <c r="BM280" s="469"/>
      <c r="BN280" s="469"/>
      <c r="BO280" s="967"/>
      <c r="BP280" s="469"/>
      <c r="BQ280" s="469"/>
      <c r="BR280" s="258" t="s">
        <v>111</v>
      </c>
      <c r="BS280" s="341">
        <f ca="1">VLOOKUP($A280,$A$26:$ER$41,COLUMN($EC$23),0)</f>
        <v>336.46796551960944</v>
      </c>
      <c r="BT280" s="341">
        <f ca="1">VLOOKUP($A280,$A$26:$ER$41,COLUMN($BP$23),0)</f>
        <v>387.61643835616439</v>
      </c>
      <c r="BU280" s="341"/>
      <c r="BV280" s="341"/>
      <c r="BW280" s="341"/>
      <c r="BY280" s="341"/>
      <c r="BZ280" s="341">
        <f ca="1">VLOOKUP($A280,$A$26:$ER$41,COLUMN($CF$23),0)</f>
        <v>579.02531657079192</v>
      </c>
      <c r="CA280" s="341">
        <f ca="1">VLOOKUP($A280,$A$26:$ER$41,COLUMN($BT$23),0)</f>
        <v>260.94257092981854</v>
      </c>
      <c r="CB280" s="341">
        <f ca="1">VLOOKUP($A280,$A$26:$ER$41,COLUMN($BY$23),0)</f>
        <v>40.367512301788949</v>
      </c>
      <c r="CC280" s="341" t="str">
        <f>VLOOKUP($A280,$A$26:$ER$41,COLUMN($BZ$23),0)</f>
        <v/>
      </c>
      <c r="CD280" s="341" t="str">
        <f>VLOOKUP($A280,$A$26:$ER$41,COLUMN($CA$23),0)</f>
        <v/>
      </c>
      <c r="CE280" s="341">
        <f ca="1">VLOOKUP($A280,$A$26:$ER$41,COLUMN($EH$23),0)</f>
        <v>236.88036257425637</v>
      </c>
      <c r="CF280" s="341">
        <f ca="1">VLOOKUP($A280,$A$26:$ER$41,COLUMN($EI$23),0)</f>
        <v>194.04588084094604</v>
      </c>
      <c r="CI280" s="9"/>
      <c r="CJ280" s="9"/>
      <c r="CK280" s="9"/>
      <c r="CL280" s="9"/>
      <c r="CM280" s="9"/>
      <c r="CN280" s="9"/>
      <c r="CO280" s="9"/>
      <c r="CP280" s="9"/>
      <c r="CQ280" s="9"/>
      <c r="CR280" s="9"/>
      <c r="CS280" s="9"/>
      <c r="CT280" s="9"/>
      <c r="CU280" s="9"/>
      <c r="CV280" s="9"/>
      <c r="CW280" s="9"/>
      <c r="CX280" s="9"/>
      <c r="CY280" s="9"/>
      <c r="CZ280" s="9"/>
      <c r="DA280" s="9"/>
      <c r="DB280" s="9"/>
      <c r="DC280" s="9"/>
      <c r="DD280" s="9"/>
      <c r="DE280" s="9"/>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9"/>
    </row>
    <row r="281" spans="1:150" x14ac:dyDescent="0.25">
      <c r="U281" s="9"/>
      <c r="CI281" s="9"/>
      <c r="CJ281" s="9"/>
      <c r="CK281" s="9"/>
      <c r="CL281" s="9"/>
      <c r="CM281" s="9"/>
      <c r="CN281" s="9"/>
      <c r="CO281" s="9"/>
      <c r="CP281" s="9"/>
      <c r="CQ281" s="9"/>
      <c r="CR281" s="9"/>
      <c r="CS281" s="9"/>
      <c r="CT281" s="9"/>
      <c r="CU281" s="9"/>
      <c r="CV281" s="9"/>
      <c r="CW281" s="9"/>
      <c r="CX281" s="9"/>
      <c r="CY281" s="9"/>
      <c r="CZ281" s="9"/>
      <c r="DA281" s="9"/>
      <c r="DB281" s="9"/>
      <c r="DC281" s="9"/>
      <c r="DD281" s="9"/>
      <c r="DE281" s="9"/>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9"/>
    </row>
    <row r="282" spans="1:150" x14ac:dyDescent="0.25">
      <c r="U282" s="9"/>
      <c r="CI282" s="9"/>
      <c r="CJ282" s="9"/>
      <c r="CK282" s="9"/>
      <c r="CL282" s="9"/>
      <c r="CM282" s="9"/>
      <c r="CN282" s="9"/>
      <c r="CO282" s="9"/>
      <c r="CP282" s="9"/>
      <c r="CQ282" s="9"/>
      <c r="CR282" s="9"/>
      <c r="CS282" s="9"/>
      <c r="CT282" s="9"/>
      <c r="CU282" s="9"/>
      <c r="CV282" s="9"/>
      <c r="CW282" s="9"/>
      <c r="CX282" s="9"/>
      <c r="CY282" s="9"/>
      <c r="CZ282" s="9"/>
      <c r="DA282" s="9"/>
      <c r="DB282" s="9"/>
      <c r="DC282" s="9"/>
      <c r="DD282" s="9"/>
      <c r="DE282" s="9"/>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9"/>
    </row>
    <row r="283" spans="1:150" ht="45" x14ac:dyDescent="0.3">
      <c r="A283" s="644" t="s">
        <v>1079</v>
      </c>
      <c r="D283" s="348" t="s">
        <v>207</v>
      </c>
      <c r="E283" s="347" t="s">
        <v>443</v>
      </c>
      <c r="F283" s="347" t="s">
        <v>972</v>
      </c>
      <c r="G283" s="788" t="s">
        <v>1047</v>
      </c>
      <c r="H283" s="347" t="s">
        <v>984</v>
      </c>
      <c r="I283" s="347" t="s">
        <v>448</v>
      </c>
      <c r="J283" s="348" t="s">
        <v>877</v>
      </c>
      <c r="K283" s="348" t="s">
        <v>876</v>
      </c>
      <c r="L283" s="347" t="s">
        <v>444</v>
      </c>
      <c r="M283" s="347" t="s">
        <v>446</v>
      </c>
      <c r="N283" s="347" t="s">
        <v>445</v>
      </c>
      <c r="O283" s="347" t="s">
        <v>447</v>
      </c>
      <c r="P283" s="987" t="s">
        <v>1051</v>
      </c>
      <c r="Q283" s="987" t="s">
        <v>1052</v>
      </c>
      <c r="U283" s="9"/>
      <c r="BR283" s="546"/>
      <c r="BS283" s="546" t="s">
        <v>207</v>
      </c>
      <c r="BT283" s="347" t="s">
        <v>443</v>
      </c>
      <c r="BU283" s="347" t="s">
        <v>972</v>
      </c>
      <c r="BV283" s="788" t="s">
        <v>1047</v>
      </c>
      <c r="BW283" s="347" t="s">
        <v>984</v>
      </c>
      <c r="BX283" s="959" t="s">
        <v>448</v>
      </c>
      <c r="BY283" s="348" t="s">
        <v>877</v>
      </c>
      <c r="BZ283" s="348" t="s">
        <v>876</v>
      </c>
      <c r="CA283" s="347" t="s">
        <v>444</v>
      </c>
      <c r="CB283" s="347" t="s">
        <v>446</v>
      </c>
      <c r="CC283" s="347" t="s">
        <v>445</v>
      </c>
      <c r="CD283" s="347" t="s">
        <v>447</v>
      </c>
      <c r="CE283" s="63" t="s">
        <v>1051</v>
      </c>
      <c r="CF283" s="63" t="s">
        <v>1052</v>
      </c>
      <c r="CI283" s="9"/>
      <c r="CJ283" s="9"/>
      <c r="CK283" s="9"/>
      <c r="CL283" s="9"/>
      <c r="CM283" s="9"/>
      <c r="CN283" s="9"/>
      <c r="CO283" s="9"/>
      <c r="CP283" s="9"/>
      <c r="CQ283" s="9"/>
      <c r="CR283" s="9"/>
      <c r="CS283" s="9"/>
      <c r="CT283" s="9"/>
      <c r="CU283" s="9"/>
      <c r="CV283" s="9"/>
      <c r="CW283" s="9"/>
      <c r="CX283" s="9"/>
      <c r="CY283" s="9"/>
      <c r="CZ283" s="9"/>
      <c r="DA283" s="9"/>
      <c r="DB283" s="9"/>
      <c r="DC283" s="9"/>
      <c r="DD283" s="9"/>
      <c r="DE283" s="9"/>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9"/>
    </row>
    <row r="284" spans="1:150" x14ac:dyDescent="0.25">
      <c r="A284" s="258" t="s">
        <v>111</v>
      </c>
      <c r="B284" s="9" t="s">
        <v>271</v>
      </c>
      <c r="C284" s="236" t="s">
        <v>398</v>
      </c>
      <c r="D284" s="341">
        <f ca="1">VLOOKUP($A284,$A$50:$ER$65,COLUMN($AY$47),0)</f>
        <v>1102.149036332768</v>
      </c>
      <c r="E284" s="341">
        <f ca="1">VLOOKUP($A284,$A$50:$ER$65,COLUMN($D$47),0)</f>
        <v>896.9205479452055</v>
      </c>
      <c r="F284" s="341"/>
      <c r="G284" s="341"/>
      <c r="H284" s="341"/>
      <c r="I284" s="341" t="str">
        <f>VLOOKUP($A284,$A$50:$ER$65,COLUMN($P$47),0)</f>
        <v/>
      </c>
      <c r="J284" s="341"/>
      <c r="K284" s="341">
        <f ca="1">VLOOKUP($A284,$A$50:$ER$65,COLUMN($T$47),0)</f>
        <v>386.74510086994275</v>
      </c>
      <c r="L284" s="341">
        <f ca="1">VLOOKUP($A284,$A$50:$ER$65,COLUMN($H$47),0)</f>
        <v>1870.3079808393054</v>
      </c>
      <c r="M284" s="341"/>
      <c r="N284" s="341"/>
      <c r="O284" s="341"/>
      <c r="P284" s="32">
        <f ca="1">VLOOKUP($A284,$A$50:$ER$65,COLUMN($BD$47),0)</f>
        <v>572.32314837026024</v>
      </c>
      <c r="Q284" s="32">
        <f ca="1">VLOOKUP($A284,$A$50:$ER$65,COLUMN($BE$47),0)</f>
        <v>614.52715560523006</v>
      </c>
      <c r="U284" s="9"/>
      <c r="BR284" s="258" t="s">
        <v>111</v>
      </c>
      <c r="BS284" s="341">
        <f ca="1">VLOOKUP($A284,$A$50:$ER$65,COLUMN($EC$47),0)</f>
        <v>1922.6824470208885</v>
      </c>
      <c r="BT284" s="341">
        <f ca="1">VLOOKUP($A284,$A$50:$ER$65,COLUMN($BP$47),0)</f>
        <v>1683.2876712328768</v>
      </c>
      <c r="BU284" s="341"/>
      <c r="BV284" s="341"/>
      <c r="BW284" s="341"/>
      <c r="BY284" s="341"/>
      <c r="BZ284" s="341">
        <f ca="1">VLOOKUP($A284,$A$50:$ER$65,COLUMN($CF$47),0)</f>
        <v>1905.4540597725761</v>
      </c>
      <c r="CA284" s="341">
        <f ca="1">VLOOKUP($A284,$A$50:$ER$65,COLUMN($BT$47),0)</f>
        <v>2410.0861922210679</v>
      </c>
      <c r="CB284" s="341"/>
      <c r="CC284" s="341" t="str">
        <f>VLOOKUP($A284,$A$26:$ER$41,COLUMN($BZ$23),0)</f>
        <v/>
      </c>
      <c r="CD284" s="341" t="str">
        <f>VLOOKUP($A284,$A$26:$ER$41,COLUMN($CA$23),0)</f>
        <v/>
      </c>
      <c r="CE284" s="341">
        <f ca="1">VLOOKUP($A284,$A$50:$ER$65,COLUMN($EH$47),0)</f>
        <v>528.17335487698483</v>
      </c>
      <c r="CF284" s="341">
        <f ca="1">VLOOKUP($A284,$A$50:$ER$65,COLUMN($EI$47),0)</f>
        <v>389.92299616014361</v>
      </c>
      <c r="CI284" s="9"/>
      <c r="CJ284" s="9"/>
      <c r="CK284" s="9"/>
      <c r="CL284" s="9"/>
      <c r="CM284" s="9"/>
      <c r="CN284" s="9"/>
      <c r="CO284" s="9"/>
      <c r="CP284" s="9"/>
      <c r="CQ284" s="9"/>
      <c r="CR284" s="9"/>
      <c r="CS284" s="9"/>
      <c r="CT284" s="9"/>
      <c r="CU284" s="9"/>
      <c r="CV284" s="9"/>
      <c r="CW284" s="9"/>
      <c r="CX284" s="9"/>
      <c r="CY284" s="9"/>
      <c r="CZ284" s="9"/>
      <c r="DA284" s="9"/>
      <c r="DB284" s="9"/>
      <c r="DC284" s="9"/>
      <c r="DD284" s="9"/>
      <c r="DE284" s="9"/>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9"/>
    </row>
    <row r="285" spans="1:150" x14ac:dyDescent="0.25">
      <c r="U285" s="9"/>
      <c r="CC285" s="341"/>
      <c r="CD285" s="341"/>
      <c r="CE285" s="341"/>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9"/>
      <c r="DP285" s="9"/>
      <c r="DQ285" s="9"/>
      <c r="DR285" s="9"/>
      <c r="DS285" s="9"/>
      <c r="DT285" s="9"/>
      <c r="DU285" s="9"/>
      <c r="DV285" s="9"/>
      <c r="DW285" s="9"/>
      <c r="DX285" s="9"/>
      <c r="DY285" s="9"/>
      <c r="DZ285" s="9"/>
      <c r="EA285" s="9"/>
      <c r="EB285" s="9"/>
      <c r="EC285" s="9"/>
      <c r="ED285" s="9"/>
      <c r="EE285" s="9"/>
      <c r="EF285" s="9"/>
      <c r="EG285" s="9"/>
      <c r="EH285" s="9"/>
    </row>
    <row r="286" spans="1:150" x14ac:dyDescent="0.25">
      <c r="U286" s="9"/>
      <c r="CI286" s="9"/>
      <c r="CJ286" s="9"/>
      <c r="CK286" s="9"/>
      <c r="CL286" s="9"/>
      <c r="CM286" s="9"/>
      <c r="CN286" s="9"/>
      <c r="CO286" s="9"/>
      <c r="CP286" s="9"/>
      <c r="CQ286" s="9"/>
      <c r="CR286" s="9"/>
      <c r="CS286" s="9"/>
      <c r="CT286" s="9"/>
      <c r="CU286" s="9"/>
      <c r="CV286" s="9"/>
      <c r="CW286" s="9"/>
      <c r="CX286" s="9"/>
      <c r="CY286" s="9"/>
      <c r="CZ286" s="9"/>
      <c r="DA286" s="9"/>
      <c r="DB286" s="9"/>
      <c r="DC286" s="9"/>
      <c r="DD286" s="9"/>
      <c r="DE286" s="9"/>
      <c r="DF286" s="9"/>
      <c r="DG286" s="9"/>
      <c r="DH286" s="9"/>
      <c r="DI286" s="9"/>
      <c r="DJ286" s="9"/>
      <c r="DK286" s="9"/>
      <c r="DL286" s="9"/>
      <c r="DM286" s="9"/>
      <c r="DN286" s="9"/>
      <c r="DO286" s="9"/>
      <c r="DP286" s="9"/>
      <c r="DQ286" s="9"/>
      <c r="DR286" s="9"/>
      <c r="DS286" s="9"/>
      <c r="DT286" s="9"/>
      <c r="DU286" s="9"/>
      <c r="DV286" s="9"/>
      <c r="DW286" s="9"/>
      <c r="DX286" s="9"/>
      <c r="DY286" s="9"/>
      <c r="DZ286" s="9"/>
      <c r="EA286" s="9"/>
      <c r="EB286" s="9"/>
      <c r="EC286" s="9"/>
      <c r="ED286" s="9"/>
      <c r="EE286" s="9"/>
      <c r="EF286" s="9"/>
      <c r="EG286" s="9"/>
      <c r="EH286" s="9"/>
    </row>
    <row r="287" spans="1:150" x14ac:dyDescent="0.25">
      <c r="U287" s="9"/>
      <c r="CI287" s="9"/>
      <c r="CJ287" s="9"/>
      <c r="CK287" s="9"/>
      <c r="CL287" s="9"/>
      <c r="CM287" s="9"/>
      <c r="CN287" s="9"/>
      <c r="CO287" s="9"/>
      <c r="CP287" s="9"/>
      <c r="CQ287" s="9"/>
      <c r="CR287" s="9"/>
      <c r="CS287" s="9"/>
      <c r="CT287" s="9"/>
      <c r="CU287" s="9"/>
      <c r="CV287" s="9"/>
      <c r="CW287" s="9"/>
      <c r="CX287" s="9"/>
      <c r="CY287" s="9"/>
      <c r="CZ287" s="9"/>
      <c r="DA287" s="9"/>
      <c r="DB287" s="9"/>
      <c r="DC287" s="9"/>
      <c r="DD287" s="9"/>
      <c r="DE287" s="9"/>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9"/>
    </row>
    <row r="288" spans="1:150" x14ac:dyDescent="0.25">
      <c r="U288" s="9"/>
      <c r="CI288" s="9"/>
      <c r="CJ288" s="9"/>
      <c r="CK288" s="9"/>
      <c r="CL288" s="9"/>
      <c r="CM288" s="9"/>
      <c r="CN288" s="9"/>
      <c r="CO288" s="9"/>
      <c r="CP288" s="9"/>
      <c r="CQ288" s="9"/>
      <c r="CR288" s="9"/>
      <c r="CS288" s="9"/>
      <c r="CT288" s="9"/>
      <c r="CU288" s="9"/>
      <c r="CV288" s="9"/>
      <c r="CW288" s="9"/>
      <c r="CX288" s="9"/>
      <c r="CY288" s="9"/>
      <c r="CZ288" s="9"/>
      <c r="DA288" s="9"/>
      <c r="DB288" s="9"/>
      <c r="DC288" s="9"/>
      <c r="DD288" s="9"/>
      <c r="DE288" s="9"/>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9"/>
    </row>
    <row r="289" spans="21:138" x14ac:dyDescent="0.25">
      <c r="U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9"/>
    </row>
    <row r="290" spans="21:138" x14ac:dyDescent="0.25">
      <c r="U290" s="9"/>
      <c r="CI290" s="9"/>
      <c r="CJ290" s="9"/>
      <c r="CK290" s="9"/>
      <c r="CL290" s="9"/>
      <c r="CM290" s="9"/>
      <c r="CN290" s="9"/>
      <c r="CO290" s="9"/>
      <c r="CP290" s="9"/>
      <c r="CQ290" s="9"/>
      <c r="CR290" s="9"/>
      <c r="CS290" s="9"/>
      <c r="CT290" s="9"/>
      <c r="CU290" s="9"/>
      <c r="CV290" s="9"/>
      <c r="CW290" s="9"/>
      <c r="CX290" s="9"/>
      <c r="CY290" s="9"/>
      <c r="CZ290" s="9"/>
      <c r="DA290" s="9"/>
      <c r="DB290" s="9"/>
      <c r="DC290" s="9"/>
      <c r="DD290" s="9"/>
      <c r="DE290" s="9"/>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9"/>
    </row>
    <row r="291" spans="21:138" x14ac:dyDescent="0.25">
      <c r="U291" s="9"/>
      <c r="CI291" s="9"/>
      <c r="CJ291" s="9"/>
      <c r="CK291" s="9"/>
      <c r="CL291" s="9"/>
      <c r="CM291" s="9"/>
      <c r="CN291" s="9"/>
      <c r="CO291" s="9"/>
      <c r="CP291" s="9"/>
      <c r="CQ291" s="9"/>
      <c r="CR291" s="9"/>
      <c r="CS291" s="9"/>
      <c r="CT291" s="9"/>
      <c r="CU291" s="9"/>
      <c r="CV291" s="9"/>
      <c r="CW291" s="9"/>
      <c r="CX291" s="9"/>
      <c r="CY291" s="9"/>
      <c r="CZ291" s="9"/>
      <c r="DA291" s="9"/>
      <c r="DB291" s="9"/>
      <c r="DC291" s="9"/>
      <c r="DD291" s="9"/>
      <c r="DE291" s="9"/>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9"/>
    </row>
    <row r="292" spans="21:138" x14ac:dyDescent="0.25">
      <c r="U292" s="9"/>
      <c r="CI292" s="9"/>
      <c r="CJ292" s="9"/>
      <c r="CK292" s="9"/>
      <c r="CL292" s="9"/>
      <c r="CM292" s="9"/>
      <c r="CN292" s="9"/>
      <c r="CO292" s="9"/>
      <c r="CP292" s="9"/>
      <c r="CQ292" s="9"/>
      <c r="CR292" s="9"/>
      <c r="CS292" s="9"/>
      <c r="CT292" s="9"/>
      <c r="CU292" s="9"/>
      <c r="CV292" s="9"/>
      <c r="CW292" s="9"/>
      <c r="CX292" s="9"/>
      <c r="CY292" s="9"/>
      <c r="CZ292" s="9"/>
      <c r="DA292" s="9"/>
      <c r="DB292" s="9"/>
      <c r="DC292" s="9"/>
      <c r="DD292" s="9"/>
      <c r="DE292" s="9"/>
      <c r="DF292" s="9"/>
      <c r="DG292" s="9"/>
      <c r="DH292" s="9"/>
      <c r="DI292" s="9"/>
      <c r="DJ292" s="9"/>
      <c r="DK292" s="9"/>
      <c r="DL292" s="9"/>
      <c r="DM292" s="9"/>
      <c r="DN292" s="9"/>
      <c r="DO292" s="9"/>
      <c r="DP292" s="9"/>
      <c r="DQ292" s="9"/>
      <c r="DR292" s="9"/>
      <c r="DS292" s="9"/>
      <c r="DT292" s="9"/>
      <c r="DU292" s="9"/>
      <c r="DV292" s="9"/>
      <c r="DW292" s="9"/>
      <c r="DX292" s="9"/>
      <c r="DY292" s="9"/>
      <c r="DZ292" s="9"/>
      <c r="EA292" s="9"/>
      <c r="EB292" s="9"/>
      <c r="EC292" s="9"/>
      <c r="ED292" s="9"/>
      <c r="EE292" s="9"/>
      <c r="EF292" s="9"/>
      <c r="EG292" s="9"/>
      <c r="EH292" s="9"/>
    </row>
    <row r="293" spans="21:138" x14ac:dyDescent="0.25">
      <c r="U293" s="9"/>
      <c r="CI293" s="9"/>
      <c r="CJ293" s="9"/>
      <c r="CK293" s="9"/>
      <c r="CL293" s="9"/>
      <c r="CM293" s="9"/>
      <c r="CN293" s="9"/>
      <c r="CO293" s="9"/>
      <c r="CP293" s="9"/>
      <c r="CQ293" s="9"/>
      <c r="CR293" s="9"/>
      <c r="CS293" s="9"/>
      <c r="CT293" s="9"/>
      <c r="CU293" s="9"/>
      <c r="CV293" s="9"/>
      <c r="CW293" s="9"/>
      <c r="CX293" s="9"/>
      <c r="CY293" s="9"/>
      <c r="CZ293" s="9"/>
      <c r="DA293" s="9"/>
      <c r="DB293" s="9"/>
      <c r="DC293" s="9"/>
      <c r="DD293" s="9"/>
      <c r="DE293" s="9"/>
      <c r="DF293" s="9"/>
      <c r="DG293" s="9"/>
      <c r="DH293" s="9"/>
      <c r="DI293" s="9"/>
      <c r="DJ293" s="9"/>
      <c r="DK293" s="9"/>
      <c r="DL293" s="9"/>
      <c r="DM293" s="9"/>
      <c r="DN293" s="9"/>
      <c r="DO293" s="9"/>
      <c r="DP293" s="9"/>
      <c r="DQ293" s="9"/>
      <c r="DR293" s="9"/>
      <c r="DS293" s="9"/>
      <c r="DT293" s="9"/>
      <c r="DU293" s="9"/>
      <c r="DV293" s="9"/>
      <c r="DW293" s="9"/>
      <c r="DX293" s="9"/>
      <c r="DY293" s="9"/>
      <c r="DZ293" s="9"/>
      <c r="EA293" s="9"/>
      <c r="EB293" s="9"/>
      <c r="EC293" s="9"/>
      <c r="ED293" s="9"/>
      <c r="EE293" s="9"/>
      <c r="EF293" s="9"/>
      <c r="EG293" s="9"/>
      <c r="EH293" s="9"/>
    </row>
    <row r="294" spans="21:138" x14ac:dyDescent="0.25">
      <c r="U294" s="9"/>
      <c r="CI294" s="9"/>
      <c r="CJ294" s="9"/>
      <c r="CK294" s="9"/>
      <c r="CL294" s="9"/>
      <c r="CM294" s="9"/>
      <c r="CN294" s="9"/>
      <c r="CO294" s="9"/>
      <c r="CP294" s="9"/>
      <c r="CQ294" s="9"/>
      <c r="CR294" s="9"/>
      <c r="CS294" s="9"/>
      <c r="CT294" s="9"/>
      <c r="CU294" s="9"/>
      <c r="CV294" s="9"/>
      <c r="CW294" s="9"/>
      <c r="CX294" s="9"/>
      <c r="CY294" s="9"/>
      <c r="CZ294" s="9"/>
      <c r="DA294" s="9"/>
      <c r="DB294" s="9"/>
      <c r="DC294" s="9"/>
      <c r="DD294" s="9"/>
      <c r="DE294" s="9"/>
      <c r="DF294" s="9"/>
      <c r="DG294" s="9"/>
      <c r="DH294" s="9"/>
      <c r="DI294" s="9"/>
      <c r="DJ294" s="9"/>
      <c r="DK294" s="9"/>
      <c r="DL294" s="9"/>
      <c r="DM294" s="9"/>
      <c r="DN294" s="9"/>
      <c r="DO294" s="9"/>
      <c r="DP294" s="9"/>
      <c r="DQ294" s="9"/>
      <c r="DR294" s="9"/>
      <c r="DS294" s="9"/>
      <c r="DT294" s="9"/>
      <c r="DU294" s="9"/>
      <c r="DV294" s="9"/>
      <c r="DW294" s="9"/>
      <c r="DX294" s="9"/>
      <c r="DY294" s="9"/>
      <c r="DZ294" s="9"/>
      <c r="EA294" s="9"/>
      <c r="EB294" s="9"/>
      <c r="EC294" s="9"/>
      <c r="ED294" s="9"/>
      <c r="EE294" s="9"/>
      <c r="EF294" s="9"/>
      <c r="EG294" s="9"/>
      <c r="EH294" s="9"/>
    </row>
    <row r="295" spans="21:138" x14ac:dyDescent="0.25">
      <c r="U295" s="9"/>
      <c r="CI295" s="9"/>
      <c r="CJ295" s="9"/>
      <c r="CK295" s="9"/>
      <c r="CL295" s="9"/>
      <c r="CM295" s="9"/>
      <c r="CN295" s="9"/>
      <c r="CO295" s="9"/>
      <c r="CP295" s="9"/>
      <c r="CQ295" s="9"/>
      <c r="CR295" s="9"/>
      <c r="CS295" s="9"/>
      <c r="CT295" s="9"/>
      <c r="CU295" s="9"/>
      <c r="CV295" s="9"/>
      <c r="CW295" s="9"/>
      <c r="CX295" s="9"/>
      <c r="CY295" s="9"/>
      <c r="CZ295" s="9"/>
      <c r="DA295" s="9"/>
      <c r="DB295" s="9"/>
      <c r="DC295" s="9"/>
      <c r="DD295" s="9"/>
      <c r="DE295" s="9"/>
      <c r="DF295" s="9"/>
      <c r="DG295" s="9"/>
      <c r="DH295" s="9"/>
      <c r="DI295" s="9"/>
      <c r="DJ295" s="9"/>
      <c r="DK295" s="9"/>
      <c r="DL295" s="9"/>
      <c r="DM295" s="9"/>
      <c r="DN295" s="9"/>
      <c r="DO295" s="9"/>
      <c r="DP295" s="9"/>
      <c r="DQ295" s="9"/>
      <c r="DR295" s="9"/>
      <c r="DS295" s="9"/>
      <c r="DT295" s="9"/>
      <c r="DU295" s="9"/>
      <c r="DV295" s="9"/>
      <c r="DW295" s="9"/>
      <c r="DX295" s="9"/>
      <c r="DY295" s="9"/>
      <c r="DZ295" s="9"/>
      <c r="EA295" s="9"/>
      <c r="EB295" s="9"/>
      <c r="EC295" s="9"/>
      <c r="ED295" s="9"/>
      <c r="EE295" s="9"/>
      <c r="EF295" s="9"/>
      <c r="EG295" s="9"/>
      <c r="EH295" s="9"/>
    </row>
    <row r="296" spans="21:138" x14ac:dyDescent="0.25">
      <c r="U296" s="9"/>
      <c r="CX296" s="9"/>
      <c r="CY296" s="9"/>
      <c r="CZ296" s="9"/>
      <c r="DA296" s="9"/>
      <c r="DB296" s="9"/>
      <c r="DC296" s="9"/>
      <c r="DD296" s="9"/>
      <c r="DE296" s="9"/>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9"/>
    </row>
    <row r="297" spans="21:138" x14ac:dyDescent="0.25">
      <c r="U297" s="9"/>
      <c r="CX297" s="9"/>
      <c r="CY297" s="9"/>
      <c r="CZ297" s="9"/>
      <c r="DA297" s="9"/>
      <c r="DB297" s="9"/>
      <c r="DC297" s="9"/>
      <c r="DD297" s="9"/>
      <c r="DE297" s="9"/>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9"/>
    </row>
    <row r="298" spans="21:138" x14ac:dyDescent="0.25">
      <c r="U298" s="9"/>
      <c r="CX298" s="9"/>
      <c r="CY298" s="9"/>
      <c r="CZ298" s="9"/>
      <c r="DA298" s="9"/>
      <c r="DB298" s="9"/>
      <c r="DC298" s="9"/>
      <c r="DD298" s="9"/>
      <c r="DE298" s="9"/>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9"/>
    </row>
    <row r="299" spans="21:138" x14ac:dyDescent="0.25">
      <c r="U299" s="9"/>
      <c r="CX299" s="9"/>
      <c r="CY299" s="9"/>
      <c r="CZ299" s="9"/>
      <c r="DA299" s="9"/>
      <c r="DB299" s="9"/>
      <c r="DC299" s="9"/>
      <c r="DD299" s="9"/>
      <c r="DE299" s="9"/>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9"/>
    </row>
    <row r="300" spans="21:138" x14ac:dyDescent="0.25">
      <c r="U300" s="9"/>
      <c r="CX300" s="9"/>
      <c r="CY300" s="9"/>
      <c r="CZ300" s="9"/>
      <c r="DA300" s="9"/>
      <c r="DB300" s="9"/>
      <c r="DC300" s="9"/>
      <c r="DD300" s="9"/>
      <c r="DE300" s="9"/>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9"/>
    </row>
    <row r="301" spans="21:138" x14ac:dyDescent="0.25">
      <c r="U301" s="9"/>
      <c r="CX301" s="9"/>
      <c r="CY301" s="9"/>
      <c r="CZ301" s="9"/>
      <c r="DA301" s="9"/>
      <c r="DB301" s="9"/>
      <c r="DC301" s="9"/>
      <c r="DD301" s="9"/>
      <c r="DE301" s="9"/>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9"/>
    </row>
    <row r="302" spans="21:138" x14ac:dyDescent="0.25">
      <c r="U302" s="9"/>
      <c r="CX302" s="9"/>
      <c r="CY302" s="9"/>
      <c r="CZ302" s="9"/>
      <c r="DA302" s="9"/>
      <c r="DB302" s="9"/>
      <c r="DC302" s="9"/>
      <c r="DD302" s="9"/>
      <c r="DE302" s="9"/>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9"/>
    </row>
    <row r="303" spans="21:138" x14ac:dyDescent="0.25">
      <c r="U303" s="9"/>
      <c r="CX303" s="9"/>
      <c r="CY303" s="9"/>
      <c r="CZ303" s="9"/>
      <c r="DA303" s="9"/>
      <c r="DB303" s="9"/>
      <c r="DC303" s="9"/>
      <c r="DD303" s="9"/>
      <c r="DE303" s="9"/>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9"/>
    </row>
    <row r="304" spans="21:138" x14ac:dyDescent="0.25">
      <c r="U304" s="9"/>
      <c r="CX304" s="9"/>
      <c r="CY304" s="9"/>
      <c r="CZ304" s="9"/>
      <c r="DA304" s="9"/>
      <c r="DB304" s="9"/>
      <c r="DC304" s="9"/>
      <c r="DD304" s="9"/>
      <c r="DE304" s="9"/>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9"/>
    </row>
    <row r="305" spans="21:138" x14ac:dyDescent="0.25">
      <c r="U305" s="9"/>
      <c r="CX305" s="9"/>
      <c r="CY305" s="9"/>
      <c r="CZ305" s="9"/>
      <c r="DA305" s="9"/>
      <c r="DB305" s="9"/>
      <c r="DC305" s="9"/>
      <c r="DD305" s="9"/>
      <c r="DE305" s="9"/>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9"/>
    </row>
    <row r="306" spans="21:138" x14ac:dyDescent="0.25">
      <c r="U306" s="9"/>
      <c r="CX306" s="9"/>
      <c r="CY306" s="9"/>
      <c r="CZ306" s="9"/>
      <c r="DA306" s="9"/>
      <c r="DB306" s="9"/>
      <c r="DC306" s="9"/>
      <c r="DD306" s="9"/>
      <c r="DE306" s="9"/>
      <c r="DF306" s="9"/>
      <c r="DG306" s="9"/>
      <c r="DH306" s="9"/>
      <c r="DI306" s="9"/>
      <c r="DJ306" s="9"/>
      <c r="DK306" s="9"/>
      <c r="DL306" s="9"/>
      <c r="DM306" s="9"/>
      <c r="DN306" s="9"/>
      <c r="DO306" s="9"/>
      <c r="DP306" s="9"/>
      <c r="DQ306" s="9"/>
      <c r="DR306" s="9"/>
      <c r="DS306" s="9"/>
      <c r="DT306" s="9"/>
      <c r="DU306" s="9"/>
      <c r="DV306" s="9"/>
      <c r="DW306" s="9"/>
      <c r="DX306" s="9"/>
      <c r="DY306" s="9"/>
      <c r="DZ306" s="9"/>
      <c r="EA306" s="9"/>
      <c r="EB306" s="9"/>
      <c r="EC306" s="9"/>
      <c r="ED306" s="9"/>
      <c r="EE306" s="9"/>
      <c r="EF306" s="9"/>
      <c r="EG306" s="9"/>
      <c r="EH306" s="9"/>
    </row>
    <row r="307" spans="21:138" x14ac:dyDescent="0.25">
      <c r="U307" s="9"/>
      <c r="CX307" s="9"/>
      <c r="CY307" s="9"/>
      <c r="CZ307" s="9"/>
      <c r="DA307" s="9"/>
      <c r="DB307" s="9"/>
      <c r="DC307" s="9"/>
      <c r="DD307" s="9"/>
      <c r="DE307" s="9"/>
      <c r="DF307" s="9"/>
      <c r="DG307" s="9"/>
      <c r="DH307" s="9"/>
      <c r="DI307" s="9"/>
      <c r="DJ307" s="9"/>
      <c r="DK307" s="9"/>
      <c r="DL307" s="9"/>
      <c r="DM307" s="9"/>
      <c r="DN307" s="9"/>
      <c r="DO307" s="9"/>
      <c r="DP307" s="9"/>
      <c r="DQ307" s="9"/>
      <c r="DR307" s="9"/>
      <c r="DS307" s="9"/>
      <c r="DT307" s="9"/>
      <c r="DU307" s="9"/>
      <c r="DV307" s="9"/>
      <c r="DW307" s="9"/>
      <c r="DX307" s="9"/>
      <c r="DY307" s="9"/>
      <c r="DZ307" s="9"/>
      <c r="EA307" s="9"/>
      <c r="EB307" s="9"/>
      <c r="EC307" s="9"/>
      <c r="ED307" s="9"/>
      <c r="EE307" s="9"/>
      <c r="EF307" s="9"/>
      <c r="EG307" s="9"/>
      <c r="EH307" s="9"/>
    </row>
    <row r="308" spans="21:138" x14ac:dyDescent="0.25">
      <c r="U308" s="9"/>
      <c r="CX308" s="9"/>
      <c r="CY308" s="9"/>
      <c r="CZ308" s="9"/>
      <c r="DA308" s="9"/>
      <c r="DB308" s="9"/>
      <c r="DC308" s="9"/>
      <c r="DD308" s="9"/>
      <c r="DE308" s="9"/>
      <c r="DF308" s="9"/>
      <c r="DG308" s="9"/>
      <c r="DH308" s="9"/>
      <c r="DI308" s="9"/>
      <c r="DJ308" s="9"/>
      <c r="DK308" s="9"/>
      <c r="DL308" s="9"/>
      <c r="DM308" s="9"/>
      <c r="DN308" s="9"/>
      <c r="DO308" s="9"/>
      <c r="DP308" s="9"/>
      <c r="DQ308" s="9"/>
      <c r="DR308" s="9"/>
      <c r="DS308" s="9"/>
      <c r="DT308" s="9"/>
      <c r="DU308" s="9"/>
      <c r="DV308" s="9"/>
      <c r="DW308" s="9"/>
      <c r="DX308" s="9"/>
      <c r="DY308" s="9"/>
      <c r="DZ308" s="9"/>
      <c r="EA308" s="9"/>
      <c r="EB308" s="9"/>
      <c r="EC308" s="9"/>
      <c r="ED308" s="9"/>
      <c r="EE308" s="9"/>
      <c r="EF308" s="9"/>
      <c r="EG308" s="9"/>
      <c r="EH308" s="9"/>
    </row>
    <row r="309" spans="21:138" x14ac:dyDescent="0.25">
      <c r="U309" s="9"/>
      <c r="CX309" s="9"/>
      <c r="CY309" s="9"/>
      <c r="CZ309" s="9"/>
      <c r="DA309" s="9"/>
      <c r="DB309" s="9"/>
      <c r="DC309" s="9"/>
      <c r="DD309" s="9"/>
      <c r="DE309" s="9"/>
      <c r="DF309" s="9"/>
      <c r="DG309" s="9"/>
      <c r="DH309" s="9"/>
      <c r="DI309" s="9"/>
      <c r="DJ309" s="9"/>
      <c r="DK309" s="9"/>
      <c r="DL309" s="9"/>
      <c r="DM309" s="9"/>
      <c r="DN309" s="9"/>
      <c r="DO309" s="9"/>
      <c r="DP309" s="9"/>
      <c r="DQ309" s="9"/>
      <c r="DR309" s="9"/>
      <c r="DS309" s="9"/>
      <c r="DT309" s="9"/>
      <c r="DU309" s="9"/>
      <c r="DV309" s="9"/>
      <c r="DW309" s="9"/>
      <c r="DX309" s="9"/>
      <c r="DY309" s="9"/>
      <c r="DZ309" s="9"/>
      <c r="EA309" s="9"/>
      <c r="EB309" s="9"/>
      <c r="EC309" s="9"/>
      <c r="ED309" s="9"/>
      <c r="EE309" s="9"/>
      <c r="EF309" s="9"/>
      <c r="EG309" s="9"/>
      <c r="EH309" s="9"/>
    </row>
    <row r="310" spans="21:138" x14ac:dyDescent="0.25">
      <c r="U310" s="9"/>
      <c r="CX310" s="9"/>
      <c r="CY310" s="9"/>
      <c r="CZ310" s="9"/>
      <c r="DA310" s="9"/>
      <c r="DB310" s="9"/>
      <c r="DC310" s="9"/>
      <c r="DD310" s="9"/>
      <c r="DE310" s="9"/>
      <c r="DF310" s="9"/>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9"/>
      <c r="EH310" s="9"/>
    </row>
    <row r="311" spans="21:138" x14ac:dyDescent="0.25">
      <c r="U311" s="9"/>
      <c r="CX311" s="9"/>
      <c r="CY311" s="9"/>
      <c r="CZ311" s="9"/>
      <c r="DA311" s="9"/>
      <c r="DB311" s="9"/>
      <c r="DC311" s="9"/>
      <c r="DD311" s="9"/>
      <c r="DE311" s="9"/>
      <c r="DF311" s="9"/>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9"/>
      <c r="EH311" s="9"/>
    </row>
    <row r="312" spans="21:138" x14ac:dyDescent="0.25">
      <c r="U312" s="9"/>
      <c r="CX312" s="9"/>
      <c r="CY312" s="9"/>
      <c r="CZ312" s="9"/>
      <c r="DA312" s="9"/>
      <c r="DB312" s="9"/>
      <c r="DC312" s="9"/>
      <c r="DD312" s="9"/>
      <c r="DE312" s="9"/>
      <c r="DF312" s="9"/>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9"/>
      <c r="EH312" s="9"/>
    </row>
    <row r="313" spans="21:138" x14ac:dyDescent="0.25">
      <c r="U313" s="9"/>
      <c r="CX313" s="9"/>
      <c r="CY313" s="9"/>
      <c r="CZ313" s="9"/>
      <c r="DA313" s="9"/>
      <c r="DB313" s="9"/>
      <c r="DC313" s="9"/>
      <c r="DD313" s="9"/>
      <c r="DE313" s="9"/>
      <c r="DF313" s="9"/>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9"/>
      <c r="EH313" s="9"/>
    </row>
    <row r="314" spans="21:138" x14ac:dyDescent="0.25">
      <c r="U314" s="9"/>
      <c r="CX314" s="9"/>
      <c r="CY314" s="9"/>
      <c r="CZ314" s="9"/>
      <c r="DA314" s="9"/>
      <c r="DB314" s="9"/>
      <c r="DC314" s="9"/>
      <c r="DD314" s="9"/>
      <c r="DE314" s="9"/>
      <c r="DF314" s="9"/>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9"/>
      <c r="EH314" s="9"/>
    </row>
    <row r="315" spans="21:138" x14ac:dyDescent="0.25">
      <c r="U315" s="9"/>
      <c r="CX315" s="9"/>
      <c r="CY315" s="9"/>
      <c r="CZ315" s="9"/>
      <c r="DA315" s="9"/>
      <c r="DB315" s="9"/>
      <c r="DC315" s="9"/>
      <c r="DD315" s="9"/>
      <c r="DE315" s="9"/>
      <c r="DF315" s="9"/>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9"/>
      <c r="EH315" s="9"/>
    </row>
    <row r="316" spans="21:138" x14ac:dyDescent="0.25">
      <c r="U316" s="9"/>
      <c r="CX316" s="9"/>
      <c r="CY316" s="9"/>
      <c r="CZ316" s="9"/>
      <c r="DA316" s="9"/>
      <c r="DB316" s="9"/>
      <c r="DC316" s="9"/>
      <c r="DD316" s="9"/>
      <c r="DE316" s="9"/>
      <c r="DF316" s="9"/>
      <c r="DG316" s="9"/>
      <c r="DH316" s="9"/>
      <c r="DI316" s="9"/>
      <c r="DJ316" s="9"/>
      <c r="DK316" s="9"/>
      <c r="DL316" s="9"/>
      <c r="DM316" s="9"/>
      <c r="DN316" s="9"/>
      <c r="DO316" s="9"/>
      <c r="DP316" s="9"/>
      <c r="DQ316" s="9"/>
      <c r="DR316" s="9"/>
      <c r="DS316" s="9"/>
      <c r="DT316" s="9"/>
      <c r="DU316" s="9"/>
      <c r="DV316" s="9"/>
      <c r="DW316" s="9"/>
      <c r="DX316" s="9"/>
      <c r="DY316" s="9"/>
      <c r="DZ316" s="9"/>
      <c r="EA316" s="9"/>
      <c r="EB316" s="9"/>
      <c r="EC316" s="9"/>
      <c r="ED316" s="9"/>
      <c r="EE316" s="9"/>
      <c r="EF316" s="9"/>
      <c r="EG316" s="9"/>
      <c r="EH316" s="9"/>
    </row>
    <row r="317" spans="21:138" x14ac:dyDescent="0.25">
      <c r="U317" s="9"/>
      <c r="CX317" s="9"/>
      <c r="CY317" s="9"/>
      <c r="CZ317" s="9"/>
      <c r="DA317" s="9"/>
      <c r="DB317" s="9"/>
      <c r="DC317" s="9"/>
      <c r="DD317" s="9"/>
      <c r="DE317" s="9"/>
      <c r="DF317" s="9"/>
      <c r="DG317" s="9"/>
      <c r="DH317" s="9"/>
      <c r="DI317" s="9"/>
      <c r="DJ317" s="9"/>
      <c r="DK317" s="9"/>
      <c r="DL317" s="9"/>
      <c r="DM317" s="9"/>
      <c r="DN317" s="9"/>
      <c r="DO317" s="9"/>
      <c r="DP317" s="9"/>
      <c r="DQ317" s="9"/>
      <c r="DR317" s="9"/>
      <c r="DS317" s="9"/>
      <c r="DT317" s="9"/>
      <c r="DU317" s="9"/>
      <c r="DV317" s="9"/>
      <c r="DW317" s="9"/>
      <c r="DX317" s="9"/>
      <c r="DY317" s="9"/>
      <c r="DZ317" s="9"/>
      <c r="EA317" s="9"/>
      <c r="EB317" s="9"/>
      <c r="EC317" s="9"/>
      <c r="ED317" s="9"/>
      <c r="EE317" s="9"/>
      <c r="EF317" s="9"/>
      <c r="EG317" s="9"/>
      <c r="EH317" s="9"/>
    </row>
    <row r="318" spans="21:138" x14ac:dyDescent="0.25">
      <c r="U318" s="9"/>
      <c r="CX318" s="9"/>
      <c r="CY318" s="9"/>
      <c r="CZ318" s="9"/>
      <c r="DA318" s="9"/>
      <c r="DB318" s="9"/>
      <c r="DC318" s="9"/>
      <c r="DD318" s="9"/>
      <c r="DE318" s="9"/>
      <c r="DF318" s="9"/>
      <c r="DG318" s="9"/>
      <c r="DH318" s="9"/>
      <c r="DI318" s="9"/>
      <c r="DJ318" s="9"/>
      <c r="DK318" s="9"/>
      <c r="DL318" s="9"/>
      <c r="DM318" s="9"/>
      <c r="DN318" s="9"/>
      <c r="DO318" s="9"/>
      <c r="DP318" s="9"/>
      <c r="DQ318" s="9"/>
      <c r="DR318" s="9"/>
      <c r="DS318" s="9"/>
      <c r="DT318" s="9"/>
      <c r="DU318" s="9"/>
      <c r="DV318" s="9"/>
      <c r="DW318" s="9"/>
      <c r="DX318" s="9"/>
      <c r="DY318" s="9"/>
      <c r="DZ318" s="9"/>
      <c r="EA318" s="9"/>
      <c r="EB318" s="9"/>
      <c r="EC318" s="9"/>
      <c r="ED318" s="9"/>
      <c r="EE318" s="9"/>
      <c r="EF318" s="9"/>
      <c r="EG318" s="9"/>
      <c r="EH318" s="9"/>
    </row>
    <row r="319" spans="21:138" x14ac:dyDescent="0.25">
      <c r="U319" s="9"/>
      <c r="CX319" s="9"/>
      <c r="CY319" s="9"/>
      <c r="CZ319" s="9"/>
      <c r="DA319" s="9"/>
      <c r="DB319" s="9"/>
      <c r="DC319" s="9"/>
      <c r="DD319" s="9"/>
      <c r="DE319" s="9"/>
      <c r="DF319" s="9"/>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9"/>
      <c r="EH319" s="9"/>
    </row>
    <row r="320" spans="21:138" x14ac:dyDescent="0.25">
      <c r="U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9"/>
      <c r="EH320" s="9"/>
    </row>
    <row r="321" spans="21:138" x14ac:dyDescent="0.25">
      <c r="U321" s="9"/>
      <c r="CX321" s="9"/>
      <c r="CY321" s="9"/>
      <c r="CZ321" s="9"/>
      <c r="DA321" s="9"/>
      <c r="DB321" s="9"/>
      <c r="DC321" s="9"/>
      <c r="DD321" s="9"/>
      <c r="DE321" s="9"/>
      <c r="DF321" s="9"/>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9"/>
      <c r="EH321" s="9"/>
    </row>
    <row r="322" spans="21:138" x14ac:dyDescent="0.25">
      <c r="U322" s="9"/>
      <c r="CX322" s="9"/>
      <c r="CY322" s="9"/>
      <c r="CZ322" s="9"/>
      <c r="DA322" s="9"/>
      <c r="DB322" s="9"/>
      <c r="DC322" s="9"/>
      <c r="DD322" s="9"/>
      <c r="DE322" s="9"/>
      <c r="DF322" s="9"/>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9"/>
      <c r="EH322" s="9"/>
    </row>
    <row r="323" spans="21:138" x14ac:dyDescent="0.25">
      <c r="U323" s="9"/>
      <c r="CX323" s="9"/>
      <c r="CY323" s="9"/>
      <c r="CZ323" s="9"/>
      <c r="DA323" s="9"/>
      <c r="DB323" s="9"/>
      <c r="DC323" s="9"/>
      <c r="DD323" s="9"/>
      <c r="DE323" s="9"/>
      <c r="DF323" s="9"/>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9"/>
      <c r="EH323" s="9"/>
    </row>
    <row r="324" spans="21:138" x14ac:dyDescent="0.25">
      <c r="U324" s="9"/>
      <c r="CX324" s="9"/>
      <c r="CY324" s="9"/>
      <c r="CZ324" s="9"/>
      <c r="DA324" s="9"/>
      <c r="DB324" s="9"/>
      <c r="DC324" s="9"/>
      <c r="DD324" s="9"/>
      <c r="DE324" s="9"/>
      <c r="DF324" s="9"/>
      <c r="DG324" s="9"/>
      <c r="DH324" s="9"/>
      <c r="DI324" s="9"/>
      <c r="DJ324" s="9"/>
      <c r="DK324" s="9"/>
      <c r="DL324" s="9"/>
      <c r="DM324" s="9"/>
      <c r="DN324" s="9"/>
      <c r="DO324" s="9"/>
      <c r="DP324" s="9"/>
      <c r="DQ324" s="9"/>
      <c r="DR324" s="9"/>
      <c r="DS324" s="9"/>
      <c r="DT324" s="9"/>
      <c r="DU324" s="9"/>
      <c r="DV324" s="9"/>
      <c r="DW324" s="9"/>
      <c r="DX324" s="9"/>
      <c r="DY324" s="9"/>
      <c r="DZ324" s="9"/>
      <c r="EA324" s="9"/>
      <c r="EB324" s="9"/>
      <c r="EC324" s="9"/>
      <c r="ED324" s="9"/>
      <c r="EE324" s="9"/>
      <c r="EF324" s="9"/>
      <c r="EG324" s="9"/>
      <c r="EH324" s="9"/>
    </row>
    <row r="325" spans="21:138" x14ac:dyDescent="0.25">
      <c r="U325" s="9"/>
      <c r="CX325" s="9"/>
      <c r="CY325" s="9"/>
      <c r="CZ325" s="9"/>
      <c r="DA325" s="9"/>
      <c r="DB325" s="9"/>
      <c r="DC325" s="9"/>
      <c r="DD325" s="9"/>
      <c r="DE325" s="9"/>
      <c r="DF325" s="9"/>
      <c r="DG325" s="9"/>
      <c r="DH325" s="9"/>
      <c r="DI325" s="9"/>
      <c r="DJ325" s="9"/>
      <c r="DK325" s="9"/>
      <c r="DL325" s="9"/>
      <c r="DM325" s="9"/>
      <c r="DN325" s="9"/>
      <c r="DO325" s="9"/>
      <c r="DP325" s="9"/>
      <c r="DQ325" s="9"/>
      <c r="DR325" s="9"/>
      <c r="DS325" s="9"/>
      <c r="DT325" s="9"/>
      <c r="DU325" s="9"/>
      <c r="DV325" s="9"/>
      <c r="DW325" s="9"/>
      <c r="DX325" s="9"/>
      <c r="DY325" s="9"/>
      <c r="DZ325" s="9"/>
      <c r="EA325" s="9"/>
      <c r="EB325" s="9"/>
      <c r="EC325" s="9"/>
      <c r="ED325" s="9"/>
      <c r="EE325" s="9"/>
      <c r="EF325" s="9"/>
      <c r="EG325" s="9"/>
      <c r="EH325" s="9"/>
    </row>
    <row r="326" spans="21:138" x14ac:dyDescent="0.25">
      <c r="U326" s="9"/>
      <c r="CX326" s="9"/>
      <c r="CY326" s="9"/>
      <c r="CZ326" s="9"/>
      <c r="DA326" s="9"/>
      <c r="DB326" s="9"/>
      <c r="DC326" s="9"/>
      <c r="DD326" s="9"/>
      <c r="DE326" s="9"/>
      <c r="DF326" s="9"/>
      <c r="DG326" s="9"/>
      <c r="DH326" s="9"/>
      <c r="DI326" s="9"/>
      <c r="DJ326" s="9"/>
      <c r="DK326" s="9"/>
      <c r="DL326" s="9"/>
      <c r="DM326" s="9"/>
      <c r="DN326" s="9"/>
      <c r="DO326" s="9"/>
      <c r="DP326" s="9"/>
      <c r="DQ326" s="9"/>
      <c r="DR326" s="9"/>
      <c r="DS326" s="9"/>
      <c r="DT326" s="9"/>
      <c r="DU326" s="9"/>
      <c r="DV326" s="9"/>
      <c r="DW326" s="9"/>
      <c r="DX326" s="9"/>
      <c r="DY326" s="9"/>
      <c r="DZ326" s="9"/>
      <c r="EA326" s="9"/>
      <c r="EB326" s="9"/>
      <c r="EC326" s="9"/>
      <c r="ED326" s="9"/>
      <c r="EE326" s="9"/>
      <c r="EF326" s="9"/>
      <c r="EG326" s="9"/>
      <c r="EH326" s="9"/>
    </row>
    <row r="327" spans="21:138" x14ac:dyDescent="0.25">
      <c r="U327" s="9"/>
      <c r="CX327" s="9"/>
      <c r="CY327" s="9"/>
      <c r="CZ327" s="9"/>
      <c r="DA327" s="9"/>
      <c r="DB327" s="9"/>
      <c r="DC327" s="9"/>
      <c r="DD327" s="9"/>
      <c r="DE327" s="9"/>
      <c r="DF327" s="9"/>
      <c r="DG327" s="9"/>
      <c r="DH327" s="9"/>
      <c r="DI327" s="9"/>
      <c r="DJ327" s="9"/>
      <c r="DK327" s="9"/>
      <c r="DL327" s="9"/>
      <c r="DM327" s="9"/>
      <c r="DN327" s="9"/>
      <c r="DO327" s="9"/>
      <c r="DP327" s="9"/>
      <c r="DQ327" s="9"/>
      <c r="DR327" s="9"/>
      <c r="DS327" s="9"/>
      <c r="DT327" s="9"/>
      <c r="DU327" s="9"/>
      <c r="DV327" s="9"/>
      <c r="DW327" s="9"/>
      <c r="DX327" s="9"/>
      <c r="DY327" s="9"/>
      <c r="DZ327" s="9"/>
      <c r="EA327" s="9"/>
      <c r="EB327" s="9"/>
      <c r="EC327" s="9"/>
      <c r="ED327" s="9"/>
      <c r="EE327" s="9"/>
      <c r="EF327" s="9"/>
      <c r="EG327" s="9"/>
      <c r="EH327" s="9"/>
    </row>
    <row r="328" spans="21:138" x14ac:dyDescent="0.25">
      <c r="U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row>
    <row r="329" spans="21:138" x14ac:dyDescent="0.25">
      <c r="U329" s="9"/>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row>
    <row r="330" spans="21:138" x14ac:dyDescent="0.25">
      <c r="U330" s="9"/>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row>
    <row r="331" spans="21:138" x14ac:dyDescent="0.25">
      <c r="U331" s="9"/>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row>
    <row r="332" spans="21:138" x14ac:dyDescent="0.25">
      <c r="U332" s="9"/>
      <c r="CX332" s="9"/>
      <c r="CY332" s="9"/>
      <c r="CZ332" s="9"/>
      <c r="DA332" s="9"/>
      <c r="DB332" s="9"/>
      <c r="DC332" s="9"/>
      <c r="DD332" s="9"/>
      <c r="DE332" s="9"/>
      <c r="DF332" s="9"/>
      <c r="DG332" s="9"/>
      <c r="DH332" s="9"/>
      <c r="DI332" s="9"/>
      <c r="DJ332" s="9"/>
      <c r="DK332" s="9"/>
      <c r="DL332" s="9"/>
      <c r="DM332" s="9"/>
      <c r="DN332" s="9"/>
      <c r="DO332" s="9"/>
      <c r="DP332" s="9"/>
      <c r="DQ332" s="9"/>
      <c r="DR332" s="9"/>
      <c r="DS332" s="9"/>
      <c r="DT332" s="9"/>
      <c r="DU332" s="9"/>
      <c r="DV332" s="9"/>
      <c r="DW332" s="9"/>
      <c r="DX332" s="9"/>
      <c r="DY332" s="9"/>
      <c r="DZ332" s="9"/>
      <c r="EA332" s="9"/>
      <c r="EB332" s="9"/>
      <c r="EC332" s="9"/>
      <c r="ED332" s="9"/>
      <c r="EE332" s="9"/>
      <c r="EF332" s="9"/>
      <c r="EG332" s="9"/>
      <c r="EH332" s="9"/>
    </row>
    <row r="333" spans="21:138" x14ac:dyDescent="0.25">
      <c r="U333" s="9"/>
      <c r="CX333" s="9"/>
      <c r="CY333" s="9"/>
      <c r="CZ333" s="9"/>
      <c r="DA333" s="9"/>
      <c r="DB333" s="9"/>
      <c r="DC333" s="9"/>
      <c r="DD333" s="9"/>
      <c r="DE333" s="9"/>
      <c r="DF333" s="9"/>
      <c r="DG333" s="9"/>
      <c r="DH333" s="9"/>
      <c r="DI333" s="9"/>
      <c r="DJ333" s="9"/>
      <c r="DK333" s="9"/>
      <c r="DL333" s="9"/>
      <c r="DM333" s="9"/>
      <c r="DN333" s="9"/>
      <c r="DO333" s="9"/>
      <c r="DP333" s="9"/>
      <c r="DQ333" s="9"/>
      <c r="DR333" s="9"/>
      <c r="DS333" s="9"/>
      <c r="DT333" s="9"/>
      <c r="DU333" s="9"/>
      <c r="DV333" s="9"/>
      <c r="DW333" s="9"/>
      <c r="DX333" s="9"/>
      <c r="DY333" s="9"/>
      <c r="DZ333" s="9"/>
      <c r="EA333" s="9"/>
      <c r="EB333" s="9"/>
      <c r="EC333" s="9"/>
      <c r="ED333" s="9"/>
      <c r="EE333" s="9"/>
      <c r="EF333" s="9"/>
      <c r="EG333" s="9"/>
      <c r="EH333" s="9"/>
    </row>
    <row r="334" spans="21:138" x14ac:dyDescent="0.25">
      <c r="U334" s="9"/>
      <c r="CX334" s="9"/>
      <c r="CY334" s="9"/>
      <c r="CZ334" s="9"/>
      <c r="DA334" s="9"/>
      <c r="DB334" s="9"/>
      <c r="DC334" s="9"/>
      <c r="DD334" s="9"/>
      <c r="DE334" s="9"/>
      <c r="DF334" s="9"/>
      <c r="DG334" s="9"/>
      <c r="DH334" s="9"/>
      <c r="DI334" s="9"/>
      <c r="DJ334" s="9"/>
      <c r="DK334" s="9"/>
      <c r="DL334" s="9"/>
      <c r="DM334" s="9"/>
      <c r="DN334" s="9"/>
      <c r="DO334" s="9"/>
      <c r="DP334" s="9"/>
      <c r="DQ334" s="9"/>
      <c r="DR334" s="9"/>
      <c r="DS334" s="9"/>
      <c r="DT334" s="9"/>
      <c r="DU334" s="9"/>
      <c r="DV334" s="9"/>
      <c r="DW334" s="9"/>
      <c r="DX334" s="9"/>
      <c r="DY334" s="9"/>
      <c r="DZ334" s="9"/>
      <c r="EA334" s="9"/>
      <c r="EB334" s="9"/>
      <c r="EC334" s="9"/>
      <c r="ED334" s="9"/>
      <c r="EE334" s="9"/>
      <c r="EF334" s="9"/>
      <c r="EG334" s="9"/>
      <c r="EH334" s="9"/>
    </row>
    <row r="335" spans="21:138" x14ac:dyDescent="0.25">
      <c r="U335" s="9"/>
      <c r="CX335" s="9"/>
      <c r="CY335" s="9"/>
      <c r="CZ335" s="9"/>
      <c r="DA335" s="9"/>
      <c r="DB335" s="9"/>
      <c r="DC335" s="9"/>
      <c r="DD335" s="9"/>
      <c r="DE335" s="9"/>
      <c r="DF335" s="9"/>
      <c r="DG335" s="9"/>
      <c r="DH335" s="9"/>
      <c r="DI335" s="9"/>
      <c r="DJ335" s="9"/>
      <c r="DK335" s="9"/>
      <c r="DL335" s="9"/>
      <c r="DM335" s="9"/>
      <c r="DN335" s="9"/>
      <c r="DO335" s="9"/>
      <c r="DP335" s="9"/>
      <c r="DQ335" s="9"/>
      <c r="DR335" s="9"/>
      <c r="DS335" s="9"/>
      <c r="DT335" s="9"/>
      <c r="DU335" s="9"/>
      <c r="DV335" s="9"/>
      <c r="DW335" s="9"/>
      <c r="DX335" s="9"/>
      <c r="DY335" s="9"/>
      <c r="DZ335" s="9"/>
      <c r="EA335" s="9"/>
      <c r="EB335" s="9"/>
      <c r="EC335" s="9"/>
      <c r="ED335" s="9"/>
      <c r="EE335" s="9"/>
      <c r="EF335" s="9"/>
      <c r="EG335" s="9"/>
      <c r="EH335" s="9"/>
    </row>
    <row r="336" spans="21:138" x14ac:dyDescent="0.25">
      <c r="U336" s="9"/>
      <c r="CX336" s="9"/>
      <c r="CY336" s="9"/>
      <c r="CZ336" s="9"/>
      <c r="DA336" s="9"/>
      <c r="DB336" s="9"/>
      <c r="DC336" s="9"/>
      <c r="DD336" s="9"/>
      <c r="DE336" s="9"/>
      <c r="DF336" s="9"/>
      <c r="DG336" s="9"/>
      <c r="DH336" s="9"/>
      <c r="DI336" s="9"/>
      <c r="DJ336" s="9"/>
      <c r="DK336" s="9"/>
      <c r="DL336" s="9"/>
      <c r="DM336" s="9"/>
      <c r="DN336" s="9"/>
      <c r="DO336" s="9"/>
      <c r="DP336" s="9"/>
      <c r="DQ336" s="9"/>
      <c r="DR336" s="9"/>
      <c r="DS336" s="9"/>
      <c r="DT336" s="9"/>
      <c r="DU336" s="9"/>
      <c r="DV336" s="9"/>
      <c r="DW336" s="9"/>
      <c r="DX336" s="9"/>
      <c r="DY336" s="9"/>
      <c r="DZ336" s="9"/>
      <c r="EA336" s="9"/>
      <c r="EB336" s="9"/>
      <c r="EC336" s="9"/>
      <c r="ED336" s="9"/>
      <c r="EE336" s="9"/>
      <c r="EF336" s="9"/>
      <c r="EG336" s="9"/>
      <c r="EH336" s="9"/>
    </row>
    <row r="337" spans="21:138" x14ac:dyDescent="0.25">
      <c r="U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row>
    <row r="338" spans="21:138" x14ac:dyDescent="0.25">
      <c r="U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9"/>
      <c r="DU338" s="9"/>
      <c r="DV338" s="9"/>
      <c r="DW338" s="9"/>
      <c r="DX338" s="9"/>
      <c r="DY338" s="9"/>
      <c r="DZ338" s="9"/>
      <c r="EA338" s="9"/>
      <c r="EB338" s="9"/>
      <c r="EC338" s="9"/>
      <c r="ED338" s="9"/>
      <c r="EE338" s="9"/>
      <c r="EF338" s="9"/>
      <c r="EG338" s="9"/>
      <c r="EH338" s="9"/>
    </row>
    <row r="339" spans="21:138" x14ac:dyDescent="0.25">
      <c r="U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9"/>
      <c r="DU339" s="9"/>
      <c r="DV339" s="9"/>
      <c r="DW339" s="9"/>
      <c r="DX339" s="9"/>
      <c r="DY339" s="9"/>
      <c r="DZ339" s="9"/>
      <c r="EA339" s="9"/>
      <c r="EB339" s="9"/>
      <c r="EC339" s="9"/>
      <c r="ED339" s="9"/>
      <c r="EE339" s="9"/>
      <c r="EF339" s="9"/>
      <c r="EG339" s="9"/>
      <c r="EH339" s="9"/>
    </row>
    <row r="340" spans="21:138" x14ac:dyDescent="0.25">
      <c r="U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9"/>
      <c r="DU340" s="9"/>
      <c r="DV340" s="9"/>
      <c r="DW340" s="9"/>
      <c r="DX340" s="9"/>
      <c r="DY340" s="9"/>
      <c r="DZ340" s="9"/>
      <c r="EA340" s="9"/>
      <c r="EB340" s="9"/>
      <c r="EC340" s="9"/>
      <c r="ED340" s="9"/>
      <c r="EE340" s="9"/>
      <c r="EF340" s="9"/>
      <c r="EG340" s="9"/>
      <c r="EH340" s="9"/>
    </row>
    <row r="341" spans="21:138" x14ac:dyDescent="0.25">
      <c r="U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9"/>
      <c r="DU341" s="9"/>
      <c r="DV341" s="9"/>
      <c r="DW341" s="9"/>
      <c r="DX341" s="9"/>
      <c r="DY341" s="9"/>
      <c r="DZ341" s="9"/>
      <c r="EA341" s="9"/>
      <c r="EB341" s="9"/>
      <c r="EC341" s="9"/>
      <c r="ED341" s="9"/>
      <c r="EE341" s="9"/>
      <c r="EF341" s="9"/>
      <c r="EG341" s="9"/>
      <c r="EH341" s="9"/>
    </row>
    <row r="342" spans="21:138" x14ac:dyDescent="0.25">
      <c r="U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9"/>
      <c r="DU342" s="9"/>
      <c r="DV342" s="9"/>
      <c r="DW342" s="9"/>
      <c r="DX342" s="9"/>
      <c r="DY342" s="9"/>
      <c r="DZ342" s="9"/>
      <c r="EA342" s="9"/>
      <c r="EB342" s="9"/>
      <c r="EC342" s="9"/>
      <c r="ED342" s="9"/>
      <c r="EE342" s="9"/>
      <c r="EF342" s="9"/>
      <c r="EG342" s="9"/>
      <c r="EH342" s="9"/>
    </row>
    <row r="343" spans="21:138" x14ac:dyDescent="0.25">
      <c r="U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9"/>
      <c r="DU343" s="9"/>
      <c r="DV343" s="9"/>
      <c r="DW343" s="9"/>
      <c r="DX343" s="9"/>
      <c r="DY343" s="9"/>
      <c r="DZ343" s="9"/>
      <c r="EA343" s="9"/>
      <c r="EB343" s="9"/>
      <c r="EC343" s="9"/>
      <c r="ED343" s="9"/>
      <c r="EE343" s="9"/>
      <c r="EF343" s="9"/>
      <c r="EG343" s="9"/>
      <c r="EH343" s="9"/>
    </row>
    <row r="344" spans="21:138" hidden="1" x14ac:dyDescent="0.25">
      <c r="U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9"/>
      <c r="DU344" s="9"/>
      <c r="DV344" s="9"/>
      <c r="DW344" s="9"/>
      <c r="DX344" s="9"/>
      <c r="DY344" s="9"/>
      <c r="DZ344" s="9"/>
      <c r="EA344" s="9"/>
      <c r="EB344" s="9"/>
      <c r="EC344" s="9"/>
      <c r="ED344" s="9"/>
      <c r="EE344" s="9"/>
      <c r="EF344" s="9"/>
      <c r="EG344" s="9"/>
      <c r="EH344" s="9"/>
    </row>
    <row r="345" spans="21:138" hidden="1" x14ac:dyDescent="0.25">
      <c r="U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9"/>
      <c r="DU345" s="9"/>
      <c r="DV345" s="9"/>
      <c r="DW345" s="9"/>
      <c r="DX345" s="9"/>
      <c r="DY345" s="9"/>
      <c r="DZ345" s="9"/>
      <c r="EA345" s="9"/>
      <c r="EB345" s="9"/>
      <c r="EC345" s="9"/>
      <c r="ED345" s="9"/>
      <c r="EE345" s="9"/>
      <c r="EF345" s="9"/>
      <c r="EG345" s="9"/>
      <c r="EH345" s="9"/>
    </row>
    <row r="346" spans="21:138" hidden="1" x14ac:dyDescent="0.25">
      <c r="U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9"/>
      <c r="DU346" s="9"/>
      <c r="DV346" s="9"/>
      <c r="DW346" s="9"/>
      <c r="DX346" s="9"/>
      <c r="DY346" s="9"/>
      <c r="DZ346" s="9"/>
      <c r="EA346" s="9"/>
      <c r="EB346" s="9"/>
      <c r="EC346" s="9"/>
      <c r="ED346" s="9"/>
      <c r="EE346" s="9"/>
      <c r="EF346" s="9"/>
      <c r="EG346" s="9"/>
      <c r="EH346" s="9"/>
    </row>
    <row r="347" spans="21:138" hidden="1" x14ac:dyDescent="0.25"/>
    <row r="348" spans="21:138" hidden="1" x14ac:dyDescent="0.25"/>
    <row r="349" spans="21:138" hidden="1" x14ac:dyDescent="0.25"/>
    <row r="350" spans="21:138" hidden="1" x14ac:dyDescent="0.25"/>
    <row r="351" spans="21:138" hidden="1" x14ac:dyDescent="0.25"/>
    <row r="352" spans="21:138"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row r="1033" hidden="1" x14ac:dyDescent="0.25"/>
    <row r="1034" hidden="1" x14ac:dyDescent="0.25"/>
    <row r="1035" hidden="1" x14ac:dyDescent="0.25"/>
    <row r="1036" hidden="1" x14ac:dyDescent="0.25"/>
    <row r="1037" hidden="1" x14ac:dyDescent="0.25"/>
    <row r="1038" hidden="1" x14ac:dyDescent="0.25"/>
    <row r="1039" hidden="1" x14ac:dyDescent="0.25"/>
    <row r="1040"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row r="1052" hidden="1" x14ac:dyDescent="0.25"/>
    <row r="1053" hidden="1" x14ac:dyDescent="0.25"/>
    <row r="1054" hidden="1" x14ac:dyDescent="0.25"/>
    <row r="1055" hidden="1" x14ac:dyDescent="0.25"/>
    <row r="1056" hidden="1" x14ac:dyDescent="0.25"/>
    <row r="1057" hidden="1" x14ac:dyDescent="0.25"/>
    <row r="1058" hidden="1" x14ac:dyDescent="0.25"/>
    <row r="1059" hidden="1" x14ac:dyDescent="0.25"/>
    <row r="1060" hidden="1" x14ac:dyDescent="0.25"/>
    <row r="1061" hidden="1" x14ac:dyDescent="0.25"/>
    <row r="1062" hidden="1" x14ac:dyDescent="0.25"/>
    <row r="1063" hidden="1" x14ac:dyDescent="0.25"/>
    <row r="1064" hidden="1" x14ac:dyDescent="0.25"/>
    <row r="1065" hidden="1" x14ac:dyDescent="0.25"/>
    <row r="1066" hidden="1" x14ac:dyDescent="0.25"/>
    <row r="1067" hidden="1" x14ac:dyDescent="0.25"/>
    <row r="1068" hidden="1" x14ac:dyDescent="0.25"/>
    <row r="1069" hidden="1" x14ac:dyDescent="0.25"/>
    <row r="1070" hidden="1" x14ac:dyDescent="0.25"/>
    <row r="1071" hidden="1" x14ac:dyDescent="0.25"/>
    <row r="1072" hidden="1" x14ac:dyDescent="0.25"/>
    <row r="1073" hidden="1" x14ac:dyDescent="0.25"/>
    <row r="1074" hidden="1" x14ac:dyDescent="0.25"/>
    <row r="1075" hidden="1" x14ac:dyDescent="0.25"/>
    <row r="1076" hidden="1" x14ac:dyDescent="0.25"/>
    <row r="1077" hidden="1" x14ac:dyDescent="0.25"/>
    <row r="1078" hidden="1" x14ac:dyDescent="0.25"/>
    <row r="1079" hidden="1" x14ac:dyDescent="0.25"/>
    <row r="1080" hidden="1" x14ac:dyDescent="0.25"/>
    <row r="1081" hidden="1" x14ac:dyDescent="0.25"/>
    <row r="1082" hidden="1" x14ac:dyDescent="0.25"/>
    <row r="1083" hidden="1" x14ac:dyDescent="0.25"/>
    <row r="1084" hidden="1" x14ac:dyDescent="0.25"/>
    <row r="1085" hidden="1" x14ac:dyDescent="0.25"/>
    <row r="1086" hidden="1" x14ac:dyDescent="0.25"/>
    <row r="1087" hidden="1" x14ac:dyDescent="0.25"/>
    <row r="1088"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4"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row r="1196" hidden="1" x14ac:dyDescent="0.25"/>
    <row r="1197" hidden="1" x14ac:dyDescent="0.25"/>
    <row r="1198" hidden="1" x14ac:dyDescent="0.25"/>
    <row r="1199" hidden="1" x14ac:dyDescent="0.25"/>
    <row r="1200" hidden="1" x14ac:dyDescent="0.25"/>
    <row r="1201" hidden="1" x14ac:dyDescent="0.25"/>
    <row r="1202" hidden="1" x14ac:dyDescent="0.25"/>
    <row r="1203" hidden="1" x14ac:dyDescent="0.25"/>
    <row r="1204" hidden="1" x14ac:dyDescent="0.25"/>
    <row r="1205" hidden="1" x14ac:dyDescent="0.25"/>
    <row r="1206" hidden="1" x14ac:dyDescent="0.25"/>
    <row r="1207" hidden="1" x14ac:dyDescent="0.25"/>
    <row r="1208" hidden="1" x14ac:dyDescent="0.25"/>
    <row r="1209" hidden="1" x14ac:dyDescent="0.25"/>
    <row r="1210" hidden="1" x14ac:dyDescent="0.25"/>
    <row r="1211" hidden="1" x14ac:dyDescent="0.25"/>
    <row r="1212" hidden="1" x14ac:dyDescent="0.25"/>
    <row r="1213" hidden="1" x14ac:dyDescent="0.25"/>
    <row r="1214" hidden="1" x14ac:dyDescent="0.25"/>
    <row r="1215" hidden="1" x14ac:dyDescent="0.25"/>
    <row r="1216" hidden="1" x14ac:dyDescent="0.25"/>
    <row r="1217" hidden="1" x14ac:dyDescent="0.25"/>
    <row r="1218" hidden="1" x14ac:dyDescent="0.25"/>
    <row r="1219" hidden="1" x14ac:dyDescent="0.25"/>
    <row r="1220" hidden="1" x14ac:dyDescent="0.25"/>
    <row r="1221" hidden="1" x14ac:dyDescent="0.25"/>
    <row r="1222" hidden="1" x14ac:dyDescent="0.25"/>
    <row r="1223" hidden="1" x14ac:dyDescent="0.25"/>
    <row r="1224" hidden="1" x14ac:dyDescent="0.25"/>
    <row r="1225" hidden="1" x14ac:dyDescent="0.25"/>
    <row r="1226" hidden="1" x14ac:dyDescent="0.25"/>
    <row r="1227" hidden="1" x14ac:dyDescent="0.25"/>
    <row r="1228" hidden="1" x14ac:dyDescent="0.25"/>
    <row r="1229" hidden="1" x14ac:dyDescent="0.25"/>
    <row r="1230" hidden="1" x14ac:dyDescent="0.25"/>
    <row r="1231" hidden="1" x14ac:dyDescent="0.25"/>
    <row r="1232" hidden="1" x14ac:dyDescent="0.25"/>
    <row r="1233" hidden="1" x14ac:dyDescent="0.25"/>
    <row r="1234" hidden="1" x14ac:dyDescent="0.25"/>
    <row r="1235" hidden="1" x14ac:dyDescent="0.25"/>
    <row r="1236" hidden="1" x14ac:dyDescent="0.25"/>
    <row r="1237" hidden="1" x14ac:dyDescent="0.25"/>
    <row r="1238" hidden="1" x14ac:dyDescent="0.25"/>
    <row r="1239" hidden="1" x14ac:dyDescent="0.25"/>
    <row r="1240" hidden="1" x14ac:dyDescent="0.25"/>
    <row r="1241" hidden="1" x14ac:dyDescent="0.25"/>
    <row r="1242" hidden="1" x14ac:dyDescent="0.25"/>
    <row r="1243" hidden="1" x14ac:dyDescent="0.25"/>
    <row r="1244" hidden="1" x14ac:dyDescent="0.25"/>
    <row r="1245" hidden="1" x14ac:dyDescent="0.25"/>
    <row r="1246" hidden="1" x14ac:dyDescent="0.25"/>
    <row r="1247" hidden="1" x14ac:dyDescent="0.25"/>
    <row r="1248" hidden="1" x14ac:dyDescent="0.25"/>
    <row r="1249" hidden="1" x14ac:dyDescent="0.25"/>
    <row r="1250" hidden="1" x14ac:dyDescent="0.25"/>
    <row r="1251" hidden="1" x14ac:dyDescent="0.25"/>
    <row r="1252" hidden="1" x14ac:dyDescent="0.25"/>
    <row r="1253" hidden="1" x14ac:dyDescent="0.25"/>
    <row r="1254" hidden="1" x14ac:dyDescent="0.25"/>
    <row r="1255" hidden="1" x14ac:dyDescent="0.25"/>
    <row r="1256" hidden="1" x14ac:dyDescent="0.25"/>
    <row r="1257" hidden="1" x14ac:dyDescent="0.25"/>
    <row r="1258" hidden="1" x14ac:dyDescent="0.25"/>
    <row r="1259" hidden="1" x14ac:dyDescent="0.25"/>
    <row r="1260" hidden="1" x14ac:dyDescent="0.25"/>
    <row r="1261" hidden="1" x14ac:dyDescent="0.25"/>
    <row r="1262" hidden="1" x14ac:dyDescent="0.25"/>
    <row r="1263" hidden="1" x14ac:dyDescent="0.25"/>
    <row r="1264" hidden="1" x14ac:dyDescent="0.25"/>
    <row r="1265" hidden="1" x14ac:dyDescent="0.25"/>
    <row r="1266" hidden="1" x14ac:dyDescent="0.25"/>
    <row r="1267" hidden="1" x14ac:dyDescent="0.25"/>
    <row r="1268" hidden="1" x14ac:dyDescent="0.25"/>
    <row r="1269" hidden="1" x14ac:dyDescent="0.25"/>
    <row r="1270" hidden="1" x14ac:dyDescent="0.25"/>
    <row r="1271" hidden="1" x14ac:dyDescent="0.25"/>
    <row r="1272" hidden="1" x14ac:dyDescent="0.25"/>
    <row r="1273" hidden="1" x14ac:dyDescent="0.25"/>
    <row r="1274" hidden="1" x14ac:dyDescent="0.25"/>
    <row r="1275" hidden="1" x14ac:dyDescent="0.25"/>
    <row r="1276" hidden="1" x14ac:dyDescent="0.25"/>
    <row r="1277" hidden="1" x14ac:dyDescent="0.25"/>
    <row r="1278" hidden="1" x14ac:dyDescent="0.25"/>
    <row r="1279" hidden="1" x14ac:dyDescent="0.25"/>
    <row r="1280" hidden="1" x14ac:dyDescent="0.25"/>
    <row r="1281" hidden="1" x14ac:dyDescent="0.25"/>
    <row r="1282" hidden="1" x14ac:dyDescent="0.25"/>
    <row r="1283" hidden="1" x14ac:dyDescent="0.25"/>
    <row r="1284" hidden="1" x14ac:dyDescent="0.25"/>
    <row r="1285" hidden="1" x14ac:dyDescent="0.25"/>
    <row r="1286" hidden="1" x14ac:dyDescent="0.25"/>
    <row r="1287" hidden="1" x14ac:dyDescent="0.25"/>
    <row r="1288" hidden="1" x14ac:dyDescent="0.25"/>
    <row r="1289" hidden="1" x14ac:dyDescent="0.25"/>
    <row r="1290" hidden="1" x14ac:dyDescent="0.25"/>
    <row r="1291" hidden="1" x14ac:dyDescent="0.25"/>
    <row r="1292" hidden="1" x14ac:dyDescent="0.25"/>
    <row r="1293" hidden="1" x14ac:dyDescent="0.25"/>
    <row r="1294" hidden="1" x14ac:dyDescent="0.25"/>
    <row r="1295" hidden="1" x14ac:dyDescent="0.25"/>
    <row r="1296" hidden="1" x14ac:dyDescent="0.25"/>
    <row r="1297" hidden="1" x14ac:dyDescent="0.25"/>
    <row r="1298" hidden="1" x14ac:dyDescent="0.25"/>
    <row r="1299" hidden="1" x14ac:dyDescent="0.25"/>
    <row r="1300" hidden="1" x14ac:dyDescent="0.25"/>
    <row r="1301" hidden="1" x14ac:dyDescent="0.25"/>
    <row r="1302" hidden="1" x14ac:dyDescent="0.25"/>
    <row r="1303" hidden="1" x14ac:dyDescent="0.25"/>
    <row r="1304" hidden="1" x14ac:dyDescent="0.25"/>
    <row r="1305" hidden="1" x14ac:dyDescent="0.25"/>
    <row r="1306" hidden="1" x14ac:dyDescent="0.25"/>
    <row r="1307" hidden="1" x14ac:dyDescent="0.25"/>
    <row r="1308" hidden="1" x14ac:dyDescent="0.25"/>
    <row r="1309" hidden="1" x14ac:dyDescent="0.25"/>
    <row r="1310" hidden="1" x14ac:dyDescent="0.25"/>
    <row r="1311" hidden="1" x14ac:dyDescent="0.25"/>
    <row r="1312" hidden="1" x14ac:dyDescent="0.25"/>
    <row r="1313" hidden="1" x14ac:dyDescent="0.25"/>
    <row r="1314" hidden="1" x14ac:dyDescent="0.25"/>
    <row r="1315" hidden="1" x14ac:dyDescent="0.25"/>
    <row r="1316" hidden="1" x14ac:dyDescent="0.25"/>
    <row r="1317" hidden="1" x14ac:dyDescent="0.25"/>
    <row r="1318" hidden="1" x14ac:dyDescent="0.25"/>
    <row r="1319" hidden="1" x14ac:dyDescent="0.25"/>
    <row r="1320" hidden="1" x14ac:dyDescent="0.25"/>
    <row r="1321" hidden="1" x14ac:dyDescent="0.25"/>
    <row r="1322" hidden="1" x14ac:dyDescent="0.25"/>
    <row r="1323" hidden="1" x14ac:dyDescent="0.25"/>
    <row r="1324" hidden="1" x14ac:dyDescent="0.25"/>
    <row r="1325" hidden="1" x14ac:dyDescent="0.25"/>
    <row r="1326" hidden="1" x14ac:dyDescent="0.25"/>
    <row r="1327" hidden="1" x14ac:dyDescent="0.25"/>
    <row r="1328" hidden="1" x14ac:dyDescent="0.25"/>
    <row r="1329" hidden="1" x14ac:dyDescent="0.25"/>
    <row r="1330" hidden="1" x14ac:dyDescent="0.25"/>
    <row r="1331" hidden="1" x14ac:dyDescent="0.25"/>
    <row r="1332" hidden="1" x14ac:dyDescent="0.25"/>
    <row r="1333" hidden="1" x14ac:dyDescent="0.25"/>
    <row r="1334" hidden="1" x14ac:dyDescent="0.25"/>
    <row r="1335" hidden="1" x14ac:dyDescent="0.25"/>
    <row r="1336" hidden="1" x14ac:dyDescent="0.25"/>
    <row r="1337" hidden="1" x14ac:dyDescent="0.25"/>
    <row r="1338" hidden="1" x14ac:dyDescent="0.25"/>
    <row r="1339" hidden="1" x14ac:dyDescent="0.25"/>
    <row r="1340" hidden="1" x14ac:dyDescent="0.25"/>
    <row r="1341" hidden="1" x14ac:dyDescent="0.25"/>
    <row r="1342" hidden="1" x14ac:dyDescent="0.25"/>
    <row r="1343" hidden="1" x14ac:dyDescent="0.25"/>
    <row r="1344" hidden="1" x14ac:dyDescent="0.25"/>
    <row r="1345" hidden="1" x14ac:dyDescent="0.25"/>
    <row r="1346" hidden="1" x14ac:dyDescent="0.25"/>
    <row r="1347" hidden="1" x14ac:dyDescent="0.25"/>
    <row r="1348" hidden="1" x14ac:dyDescent="0.25"/>
    <row r="1349" hidden="1" x14ac:dyDescent="0.25"/>
    <row r="1350" hidden="1" x14ac:dyDescent="0.25"/>
    <row r="1351" hidden="1" x14ac:dyDescent="0.25"/>
    <row r="1352" hidden="1" x14ac:dyDescent="0.25"/>
    <row r="1353" hidden="1" x14ac:dyDescent="0.25"/>
    <row r="1354" hidden="1" x14ac:dyDescent="0.25"/>
    <row r="1355" hidden="1" x14ac:dyDescent="0.25"/>
    <row r="1356" hidden="1" x14ac:dyDescent="0.25"/>
    <row r="1357" hidden="1" x14ac:dyDescent="0.25"/>
    <row r="1358" hidden="1" x14ac:dyDescent="0.25"/>
    <row r="1359" hidden="1" x14ac:dyDescent="0.25"/>
    <row r="1360" hidden="1" x14ac:dyDescent="0.25"/>
    <row r="1361" hidden="1" x14ac:dyDescent="0.25"/>
    <row r="1362" hidden="1" x14ac:dyDescent="0.25"/>
    <row r="1363" hidden="1" x14ac:dyDescent="0.25"/>
    <row r="1364" hidden="1" x14ac:dyDescent="0.25"/>
    <row r="1365" hidden="1" x14ac:dyDescent="0.25"/>
    <row r="1366" hidden="1" x14ac:dyDescent="0.25"/>
    <row r="1367" hidden="1" x14ac:dyDescent="0.25"/>
    <row r="1368" hidden="1" x14ac:dyDescent="0.25"/>
    <row r="1369" hidden="1" x14ac:dyDescent="0.25"/>
    <row r="1370" hidden="1" x14ac:dyDescent="0.25"/>
    <row r="1371" hidden="1" x14ac:dyDescent="0.25"/>
    <row r="1372" hidden="1" x14ac:dyDescent="0.25"/>
    <row r="1373" hidden="1" x14ac:dyDescent="0.25"/>
    <row r="1374" hidden="1" x14ac:dyDescent="0.25"/>
    <row r="1375" hidden="1" x14ac:dyDescent="0.25"/>
    <row r="1376" hidden="1" x14ac:dyDescent="0.25"/>
    <row r="1377" hidden="1" x14ac:dyDescent="0.25"/>
    <row r="1378" hidden="1" x14ac:dyDescent="0.25"/>
    <row r="1379" hidden="1" x14ac:dyDescent="0.25"/>
    <row r="1380" hidden="1" x14ac:dyDescent="0.25"/>
    <row r="1381" hidden="1" x14ac:dyDescent="0.25"/>
    <row r="1382" hidden="1" x14ac:dyDescent="0.25"/>
    <row r="1383" hidden="1" x14ac:dyDescent="0.25"/>
    <row r="1384" hidden="1" x14ac:dyDescent="0.25"/>
    <row r="1385" hidden="1" x14ac:dyDescent="0.25"/>
    <row r="1386" hidden="1" x14ac:dyDescent="0.25"/>
    <row r="1387" hidden="1" x14ac:dyDescent="0.25"/>
    <row r="1388" hidden="1" x14ac:dyDescent="0.25"/>
    <row r="1389" hidden="1" x14ac:dyDescent="0.25"/>
    <row r="1390" hidden="1" x14ac:dyDescent="0.25"/>
    <row r="1391" hidden="1" x14ac:dyDescent="0.25"/>
    <row r="1392" hidden="1" x14ac:dyDescent="0.25"/>
    <row r="1393" hidden="1" x14ac:dyDescent="0.25"/>
    <row r="1394" hidden="1" x14ac:dyDescent="0.25"/>
    <row r="1395" hidden="1" x14ac:dyDescent="0.25"/>
    <row r="1396" hidden="1" x14ac:dyDescent="0.25"/>
    <row r="1397" hidden="1" x14ac:dyDescent="0.25"/>
    <row r="1398" hidden="1" x14ac:dyDescent="0.25"/>
    <row r="1399" hidden="1" x14ac:dyDescent="0.25"/>
    <row r="1400" hidden="1" x14ac:dyDescent="0.25"/>
    <row r="1401" hidden="1" x14ac:dyDescent="0.25"/>
    <row r="1402" hidden="1" x14ac:dyDescent="0.25"/>
    <row r="1403" hidden="1" x14ac:dyDescent="0.25"/>
    <row r="1404" hidden="1" x14ac:dyDescent="0.25"/>
    <row r="1405" hidden="1" x14ac:dyDescent="0.25"/>
    <row r="1406" hidden="1" x14ac:dyDescent="0.25"/>
    <row r="1407" hidden="1" x14ac:dyDescent="0.25"/>
    <row r="1408" hidden="1" x14ac:dyDescent="0.25"/>
    <row r="1409" hidden="1" x14ac:dyDescent="0.25"/>
    <row r="1410" hidden="1" x14ac:dyDescent="0.25"/>
    <row r="1411" hidden="1" x14ac:dyDescent="0.25"/>
    <row r="1412" hidden="1" x14ac:dyDescent="0.25"/>
    <row r="1413" hidden="1" x14ac:dyDescent="0.25"/>
    <row r="1414" hidden="1" x14ac:dyDescent="0.25"/>
    <row r="1415" hidden="1" x14ac:dyDescent="0.25"/>
    <row r="1416" hidden="1" x14ac:dyDescent="0.25"/>
    <row r="1417" hidden="1" x14ac:dyDescent="0.25"/>
    <row r="1418" hidden="1" x14ac:dyDescent="0.25"/>
    <row r="1419" hidden="1" x14ac:dyDescent="0.25"/>
    <row r="1420" hidden="1" x14ac:dyDescent="0.25"/>
    <row r="1421" hidden="1" x14ac:dyDescent="0.25"/>
    <row r="1422" hidden="1" x14ac:dyDescent="0.25"/>
    <row r="1423" hidden="1" x14ac:dyDescent="0.25"/>
    <row r="1424" hidden="1" x14ac:dyDescent="0.25"/>
    <row r="1425" hidden="1" x14ac:dyDescent="0.25"/>
    <row r="1426" hidden="1" x14ac:dyDescent="0.25"/>
    <row r="1427" hidden="1" x14ac:dyDescent="0.25"/>
    <row r="1428" hidden="1" x14ac:dyDescent="0.25"/>
    <row r="1429" hidden="1" x14ac:dyDescent="0.25"/>
    <row r="1430" hidden="1" x14ac:dyDescent="0.25"/>
    <row r="1431" hidden="1" x14ac:dyDescent="0.25"/>
    <row r="1432" hidden="1" x14ac:dyDescent="0.25"/>
    <row r="1433" hidden="1" x14ac:dyDescent="0.25"/>
    <row r="1434" hidden="1" x14ac:dyDescent="0.25"/>
    <row r="1435" hidden="1" x14ac:dyDescent="0.25"/>
    <row r="1436" hidden="1" x14ac:dyDescent="0.25"/>
    <row r="1437" hidden="1" x14ac:dyDescent="0.25"/>
    <row r="1438" hidden="1" x14ac:dyDescent="0.25"/>
    <row r="1439" hidden="1" x14ac:dyDescent="0.25"/>
    <row r="1440" hidden="1" x14ac:dyDescent="0.25"/>
    <row r="1441" hidden="1" x14ac:dyDescent="0.25"/>
    <row r="1442" hidden="1" x14ac:dyDescent="0.25"/>
    <row r="1443" hidden="1" x14ac:dyDescent="0.25"/>
    <row r="1444" hidden="1" x14ac:dyDescent="0.25"/>
    <row r="1445" hidden="1" x14ac:dyDescent="0.25"/>
    <row r="1446" hidden="1" x14ac:dyDescent="0.25"/>
    <row r="1447" hidden="1" x14ac:dyDescent="0.25"/>
    <row r="1448" hidden="1" x14ac:dyDescent="0.25"/>
    <row r="1449" hidden="1" x14ac:dyDescent="0.25"/>
    <row r="1450" hidden="1" x14ac:dyDescent="0.25"/>
    <row r="1451" hidden="1" x14ac:dyDescent="0.25"/>
    <row r="1452" hidden="1" x14ac:dyDescent="0.25"/>
    <row r="1453" hidden="1" x14ac:dyDescent="0.25"/>
    <row r="1454" hidden="1" x14ac:dyDescent="0.25"/>
    <row r="1455" hidden="1" x14ac:dyDescent="0.25"/>
    <row r="1456" hidden="1" x14ac:dyDescent="0.25"/>
    <row r="1457" hidden="1" x14ac:dyDescent="0.25"/>
    <row r="1458" hidden="1" x14ac:dyDescent="0.25"/>
    <row r="1459" hidden="1" x14ac:dyDescent="0.25"/>
    <row r="1460" hidden="1" x14ac:dyDescent="0.25"/>
    <row r="1461" hidden="1" x14ac:dyDescent="0.25"/>
    <row r="1462" hidden="1" x14ac:dyDescent="0.25"/>
    <row r="1463" hidden="1" x14ac:dyDescent="0.25"/>
    <row r="1464" hidden="1" x14ac:dyDescent="0.25"/>
    <row r="1465" hidden="1" x14ac:dyDescent="0.25"/>
    <row r="1466" hidden="1" x14ac:dyDescent="0.25"/>
    <row r="1467" hidden="1" x14ac:dyDescent="0.25"/>
    <row r="1468" hidden="1" x14ac:dyDescent="0.25"/>
    <row r="1469" hidden="1" x14ac:dyDescent="0.25"/>
    <row r="1470" hidden="1" x14ac:dyDescent="0.25"/>
    <row r="1471" hidden="1" x14ac:dyDescent="0.25"/>
    <row r="1472" hidden="1" x14ac:dyDescent="0.25"/>
    <row r="1473" hidden="1" x14ac:dyDescent="0.25"/>
    <row r="1474" hidden="1" x14ac:dyDescent="0.25"/>
    <row r="1475" hidden="1" x14ac:dyDescent="0.25"/>
    <row r="1476" hidden="1" x14ac:dyDescent="0.25"/>
    <row r="1477" hidden="1" x14ac:dyDescent="0.25"/>
    <row r="1478" hidden="1" x14ac:dyDescent="0.25"/>
    <row r="1479" hidden="1" x14ac:dyDescent="0.25"/>
    <row r="1480" hidden="1" x14ac:dyDescent="0.25"/>
    <row r="1481" hidden="1" x14ac:dyDescent="0.25"/>
    <row r="1482" hidden="1" x14ac:dyDescent="0.25"/>
    <row r="1483" hidden="1" x14ac:dyDescent="0.25"/>
    <row r="1484" hidden="1" x14ac:dyDescent="0.25"/>
    <row r="1485" hidden="1" x14ac:dyDescent="0.25"/>
    <row r="1486" hidden="1" x14ac:dyDescent="0.25"/>
    <row r="1487" hidden="1" x14ac:dyDescent="0.25"/>
    <row r="1488" hidden="1" x14ac:dyDescent="0.25"/>
    <row r="1489" hidden="1" x14ac:dyDescent="0.25"/>
    <row r="1490" hidden="1" x14ac:dyDescent="0.25"/>
    <row r="1491" hidden="1" x14ac:dyDescent="0.25"/>
    <row r="1492" hidden="1" x14ac:dyDescent="0.25"/>
    <row r="1493" hidden="1" x14ac:dyDescent="0.25"/>
    <row r="1494" hidden="1" x14ac:dyDescent="0.25"/>
    <row r="1495" hidden="1" x14ac:dyDescent="0.25"/>
    <row r="1496" hidden="1" x14ac:dyDescent="0.25"/>
    <row r="1497" hidden="1" x14ac:dyDescent="0.25"/>
    <row r="1498" hidden="1" x14ac:dyDescent="0.25"/>
    <row r="1499" hidden="1" x14ac:dyDescent="0.25"/>
    <row r="1500" hidden="1" x14ac:dyDescent="0.25"/>
    <row r="1501" hidden="1" x14ac:dyDescent="0.25"/>
    <row r="1502" hidden="1" x14ac:dyDescent="0.25"/>
    <row r="1503" hidden="1" x14ac:dyDescent="0.25"/>
    <row r="1504" hidden="1" x14ac:dyDescent="0.25"/>
    <row r="1505" hidden="1" x14ac:dyDescent="0.25"/>
    <row r="1506" hidden="1" x14ac:dyDescent="0.25"/>
    <row r="1507" hidden="1" x14ac:dyDescent="0.25"/>
    <row r="1508" hidden="1" x14ac:dyDescent="0.25"/>
    <row r="1509" hidden="1" x14ac:dyDescent="0.25"/>
    <row r="1510" hidden="1" x14ac:dyDescent="0.25"/>
    <row r="1511" hidden="1" x14ac:dyDescent="0.25"/>
    <row r="1512" hidden="1" x14ac:dyDescent="0.25"/>
    <row r="1513" hidden="1" x14ac:dyDescent="0.25"/>
    <row r="1514" hidden="1" x14ac:dyDescent="0.25"/>
    <row r="1515" hidden="1" x14ac:dyDescent="0.25"/>
    <row r="1516" hidden="1" x14ac:dyDescent="0.25"/>
    <row r="1517" hidden="1" x14ac:dyDescent="0.25"/>
    <row r="1518" hidden="1" x14ac:dyDescent="0.25"/>
    <row r="1519" hidden="1" x14ac:dyDescent="0.25"/>
    <row r="1520" hidden="1" x14ac:dyDescent="0.25"/>
    <row r="1521" hidden="1" x14ac:dyDescent="0.25"/>
    <row r="1522" hidden="1" x14ac:dyDescent="0.25"/>
    <row r="1523" hidden="1" x14ac:dyDescent="0.25"/>
    <row r="1524" hidden="1" x14ac:dyDescent="0.25"/>
    <row r="1525" hidden="1" x14ac:dyDescent="0.25"/>
    <row r="1526" hidden="1" x14ac:dyDescent="0.25"/>
    <row r="1527" hidden="1" x14ac:dyDescent="0.25"/>
    <row r="1528" hidden="1" x14ac:dyDescent="0.25"/>
    <row r="1529" hidden="1" x14ac:dyDescent="0.25"/>
    <row r="1530" hidden="1" x14ac:dyDescent="0.25"/>
    <row r="1531" hidden="1" x14ac:dyDescent="0.25"/>
    <row r="1532" hidden="1" x14ac:dyDescent="0.25"/>
    <row r="1533" hidden="1" x14ac:dyDescent="0.25"/>
    <row r="1534" hidden="1" x14ac:dyDescent="0.25"/>
    <row r="1535" hidden="1" x14ac:dyDescent="0.25"/>
    <row r="1536" hidden="1" x14ac:dyDescent="0.25"/>
    <row r="1537" hidden="1" x14ac:dyDescent="0.25"/>
    <row r="1538" hidden="1" x14ac:dyDescent="0.25"/>
    <row r="1539" hidden="1" x14ac:dyDescent="0.25"/>
    <row r="1540" hidden="1" x14ac:dyDescent="0.25"/>
    <row r="1541" hidden="1" x14ac:dyDescent="0.25"/>
    <row r="1542" hidden="1" x14ac:dyDescent="0.25"/>
    <row r="1543" hidden="1" x14ac:dyDescent="0.25"/>
    <row r="1544" hidden="1" x14ac:dyDescent="0.25"/>
    <row r="1545" hidden="1" x14ac:dyDescent="0.25"/>
    <row r="1546" hidden="1" x14ac:dyDescent="0.25"/>
    <row r="1547" hidden="1" x14ac:dyDescent="0.25"/>
    <row r="1548" hidden="1" x14ac:dyDescent="0.25"/>
    <row r="1549" hidden="1" x14ac:dyDescent="0.25"/>
    <row r="1550" hidden="1" x14ac:dyDescent="0.25"/>
    <row r="1551" hidden="1" x14ac:dyDescent="0.25"/>
    <row r="1552" hidden="1" x14ac:dyDescent="0.25"/>
    <row r="1553" hidden="1" x14ac:dyDescent="0.25"/>
    <row r="1554" hidden="1" x14ac:dyDescent="0.25"/>
    <row r="1555" hidden="1" x14ac:dyDescent="0.25"/>
    <row r="1556" hidden="1" x14ac:dyDescent="0.25"/>
    <row r="1557" hidden="1" x14ac:dyDescent="0.25"/>
    <row r="1558" hidden="1" x14ac:dyDescent="0.25"/>
    <row r="1559" hidden="1" x14ac:dyDescent="0.25"/>
    <row r="1560" hidden="1" x14ac:dyDescent="0.25"/>
    <row r="1561" hidden="1" x14ac:dyDescent="0.25"/>
    <row r="1562" hidden="1" x14ac:dyDescent="0.25"/>
    <row r="1563" hidden="1" x14ac:dyDescent="0.25"/>
    <row r="1564" hidden="1" x14ac:dyDescent="0.25"/>
    <row r="1565" hidden="1" x14ac:dyDescent="0.25"/>
    <row r="1566" hidden="1" x14ac:dyDescent="0.25"/>
    <row r="1567" hidden="1" x14ac:dyDescent="0.25"/>
    <row r="1568" hidden="1" x14ac:dyDescent="0.25"/>
    <row r="1569" hidden="1" x14ac:dyDescent="0.25"/>
    <row r="1570" hidden="1" x14ac:dyDescent="0.25"/>
    <row r="1571" hidden="1" x14ac:dyDescent="0.25"/>
    <row r="1572" hidden="1" x14ac:dyDescent="0.25"/>
    <row r="1573" hidden="1" x14ac:dyDescent="0.25"/>
    <row r="1574" hidden="1" x14ac:dyDescent="0.25"/>
    <row r="1575" hidden="1" x14ac:dyDescent="0.25"/>
    <row r="1576" hidden="1" x14ac:dyDescent="0.25"/>
    <row r="1577" hidden="1" x14ac:dyDescent="0.25"/>
    <row r="1578" hidden="1" x14ac:dyDescent="0.25"/>
    <row r="1579" hidden="1" x14ac:dyDescent="0.25"/>
    <row r="1580" hidden="1" x14ac:dyDescent="0.25"/>
    <row r="1581" hidden="1" x14ac:dyDescent="0.25"/>
    <row r="1582" hidden="1" x14ac:dyDescent="0.25"/>
    <row r="1583" hidden="1" x14ac:dyDescent="0.25"/>
    <row r="1584" hidden="1" x14ac:dyDescent="0.25"/>
    <row r="1585" hidden="1" x14ac:dyDescent="0.25"/>
    <row r="1586" hidden="1" x14ac:dyDescent="0.25"/>
    <row r="1587" hidden="1" x14ac:dyDescent="0.25"/>
    <row r="1588" hidden="1" x14ac:dyDescent="0.25"/>
    <row r="1589" hidden="1" x14ac:dyDescent="0.25"/>
    <row r="1590" hidden="1" x14ac:dyDescent="0.25"/>
    <row r="1591" hidden="1" x14ac:dyDescent="0.25"/>
    <row r="1592" hidden="1" x14ac:dyDescent="0.25"/>
    <row r="1593" hidden="1" x14ac:dyDescent="0.25"/>
    <row r="1594" hidden="1" x14ac:dyDescent="0.25"/>
    <row r="1595" hidden="1" x14ac:dyDescent="0.25"/>
    <row r="1596" hidden="1" x14ac:dyDescent="0.25"/>
    <row r="1597" hidden="1" x14ac:dyDescent="0.25"/>
    <row r="1598" hidden="1" x14ac:dyDescent="0.25"/>
    <row r="1599" hidden="1" x14ac:dyDescent="0.25"/>
    <row r="1600" hidden="1" x14ac:dyDescent="0.25"/>
    <row r="1601" hidden="1" x14ac:dyDescent="0.25"/>
    <row r="1602" hidden="1" x14ac:dyDescent="0.25"/>
    <row r="1603" hidden="1" x14ac:dyDescent="0.25"/>
    <row r="1604" hidden="1" x14ac:dyDescent="0.25"/>
    <row r="1605" hidden="1" x14ac:dyDescent="0.25"/>
    <row r="1606" hidden="1" x14ac:dyDescent="0.25"/>
    <row r="1607" hidden="1" x14ac:dyDescent="0.25"/>
    <row r="1608" hidden="1" x14ac:dyDescent="0.25"/>
    <row r="1609" hidden="1" x14ac:dyDescent="0.25"/>
    <row r="1610" hidden="1" x14ac:dyDescent="0.25"/>
    <row r="1611" hidden="1" x14ac:dyDescent="0.25"/>
    <row r="1612" hidden="1" x14ac:dyDescent="0.25"/>
    <row r="1613" hidden="1" x14ac:dyDescent="0.25"/>
    <row r="1614" hidden="1" x14ac:dyDescent="0.25"/>
    <row r="1615" hidden="1" x14ac:dyDescent="0.25"/>
    <row r="1616" hidden="1" x14ac:dyDescent="0.25"/>
    <row r="1617" hidden="1" x14ac:dyDescent="0.25"/>
    <row r="1618" hidden="1" x14ac:dyDescent="0.25"/>
    <row r="1619" hidden="1" x14ac:dyDescent="0.25"/>
    <row r="1620" hidden="1" x14ac:dyDescent="0.25"/>
    <row r="1621" hidden="1" x14ac:dyDescent="0.25"/>
    <row r="1622" hidden="1" x14ac:dyDescent="0.25"/>
    <row r="1623" hidden="1" x14ac:dyDescent="0.25"/>
    <row r="1624" hidden="1" x14ac:dyDescent="0.25"/>
    <row r="1625" hidden="1" x14ac:dyDescent="0.25"/>
    <row r="1626" hidden="1" x14ac:dyDescent="0.25"/>
    <row r="1627" hidden="1" x14ac:dyDescent="0.25"/>
    <row r="1628" hidden="1" x14ac:dyDescent="0.25"/>
    <row r="1629" hidden="1" x14ac:dyDescent="0.25"/>
    <row r="1630" hidden="1" x14ac:dyDescent="0.25"/>
    <row r="1631" hidden="1" x14ac:dyDescent="0.25"/>
    <row r="1632" hidden="1" x14ac:dyDescent="0.25"/>
    <row r="1633" hidden="1" x14ac:dyDescent="0.25"/>
    <row r="1634" hidden="1" x14ac:dyDescent="0.25"/>
    <row r="1635" hidden="1" x14ac:dyDescent="0.25"/>
    <row r="1636" hidden="1" x14ac:dyDescent="0.25"/>
    <row r="1637" hidden="1" x14ac:dyDescent="0.25"/>
    <row r="1638" hidden="1" x14ac:dyDescent="0.25"/>
    <row r="1639" hidden="1" x14ac:dyDescent="0.25"/>
    <row r="1640" hidden="1" x14ac:dyDescent="0.25"/>
    <row r="1641" hidden="1" x14ac:dyDescent="0.25"/>
    <row r="1642" hidden="1" x14ac:dyDescent="0.25"/>
    <row r="1643" hidden="1" x14ac:dyDescent="0.25"/>
    <row r="1644" hidden="1" x14ac:dyDescent="0.25"/>
    <row r="1645" hidden="1" x14ac:dyDescent="0.25"/>
    <row r="1646" hidden="1" x14ac:dyDescent="0.25"/>
    <row r="1647" hidden="1" x14ac:dyDescent="0.25"/>
    <row r="1648" hidden="1" x14ac:dyDescent="0.25"/>
    <row r="1649" hidden="1" x14ac:dyDescent="0.25"/>
    <row r="1650" hidden="1" x14ac:dyDescent="0.25"/>
    <row r="1651" hidden="1" x14ac:dyDescent="0.25"/>
    <row r="1652" hidden="1" x14ac:dyDescent="0.25"/>
    <row r="1653" hidden="1" x14ac:dyDescent="0.25"/>
    <row r="1654" hidden="1" x14ac:dyDescent="0.25"/>
    <row r="1655" hidden="1" x14ac:dyDescent="0.25"/>
    <row r="1656" hidden="1" x14ac:dyDescent="0.25"/>
    <row r="1657" hidden="1" x14ac:dyDescent="0.25"/>
    <row r="1658" hidden="1" x14ac:dyDescent="0.25"/>
    <row r="1659" hidden="1" x14ac:dyDescent="0.25"/>
    <row r="1660" hidden="1" x14ac:dyDescent="0.25"/>
    <row r="1661" hidden="1" x14ac:dyDescent="0.25"/>
    <row r="1662" hidden="1" x14ac:dyDescent="0.25"/>
    <row r="1663" hidden="1" x14ac:dyDescent="0.25"/>
    <row r="1664" hidden="1" x14ac:dyDescent="0.25"/>
    <row r="1665" hidden="1" x14ac:dyDescent="0.25"/>
    <row r="1666" hidden="1" x14ac:dyDescent="0.25"/>
    <row r="1667" hidden="1" x14ac:dyDescent="0.25"/>
    <row r="1668" hidden="1" x14ac:dyDescent="0.25"/>
    <row r="1669" hidden="1" x14ac:dyDescent="0.25"/>
    <row r="1670" hidden="1" x14ac:dyDescent="0.25"/>
    <row r="1671" hidden="1" x14ac:dyDescent="0.25"/>
    <row r="1672" hidden="1" x14ac:dyDescent="0.25"/>
    <row r="1673" hidden="1" x14ac:dyDescent="0.25"/>
    <row r="1674" hidden="1" x14ac:dyDescent="0.25"/>
    <row r="1675" hidden="1" x14ac:dyDescent="0.25"/>
    <row r="1676" hidden="1" x14ac:dyDescent="0.25"/>
    <row r="1677" hidden="1" x14ac:dyDescent="0.25"/>
    <row r="1678" hidden="1" x14ac:dyDescent="0.25"/>
    <row r="1679" hidden="1" x14ac:dyDescent="0.25"/>
    <row r="1680" hidden="1" x14ac:dyDescent="0.25"/>
    <row r="1681" hidden="1" x14ac:dyDescent="0.25"/>
    <row r="1682" hidden="1" x14ac:dyDescent="0.25"/>
    <row r="1683" hidden="1" x14ac:dyDescent="0.25"/>
    <row r="1684" hidden="1" x14ac:dyDescent="0.25"/>
    <row r="1685" hidden="1" x14ac:dyDescent="0.25"/>
    <row r="1686" hidden="1" x14ac:dyDescent="0.25"/>
    <row r="1687" hidden="1" x14ac:dyDescent="0.25"/>
    <row r="1688" hidden="1" x14ac:dyDescent="0.25"/>
    <row r="1689" hidden="1" x14ac:dyDescent="0.25"/>
    <row r="1690" hidden="1" x14ac:dyDescent="0.25"/>
    <row r="1691" hidden="1" x14ac:dyDescent="0.25"/>
    <row r="1692" hidden="1" x14ac:dyDescent="0.25"/>
    <row r="1693" hidden="1" x14ac:dyDescent="0.25"/>
    <row r="1694" hidden="1" x14ac:dyDescent="0.25"/>
    <row r="1695" hidden="1" x14ac:dyDescent="0.25"/>
    <row r="1696" hidden="1" x14ac:dyDescent="0.25"/>
    <row r="1697" hidden="1" x14ac:dyDescent="0.25"/>
    <row r="1698" hidden="1" x14ac:dyDescent="0.25"/>
    <row r="1699" hidden="1" x14ac:dyDescent="0.25"/>
    <row r="1700" hidden="1" x14ac:dyDescent="0.25"/>
    <row r="1701" hidden="1" x14ac:dyDescent="0.25"/>
    <row r="1702" hidden="1" x14ac:dyDescent="0.25"/>
    <row r="1703" hidden="1" x14ac:dyDescent="0.25"/>
    <row r="1704" hidden="1" x14ac:dyDescent="0.25"/>
    <row r="1705" hidden="1" x14ac:dyDescent="0.25"/>
    <row r="1706" hidden="1" x14ac:dyDescent="0.25"/>
    <row r="1707" hidden="1" x14ac:dyDescent="0.25"/>
    <row r="1708" hidden="1" x14ac:dyDescent="0.25"/>
    <row r="1709" hidden="1" x14ac:dyDescent="0.25"/>
    <row r="1710" hidden="1" x14ac:dyDescent="0.25"/>
    <row r="1711" hidden="1" x14ac:dyDescent="0.25"/>
    <row r="1712" hidden="1" x14ac:dyDescent="0.25"/>
    <row r="1713" hidden="1" x14ac:dyDescent="0.25"/>
    <row r="1714" hidden="1" x14ac:dyDescent="0.25"/>
    <row r="1715" hidden="1" x14ac:dyDescent="0.25"/>
    <row r="1716" hidden="1" x14ac:dyDescent="0.25"/>
    <row r="1717" hidden="1" x14ac:dyDescent="0.25"/>
    <row r="1718" hidden="1" x14ac:dyDescent="0.25"/>
    <row r="1719" hidden="1" x14ac:dyDescent="0.25"/>
    <row r="1720" hidden="1" x14ac:dyDescent="0.25"/>
    <row r="1721" hidden="1" x14ac:dyDescent="0.25"/>
    <row r="1722" hidden="1" x14ac:dyDescent="0.25"/>
    <row r="1723" hidden="1" x14ac:dyDescent="0.25"/>
    <row r="1724" hidden="1" x14ac:dyDescent="0.25"/>
    <row r="1725" hidden="1" x14ac:dyDescent="0.25"/>
    <row r="1726" hidden="1" x14ac:dyDescent="0.25"/>
    <row r="1727" hidden="1" x14ac:dyDescent="0.25"/>
    <row r="1728" hidden="1" x14ac:dyDescent="0.25"/>
    <row r="1729" hidden="1" x14ac:dyDescent="0.25"/>
    <row r="1730" hidden="1" x14ac:dyDescent="0.25"/>
    <row r="1731" hidden="1" x14ac:dyDescent="0.25"/>
    <row r="1732" hidden="1" x14ac:dyDescent="0.25"/>
    <row r="1733" hidden="1" x14ac:dyDescent="0.25"/>
    <row r="1734" hidden="1" x14ac:dyDescent="0.25"/>
    <row r="1735" hidden="1" x14ac:dyDescent="0.25"/>
    <row r="1736" hidden="1" x14ac:dyDescent="0.25"/>
    <row r="1737" hidden="1" x14ac:dyDescent="0.25"/>
    <row r="1738" hidden="1" x14ac:dyDescent="0.25"/>
    <row r="1739" hidden="1" x14ac:dyDescent="0.25"/>
    <row r="1740" hidden="1" x14ac:dyDescent="0.25"/>
    <row r="1741" hidden="1" x14ac:dyDescent="0.25"/>
    <row r="1742" hidden="1" x14ac:dyDescent="0.25"/>
    <row r="1743" hidden="1" x14ac:dyDescent="0.25"/>
    <row r="1744" hidden="1" x14ac:dyDescent="0.25"/>
    <row r="1745" hidden="1" x14ac:dyDescent="0.25"/>
    <row r="1746" hidden="1" x14ac:dyDescent="0.25"/>
    <row r="1747" hidden="1" x14ac:dyDescent="0.25"/>
    <row r="1748" hidden="1" x14ac:dyDescent="0.25"/>
    <row r="1749" hidden="1" x14ac:dyDescent="0.25"/>
    <row r="1750" hidden="1" x14ac:dyDescent="0.25"/>
    <row r="1751" hidden="1" x14ac:dyDescent="0.25"/>
    <row r="1752" hidden="1" x14ac:dyDescent="0.25"/>
    <row r="1753" hidden="1" x14ac:dyDescent="0.25"/>
    <row r="1754" hidden="1" x14ac:dyDescent="0.25"/>
    <row r="1755" hidden="1" x14ac:dyDescent="0.25"/>
    <row r="1756" hidden="1" x14ac:dyDescent="0.25"/>
    <row r="1757" hidden="1" x14ac:dyDescent="0.25"/>
    <row r="1758" hidden="1" x14ac:dyDescent="0.25"/>
    <row r="1759" hidden="1" x14ac:dyDescent="0.25"/>
    <row r="1760" hidden="1" x14ac:dyDescent="0.25"/>
    <row r="1761" hidden="1" x14ac:dyDescent="0.25"/>
    <row r="1762" hidden="1" x14ac:dyDescent="0.25"/>
    <row r="1763" hidden="1" x14ac:dyDescent="0.25"/>
    <row r="1764" hidden="1" x14ac:dyDescent="0.25"/>
    <row r="1765" hidden="1" x14ac:dyDescent="0.25"/>
    <row r="1766" hidden="1" x14ac:dyDescent="0.25"/>
    <row r="1767" hidden="1" x14ac:dyDescent="0.25"/>
    <row r="1768" hidden="1" x14ac:dyDescent="0.25"/>
    <row r="1769" hidden="1" x14ac:dyDescent="0.25"/>
    <row r="1770" hidden="1" x14ac:dyDescent="0.25"/>
    <row r="1771" hidden="1" x14ac:dyDescent="0.25"/>
    <row r="1772" hidden="1" x14ac:dyDescent="0.25"/>
    <row r="1773" hidden="1" x14ac:dyDescent="0.25"/>
    <row r="1774" hidden="1" x14ac:dyDescent="0.25"/>
    <row r="1775" hidden="1" x14ac:dyDescent="0.25"/>
    <row r="1776" hidden="1" x14ac:dyDescent="0.25"/>
    <row r="1777" hidden="1" x14ac:dyDescent="0.25"/>
    <row r="1778" hidden="1" x14ac:dyDescent="0.25"/>
    <row r="1779" hidden="1" x14ac:dyDescent="0.25"/>
    <row r="1780" hidden="1" x14ac:dyDescent="0.25"/>
    <row r="1781" hidden="1" x14ac:dyDescent="0.25"/>
    <row r="1782" hidden="1" x14ac:dyDescent="0.25"/>
    <row r="1783" hidden="1" x14ac:dyDescent="0.25"/>
    <row r="1784" hidden="1" x14ac:dyDescent="0.25"/>
    <row r="1785" hidden="1" x14ac:dyDescent="0.25"/>
    <row r="1786" hidden="1" x14ac:dyDescent="0.25"/>
    <row r="1787" hidden="1" x14ac:dyDescent="0.25"/>
    <row r="1788" hidden="1" x14ac:dyDescent="0.25"/>
    <row r="1789" hidden="1" x14ac:dyDescent="0.25"/>
    <row r="1790" hidden="1" x14ac:dyDescent="0.25"/>
    <row r="1791" hidden="1" x14ac:dyDescent="0.25"/>
    <row r="1792" hidden="1" x14ac:dyDescent="0.25"/>
    <row r="1793" hidden="1" x14ac:dyDescent="0.25"/>
    <row r="1794" hidden="1" x14ac:dyDescent="0.25"/>
    <row r="1795" hidden="1" x14ac:dyDescent="0.25"/>
    <row r="1796" hidden="1" x14ac:dyDescent="0.25"/>
    <row r="1797" hidden="1" x14ac:dyDescent="0.25"/>
    <row r="1798" hidden="1" x14ac:dyDescent="0.25"/>
    <row r="1799" hidden="1" x14ac:dyDescent="0.25"/>
    <row r="1800" hidden="1" x14ac:dyDescent="0.25"/>
    <row r="1801" hidden="1" x14ac:dyDescent="0.25"/>
    <row r="1802" hidden="1" x14ac:dyDescent="0.25"/>
    <row r="1803" hidden="1" x14ac:dyDescent="0.25"/>
    <row r="1804" hidden="1" x14ac:dyDescent="0.25"/>
    <row r="1805" hidden="1" x14ac:dyDescent="0.25"/>
    <row r="1806" hidden="1" x14ac:dyDescent="0.25"/>
    <row r="1807" hidden="1" x14ac:dyDescent="0.25"/>
    <row r="1808" hidden="1" x14ac:dyDescent="0.25"/>
    <row r="1809" hidden="1" x14ac:dyDescent="0.25"/>
    <row r="1810" hidden="1" x14ac:dyDescent="0.25"/>
    <row r="1811" hidden="1" x14ac:dyDescent="0.25"/>
    <row r="1812" hidden="1" x14ac:dyDescent="0.25"/>
    <row r="1813" hidden="1" x14ac:dyDescent="0.25"/>
    <row r="1814" hidden="1" x14ac:dyDescent="0.25"/>
    <row r="1815" hidden="1" x14ac:dyDescent="0.25"/>
    <row r="1816" hidden="1" x14ac:dyDescent="0.25"/>
    <row r="1817" hidden="1" x14ac:dyDescent="0.25"/>
    <row r="1818" hidden="1" x14ac:dyDescent="0.25"/>
    <row r="1819" hidden="1" x14ac:dyDescent="0.25"/>
    <row r="1820" hidden="1" x14ac:dyDescent="0.25"/>
    <row r="1821" hidden="1" x14ac:dyDescent="0.25"/>
    <row r="1822" hidden="1" x14ac:dyDescent="0.25"/>
    <row r="1823" hidden="1" x14ac:dyDescent="0.25"/>
    <row r="1824" hidden="1" x14ac:dyDescent="0.25"/>
    <row r="1825" hidden="1" x14ac:dyDescent="0.25"/>
    <row r="1826" hidden="1" x14ac:dyDescent="0.25"/>
    <row r="1827" hidden="1" x14ac:dyDescent="0.25"/>
    <row r="1828" hidden="1" x14ac:dyDescent="0.25"/>
    <row r="1829" hidden="1" x14ac:dyDescent="0.25"/>
    <row r="1830" hidden="1" x14ac:dyDescent="0.25"/>
    <row r="1831" hidden="1" x14ac:dyDescent="0.25"/>
    <row r="1832" hidden="1" x14ac:dyDescent="0.25"/>
    <row r="1833" hidden="1" x14ac:dyDescent="0.25"/>
    <row r="1834" hidden="1" x14ac:dyDescent="0.25"/>
    <row r="1835" hidden="1" x14ac:dyDescent="0.25"/>
    <row r="1836" hidden="1" x14ac:dyDescent="0.25"/>
    <row r="1837" hidden="1" x14ac:dyDescent="0.25"/>
    <row r="1838" hidden="1" x14ac:dyDescent="0.25"/>
    <row r="1839" hidden="1" x14ac:dyDescent="0.25"/>
    <row r="1840" hidden="1" x14ac:dyDescent="0.25"/>
    <row r="1841" hidden="1" x14ac:dyDescent="0.25"/>
    <row r="1842" hidden="1" x14ac:dyDescent="0.25"/>
    <row r="1843" hidden="1" x14ac:dyDescent="0.25"/>
    <row r="1844" hidden="1" x14ac:dyDescent="0.25"/>
    <row r="1845" hidden="1" x14ac:dyDescent="0.25"/>
    <row r="1846" hidden="1" x14ac:dyDescent="0.25"/>
    <row r="1847" hidden="1" x14ac:dyDescent="0.25"/>
    <row r="1848" hidden="1" x14ac:dyDescent="0.25"/>
    <row r="1849" hidden="1" x14ac:dyDescent="0.25"/>
    <row r="1850" hidden="1" x14ac:dyDescent="0.25"/>
    <row r="1851" hidden="1" x14ac:dyDescent="0.25"/>
    <row r="1852" hidden="1" x14ac:dyDescent="0.25"/>
    <row r="1853" hidden="1" x14ac:dyDescent="0.25"/>
    <row r="1854" hidden="1" x14ac:dyDescent="0.25"/>
    <row r="1855" hidden="1" x14ac:dyDescent="0.25"/>
    <row r="1856" hidden="1" x14ac:dyDescent="0.25"/>
    <row r="1857" hidden="1" x14ac:dyDescent="0.25"/>
    <row r="1858" hidden="1" x14ac:dyDescent="0.25"/>
    <row r="1859" hidden="1" x14ac:dyDescent="0.25"/>
    <row r="1860" hidden="1" x14ac:dyDescent="0.25"/>
    <row r="1861" hidden="1" x14ac:dyDescent="0.25"/>
    <row r="1862" hidden="1" x14ac:dyDescent="0.25"/>
    <row r="1863" hidden="1" x14ac:dyDescent="0.25"/>
    <row r="1864" hidden="1" x14ac:dyDescent="0.25"/>
    <row r="1865" hidden="1" x14ac:dyDescent="0.25"/>
    <row r="1866" hidden="1" x14ac:dyDescent="0.25"/>
    <row r="1867" hidden="1" x14ac:dyDescent="0.25"/>
    <row r="1868" hidden="1" x14ac:dyDescent="0.25"/>
    <row r="1869" hidden="1" x14ac:dyDescent="0.25"/>
    <row r="1870" hidden="1" x14ac:dyDescent="0.25"/>
    <row r="1871" hidden="1" x14ac:dyDescent="0.25"/>
    <row r="1872" hidden="1" x14ac:dyDescent="0.25"/>
    <row r="1873" hidden="1" x14ac:dyDescent="0.25"/>
    <row r="1874" hidden="1" x14ac:dyDescent="0.25"/>
    <row r="1875" hidden="1" x14ac:dyDescent="0.25"/>
    <row r="1876" hidden="1" x14ac:dyDescent="0.25"/>
    <row r="1877" hidden="1" x14ac:dyDescent="0.25"/>
    <row r="1878" hidden="1" x14ac:dyDescent="0.25"/>
    <row r="1879" hidden="1" x14ac:dyDescent="0.25"/>
    <row r="1880" hidden="1" x14ac:dyDescent="0.25"/>
    <row r="1881" hidden="1" x14ac:dyDescent="0.25"/>
    <row r="1882" hidden="1" x14ac:dyDescent="0.25"/>
    <row r="1883" hidden="1" x14ac:dyDescent="0.25"/>
    <row r="1884" hidden="1" x14ac:dyDescent="0.25"/>
    <row r="1885" hidden="1" x14ac:dyDescent="0.25"/>
    <row r="1886" hidden="1" x14ac:dyDescent="0.25"/>
    <row r="1887" hidden="1" x14ac:dyDescent="0.25"/>
    <row r="1888" hidden="1" x14ac:dyDescent="0.25"/>
    <row r="1889" hidden="1" x14ac:dyDescent="0.25"/>
    <row r="1890" hidden="1" x14ac:dyDescent="0.25"/>
    <row r="1891" hidden="1" x14ac:dyDescent="0.25"/>
    <row r="1892" hidden="1" x14ac:dyDescent="0.25"/>
    <row r="1893" hidden="1" x14ac:dyDescent="0.25"/>
    <row r="1894" hidden="1" x14ac:dyDescent="0.25"/>
    <row r="1895" hidden="1" x14ac:dyDescent="0.25"/>
    <row r="1896" hidden="1" x14ac:dyDescent="0.25"/>
    <row r="1897" hidden="1" x14ac:dyDescent="0.25"/>
    <row r="1898" hidden="1" x14ac:dyDescent="0.25"/>
    <row r="1899" hidden="1" x14ac:dyDescent="0.25"/>
    <row r="1900" hidden="1" x14ac:dyDescent="0.25"/>
    <row r="1901" hidden="1" x14ac:dyDescent="0.25"/>
    <row r="1902" hidden="1" x14ac:dyDescent="0.25"/>
    <row r="1903" hidden="1" x14ac:dyDescent="0.25"/>
    <row r="1904" hidden="1" x14ac:dyDescent="0.25"/>
    <row r="1905" hidden="1" x14ac:dyDescent="0.25"/>
    <row r="1906" hidden="1" x14ac:dyDescent="0.25"/>
    <row r="1907" hidden="1" x14ac:dyDescent="0.25"/>
    <row r="1908" hidden="1" x14ac:dyDescent="0.25"/>
    <row r="1909" hidden="1" x14ac:dyDescent="0.25"/>
    <row r="1910" hidden="1" x14ac:dyDescent="0.25"/>
    <row r="1911" hidden="1" x14ac:dyDescent="0.25"/>
    <row r="1912" hidden="1" x14ac:dyDescent="0.25"/>
    <row r="1913" hidden="1" x14ac:dyDescent="0.25"/>
    <row r="1914" hidden="1" x14ac:dyDescent="0.25"/>
    <row r="1915" hidden="1" x14ac:dyDescent="0.25"/>
    <row r="1916" hidden="1" x14ac:dyDescent="0.25"/>
    <row r="1917" hidden="1" x14ac:dyDescent="0.25"/>
    <row r="1918" hidden="1" x14ac:dyDescent="0.25"/>
    <row r="1919" hidden="1" x14ac:dyDescent="0.25"/>
    <row r="1920" hidden="1" x14ac:dyDescent="0.25"/>
    <row r="1921" hidden="1" x14ac:dyDescent="0.25"/>
    <row r="1922" hidden="1" x14ac:dyDescent="0.25"/>
    <row r="1923" hidden="1" x14ac:dyDescent="0.25"/>
    <row r="1924" hidden="1" x14ac:dyDescent="0.25"/>
    <row r="1925" hidden="1" x14ac:dyDescent="0.25"/>
    <row r="1926" hidden="1" x14ac:dyDescent="0.25"/>
    <row r="1927" hidden="1" x14ac:dyDescent="0.25"/>
    <row r="1928" hidden="1" x14ac:dyDescent="0.25"/>
    <row r="1929" hidden="1" x14ac:dyDescent="0.25"/>
    <row r="1930" hidden="1" x14ac:dyDescent="0.25"/>
    <row r="1931" hidden="1" x14ac:dyDescent="0.25"/>
    <row r="1932" hidden="1" x14ac:dyDescent="0.25"/>
    <row r="1933" hidden="1" x14ac:dyDescent="0.25"/>
    <row r="1934" hidden="1" x14ac:dyDescent="0.25"/>
    <row r="1935" hidden="1" x14ac:dyDescent="0.25"/>
    <row r="1936" hidden="1" x14ac:dyDescent="0.25"/>
    <row r="1937" hidden="1" x14ac:dyDescent="0.25"/>
    <row r="1938" hidden="1" x14ac:dyDescent="0.25"/>
    <row r="1939" hidden="1" x14ac:dyDescent="0.25"/>
    <row r="1940" hidden="1" x14ac:dyDescent="0.25"/>
    <row r="1941" hidden="1" x14ac:dyDescent="0.25"/>
    <row r="1942" hidden="1" x14ac:dyDescent="0.25"/>
    <row r="1943" hidden="1" x14ac:dyDescent="0.25"/>
    <row r="1944" hidden="1" x14ac:dyDescent="0.25"/>
    <row r="1945" hidden="1" x14ac:dyDescent="0.25"/>
    <row r="1946" hidden="1" x14ac:dyDescent="0.25"/>
    <row r="1947" hidden="1" x14ac:dyDescent="0.25"/>
    <row r="1948" hidden="1" x14ac:dyDescent="0.25"/>
    <row r="1949" hidden="1" x14ac:dyDescent="0.25"/>
    <row r="1950" hidden="1" x14ac:dyDescent="0.25"/>
    <row r="1951" hidden="1" x14ac:dyDescent="0.25"/>
    <row r="1952" hidden="1" x14ac:dyDescent="0.25"/>
    <row r="1953" hidden="1" x14ac:dyDescent="0.25"/>
    <row r="1954" hidden="1" x14ac:dyDescent="0.25"/>
    <row r="1955" hidden="1" x14ac:dyDescent="0.25"/>
    <row r="1956" hidden="1" x14ac:dyDescent="0.25"/>
    <row r="1957" hidden="1" x14ac:dyDescent="0.25"/>
    <row r="1958" hidden="1" x14ac:dyDescent="0.25"/>
    <row r="1959" hidden="1" x14ac:dyDescent="0.25"/>
    <row r="1960" hidden="1" x14ac:dyDescent="0.25"/>
    <row r="1961" hidden="1" x14ac:dyDescent="0.25"/>
    <row r="1962" hidden="1" x14ac:dyDescent="0.25"/>
    <row r="1963" hidden="1" x14ac:dyDescent="0.25"/>
    <row r="1964" hidden="1" x14ac:dyDescent="0.25"/>
    <row r="1965" hidden="1" x14ac:dyDescent="0.25"/>
    <row r="1966" hidden="1" x14ac:dyDescent="0.25"/>
    <row r="1967" hidden="1" x14ac:dyDescent="0.25"/>
    <row r="1968" hidden="1" x14ac:dyDescent="0.25"/>
    <row r="1969" hidden="1" x14ac:dyDescent="0.25"/>
    <row r="1970" hidden="1" x14ac:dyDescent="0.25"/>
    <row r="1971" hidden="1" x14ac:dyDescent="0.25"/>
    <row r="1972" hidden="1" x14ac:dyDescent="0.25"/>
    <row r="1973" hidden="1" x14ac:dyDescent="0.25"/>
    <row r="1974" hidden="1" x14ac:dyDescent="0.25"/>
    <row r="1975" hidden="1" x14ac:dyDescent="0.25"/>
    <row r="1976" hidden="1" x14ac:dyDescent="0.25"/>
    <row r="1977" hidden="1" x14ac:dyDescent="0.25"/>
    <row r="1978" hidden="1" x14ac:dyDescent="0.25"/>
    <row r="1979" hidden="1" x14ac:dyDescent="0.25"/>
    <row r="1980" hidden="1" x14ac:dyDescent="0.25"/>
    <row r="1981" hidden="1" x14ac:dyDescent="0.25"/>
    <row r="1982" hidden="1" x14ac:dyDescent="0.25"/>
    <row r="1983" hidden="1" x14ac:dyDescent="0.25"/>
    <row r="1984" hidden="1" x14ac:dyDescent="0.25"/>
    <row r="1985" hidden="1" x14ac:dyDescent="0.25"/>
    <row r="1986" hidden="1" x14ac:dyDescent="0.25"/>
    <row r="1987" hidden="1" x14ac:dyDescent="0.25"/>
    <row r="1988" hidden="1" x14ac:dyDescent="0.25"/>
    <row r="1989" hidden="1" x14ac:dyDescent="0.25"/>
    <row r="1990" hidden="1" x14ac:dyDescent="0.25"/>
    <row r="1991" hidden="1" x14ac:dyDescent="0.25"/>
    <row r="1992" hidden="1" x14ac:dyDescent="0.25"/>
    <row r="1993" hidden="1" x14ac:dyDescent="0.25"/>
    <row r="1994" hidden="1" x14ac:dyDescent="0.25"/>
    <row r="1995" hidden="1" x14ac:dyDescent="0.25"/>
    <row r="1996" hidden="1" x14ac:dyDescent="0.25"/>
    <row r="1997" hidden="1" x14ac:dyDescent="0.25"/>
    <row r="1998" hidden="1" x14ac:dyDescent="0.25"/>
    <row r="1999" hidden="1" x14ac:dyDescent="0.25"/>
    <row r="2000" hidden="1" x14ac:dyDescent="0.25"/>
    <row r="2001" hidden="1" x14ac:dyDescent="0.25"/>
    <row r="2002" hidden="1" x14ac:dyDescent="0.25"/>
    <row r="2003" hidden="1" x14ac:dyDescent="0.25"/>
    <row r="2004" hidden="1" x14ac:dyDescent="0.25"/>
    <row r="2005" hidden="1" x14ac:dyDescent="0.25"/>
    <row r="2006" hidden="1" x14ac:dyDescent="0.25"/>
    <row r="2007" hidden="1" x14ac:dyDescent="0.25"/>
    <row r="2008" hidden="1" x14ac:dyDescent="0.25"/>
    <row r="2009" hidden="1" x14ac:dyDescent="0.25"/>
    <row r="2010" hidden="1" x14ac:dyDescent="0.25"/>
    <row r="2011" hidden="1" x14ac:dyDescent="0.25"/>
    <row r="2012" hidden="1" x14ac:dyDescent="0.25"/>
    <row r="2013" hidden="1" x14ac:dyDescent="0.25"/>
    <row r="2014" hidden="1" x14ac:dyDescent="0.25"/>
    <row r="2015" hidden="1" x14ac:dyDescent="0.25"/>
    <row r="2016" hidden="1" x14ac:dyDescent="0.25"/>
    <row r="2017" hidden="1" x14ac:dyDescent="0.25"/>
    <row r="2018" hidden="1" x14ac:dyDescent="0.25"/>
    <row r="2019" hidden="1" x14ac:dyDescent="0.25"/>
    <row r="2020" hidden="1" x14ac:dyDescent="0.25"/>
    <row r="2021" hidden="1" x14ac:dyDescent="0.25"/>
    <row r="2022" hidden="1" x14ac:dyDescent="0.25"/>
    <row r="2023" hidden="1" x14ac:dyDescent="0.25"/>
    <row r="2024" hidden="1" x14ac:dyDescent="0.25"/>
    <row r="2025" hidden="1" x14ac:dyDescent="0.25"/>
    <row r="2026" hidden="1" x14ac:dyDescent="0.25"/>
    <row r="2027" hidden="1" x14ac:dyDescent="0.25"/>
    <row r="2028" hidden="1" x14ac:dyDescent="0.25"/>
    <row r="2029" hidden="1" x14ac:dyDescent="0.25"/>
    <row r="2030" hidden="1" x14ac:dyDescent="0.25"/>
    <row r="2031" hidden="1" x14ac:dyDescent="0.25"/>
    <row r="2032" hidden="1" x14ac:dyDescent="0.25"/>
    <row r="2033" hidden="1" x14ac:dyDescent="0.25"/>
    <row r="2034" hidden="1" x14ac:dyDescent="0.25"/>
    <row r="2035" hidden="1" x14ac:dyDescent="0.25"/>
    <row r="2036" hidden="1" x14ac:dyDescent="0.25"/>
    <row r="2037" hidden="1" x14ac:dyDescent="0.25"/>
    <row r="2038" hidden="1" x14ac:dyDescent="0.25"/>
    <row r="2039" hidden="1" x14ac:dyDescent="0.25"/>
    <row r="2040" hidden="1" x14ac:dyDescent="0.25"/>
    <row r="2041" hidden="1" x14ac:dyDescent="0.25"/>
    <row r="2042" hidden="1" x14ac:dyDescent="0.25"/>
    <row r="2043" hidden="1" x14ac:dyDescent="0.25"/>
    <row r="2044" hidden="1" x14ac:dyDescent="0.25"/>
    <row r="2045" hidden="1" x14ac:dyDescent="0.25"/>
    <row r="2046" hidden="1" x14ac:dyDescent="0.25"/>
    <row r="2047" hidden="1" x14ac:dyDescent="0.25"/>
    <row r="2048" hidden="1" x14ac:dyDescent="0.25"/>
    <row r="2049" hidden="1" x14ac:dyDescent="0.25"/>
    <row r="2050" hidden="1" x14ac:dyDescent="0.25"/>
    <row r="2051" hidden="1" x14ac:dyDescent="0.25"/>
    <row r="2052" hidden="1" x14ac:dyDescent="0.25"/>
    <row r="2053" hidden="1" x14ac:dyDescent="0.25"/>
    <row r="2054" hidden="1" x14ac:dyDescent="0.25"/>
    <row r="2055" hidden="1" x14ac:dyDescent="0.25"/>
    <row r="2056" hidden="1" x14ac:dyDescent="0.25"/>
    <row r="2057" hidden="1" x14ac:dyDescent="0.25"/>
    <row r="2058" hidden="1" x14ac:dyDescent="0.25"/>
    <row r="2059" hidden="1" x14ac:dyDescent="0.25"/>
    <row r="2060" hidden="1" x14ac:dyDescent="0.25"/>
    <row r="2061" hidden="1" x14ac:dyDescent="0.25"/>
    <row r="2062" hidden="1" x14ac:dyDescent="0.25"/>
    <row r="2063" hidden="1" x14ac:dyDescent="0.25"/>
    <row r="2064" hidden="1" x14ac:dyDescent="0.25"/>
    <row r="2065" hidden="1" x14ac:dyDescent="0.25"/>
    <row r="2066" hidden="1" x14ac:dyDescent="0.25"/>
    <row r="2067" hidden="1" x14ac:dyDescent="0.25"/>
    <row r="2068" hidden="1" x14ac:dyDescent="0.25"/>
    <row r="2069" hidden="1" x14ac:dyDescent="0.25"/>
    <row r="2070" hidden="1" x14ac:dyDescent="0.25"/>
    <row r="2071" hidden="1" x14ac:dyDescent="0.25"/>
    <row r="2072" hidden="1" x14ac:dyDescent="0.25"/>
    <row r="2073" hidden="1" x14ac:dyDescent="0.25"/>
    <row r="2074" hidden="1" x14ac:dyDescent="0.25"/>
    <row r="2075" hidden="1" x14ac:dyDescent="0.25"/>
    <row r="2076" hidden="1" x14ac:dyDescent="0.25"/>
    <row r="2077" hidden="1" x14ac:dyDescent="0.25"/>
    <row r="2078" hidden="1" x14ac:dyDescent="0.25"/>
    <row r="2079" hidden="1" x14ac:dyDescent="0.25"/>
    <row r="2080" hidden="1" x14ac:dyDescent="0.25"/>
    <row r="2081" hidden="1" x14ac:dyDescent="0.25"/>
    <row r="2082" hidden="1" x14ac:dyDescent="0.25"/>
    <row r="2083" hidden="1" x14ac:dyDescent="0.25"/>
    <row r="2084" hidden="1" x14ac:dyDescent="0.25"/>
    <row r="2085" hidden="1" x14ac:dyDescent="0.25"/>
    <row r="2086" hidden="1" x14ac:dyDescent="0.25"/>
    <row r="2087" hidden="1" x14ac:dyDescent="0.25"/>
    <row r="2088" hidden="1" x14ac:dyDescent="0.25"/>
    <row r="2089" hidden="1" x14ac:dyDescent="0.25"/>
    <row r="2090" hidden="1" x14ac:dyDescent="0.25"/>
    <row r="2091" hidden="1" x14ac:dyDescent="0.25"/>
    <row r="2092" hidden="1" x14ac:dyDescent="0.25"/>
    <row r="2093" hidden="1" x14ac:dyDescent="0.25"/>
    <row r="2094" hidden="1" x14ac:dyDescent="0.25"/>
    <row r="2095" hidden="1" x14ac:dyDescent="0.25"/>
    <row r="2096" hidden="1" x14ac:dyDescent="0.25"/>
    <row r="2097" hidden="1" x14ac:dyDescent="0.25"/>
    <row r="2098" hidden="1" x14ac:dyDescent="0.25"/>
    <row r="2099" hidden="1" x14ac:dyDescent="0.25"/>
    <row r="2100" hidden="1" x14ac:dyDescent="0.25"/>
    <row r="2101" hidden="1" x14ac:dyDescent="0.25"/>
    <row r="2102" hidden="1" x14ac:dyDescent="0.25"/>
    <row r="2103" hidden="1" x14ac:dyDescent="0.25"/>
    <row r="2104" hidden="1" x14ac:dyDescent="0.25"/>
    <row r="2105" hidden="1" x14ac:dyDescent="0.25"/>
    <row r="2106" hidden="1" x14ac:dyDescent="0.25"/>
    <row r="2107" hidden="1" x14ac:dyDescent="0.25"/>
    <row r="2108" hidden="1" x14ac:dyDescent="0.25"/>
    <row r="2109" hidden="1" x14ac:dyDescent="0.25"/>
    <row r="2110" hidden="1" x14ac:dyDescent="0.25"/>
    <row r="2111" hidden="1" x14ac:dyDescent="0.25"/>
    <row r="2112" hidden="1" x14ac:dyDescent="0.25"/>
    <row r="2113" hidden="1" x14ac:dyDescent="0.25"/>
    <row r="2114" hidden="1" x14ac:dyDescent="0.25"/>
    <row r="2115" hidden="1" x14ac:dyDescent="0.25"/>
    <row r="2116" hidden="1" x14ac:dyDescent="0.25"/>
    <row r="2117" hidden="1" x14ac:dyDescent="0.25"/>
    <row r="2118" hidden="1" x14ac:dyDescent="0.25"/>
    <row r="2119" hidden="1" x14ac:dyDescent="0.25"/>
    <row r="2120" hidden="1" x14ac:dyDescent="0.25"/>
    <row r="2121" hidden="1" x14ac:dyDescent="0.25"/>
    <row r="2122" hidden="1" x14ac:dyDescent="0.25"/>
    <row r="2123" hidden="1" x14ac:dyDescent="0.25"/>
    <row r="2124" hidden="1" x14ac:dyDescent="0.25"/>
    <row r="2125" hidden="1" x14ac:dyDescent="0.25"/>
    <row r="2126" hidden="1" x14ac:dyDescent="0.25"/>
    <row r="2127" hidden="1" x14ac:dyDescent="0.25"/>
    <row r="2128" hidden="1" x14ac:dyDescent="0.25"/>
    <row r="2129" hidden="1" x14ac:dyDescent="0.25"/>
    <row r="2130" hidden="1" x14ac:dyDescent="0.25"/>
    <row r="2131" hidden="1" x14ac:dyDescent="0.25"/>
    <row r="2132" hidden="1" x14ac:dyDescent="0.25"/>
    <row r="2133" hidden="1" x14ac:dyDescent="0.25"/>
    <row r="2134" hidden="1" x14ac:dyDescent="0.25"/>
    <row r="2135" hidden="1" x14ac:dyDescent="0.25"/>
    <row r="2136" hidden="1" x14ac:dyDescent="0.25"/>
    <row r="2137" hidden="1" x14ac:dyDescent="0.25"/>
    <row r="2138" hidden="1" x14ac:dyDescent="0.25"/>
    <row r="2139" hidden="1" x14ac:dyDescent="0.25"/>
    <row r="2140" hidden="1" x14ac:dyDescent="0.25"/>
    <row r="2141" hidden="1" x14ac:dyDescent="0.25"/>
    <row r="2142" hidden="1" x14ac:dyDescent="0.25"/>
    <row r="2143" hidden="1" x14ac:dyDescent="0.25"/>
    <row r="2144" hidden="1" x14ac:dyDescent="0.25"/>
    <row r="2145" hidden="1" x14ac:dyDescent="0.25"/>
    <row r="2146" hidden="1" x14ac:dyDescent="0.25"/>
    <row r="2147" hidden="1" x14ac:dyDescent="0.25"/>
    <row r="2148" hidden="1" x14ac:dyDescent="0.25"/>
    <row r="2149" hidden="1" x14ac:dyDescent="0.25"/>
    <row r="2150" hidden="1" x14ac:dyDescent="0.25"/>
    <row r="2151" hidden="1" x14ac:dyDescent="0.25"/>
    <row r="2152" hidden="1" x14ac:dyDescent="0.25"/>
    <row r="2153" hidden="1" x14ac:dyDescent="0.25"/>
    <row r="2154" hidden="1" x14ac:dyDescent="0.25"/>
    <row r="2155" hidden="1" x14ac:dyDescent="0.25"/>
    <row r="2156" hidden="1" x14ac:dyDescent="0.25"/>
    <row r="2157" hidden="1" x14ac:dyDescent="0.25"/>
    <row r="2158" hidden="1" x14ac:dyDescent="0.25"/>
    <row r="2159" hidden="1" x14ac:dyDescent="0.25"/>
    <row r="2160" hidden="1" x14ac:dyDescent="0.25"/>
    <row r="2161" hidden="1" x14ac:dyDescent="0.25"/>
    <row r="2162" hidden="1" x14ac:dyDescent="0.25"/>
    <row r="2163" hidden="1" x14ac:dyDescent="0.25"/>
    <row r="2164" hidden="1" x14ac:dyDescent="0.25"/>
    <row r="2165" hidden="1" x14ac:dyDescent="0.25"/>
    <row r="2166" hidden="1" x14ac:dyDescent="0.25"/>
    <row r="2167" hidden="1" x14ac:dyDescent="0.25"/>
    <row r="2168" hidden="1" x14ac:dyDescent="0.25"/>
    <row r="2169" hidden="1" x14ac:dyDescent="0.25"/>
    <row r="2170" hidden="1" x14ac:dyDescent="0.25"/>
    <row r="2171" hidden="1" x14ac:dyDescent="0.25"/>
    <row r="2172" hidden="1" x14ac:dyDescent="0.25"/>
    <row r="2173" hidden="1" x14ac:dyDescent="0.25"/>
    <row r="2174" hidden="1" x14ac:dyDescent="0.25"/>
    <row r="2175" hidden="1" x14ac:dyDescent="0.25"/>
    <row r="2176" hidden="1" x14ac:dyDescent="0.25"/>
    <row r="2177" hidden="1" x14ac:dyDescent="0.25"/>
    <row r="2178" hidden="1" x14ac:dyDescent="0.25"/>
    <row r="2179" hidden="1" x14ac:dyDescent="0.25"/>
    <row r="2180" hidden="1" x14ac:dyDescent="0.25"/>
    <row r="2181" hidden="1" x14ac:dyDescent="0.25"/>
    <row r="2182" hidden="1" x14ac:dyDescent="0.25"/>
    <row r="2183" hidden="1" x14ac:dyDescent="0.25"/>
    <row r="2184" hidden="1" x14ac:dyDescent="0.25"/>
    <row r="2185" hidden="1" x14ac:dyDescent="0.25"/>
    <row r="2186" hidden="1" x14ac:dyDescent="0.25"/>
    <row r="2187" hidden="1" x14ac:dyDescent="0.25"/>
    <row r="2188" hidden="1" x14ac:dyDescent="0.25"/>
    <row r="2189" hidden="1" x14ac:dyDescent="0.25"/>
    <row r="2190" hidden="1" x14ac:dyDescent="0.25"/>
    <row r="2191" hidden="1" x14ac:dyDescent="0.25"/>
    <row r="2192" hidden="1" x14ac:dyDescent="0.25"/>
    <row r="2193" hidden="1" x14ac:dyDescent="0.25"/>
    <row r="2194" hidden="1" x14ac:dyDescent="0.25"/>
    <row r="2195" hidden="1" x14ac:dyDescent="0.25"/>
    <row r="2196" hidden="1" x14ac:dyDescent="0.25"/>
    <row r="2197" hidden="1" x14ac:dyDescent="0.25"/>
    <row r="2198" hidden="1" x14ac:dyDescent="0.25"/>
    <row r="2199" hidden="1" x14ac:dyDescent="0.25"/>
    <row r="2200" hidden="1" x14ac:dyDescent="0.25"/>
    <row r="2201" hidden="1" x14ac:dyDescent="0.25"/>
    <row r="2202" hidden="1" x14ac:dyDescent="0.25"/>
    <row r="2203" hidden="1" x14ac:dyDescent="0.25"/>
    <row r="2204" hidden="1" x14ac:dyDescent="0.25"/>
    <row r="2205" hidden="1" x14ac:dyDescent="0.25"/>
    <row r="2206" hidden="1" x14ac:dyDescent="0.25"/>
    <row r="2207" hidden="1" x14ac:dyDescent="0.25"/>
    <row r="2208" hidden="1" x14ac:dyDescent="0.25"/>
    <row r="2209" hidden="1" x14ac:dyDescent="0.25"/>
    <row r="2210" hidden="1" x14ac:dyDescent="0.25"/>
    <row r="2211" hidden="1" x14ac:dyDescent="0.25"/>
    <row r="2212" hidden="1" x14ac:dyDescent="0.25"/>
    <row r="2213" hidden="1" x14ac:dyDescent="0.25"/>
    <row r="2214" hidden="1" x14ac:dyDescent="0.25"/>
    <row r="2215" hidden="1" x14ac:dyDescent="0.25"/>
    <row r="2216" hidden="1" x14ac:dyDescent="0.25"/>
    <row r="2217" hidden="1" x14ac:dyDescent="0.25"/>
    <row r="2218" hidden="1" x14ac:dyDescent="0.25"/>
    <row r="2219" hidden="1" x14ac:dyDescent="0.25"/>
    <row r="2220" hidden="1" x14ac:dyDescent="0.25"/>
    <row r="2221" hidden="1" x14ac:dyDescent="0.25"/>
    <row r="2222" hidden="1" x14ac:dyDescent="0.25"/>
    <row r="2223" hidden="1" x14ac:dyDescent="0.25"/>
    <row r="2224" hidden="1" x14ac:dyDescent="0.25"/>
    <row r="2225" hidden="1" x14ac:dyDescent="0.25"/>
    <row r="2226" hidden="1" x14ac:dyDescent="0.25"/>
    <row r="2227" hidden="1" x14ac:dyDescent="0.25"/>
    <row r="2228" hidden="1" x14ac:dyDescent="0.25"/>
    <row r="2229" hidden="1" x14ac:dyDescent="0.25"/>
    <row r="2230" hidden="1" x14ac:dyDescent="0.25"/>
    <row r="2231" hidden="1" x14ac:dyDescent="0.25"/>
    <row r="2232" hidden="1" x14ac:dyDescent="0.25"/>
    <row r="2233" hidden="1" x14ac:dyDescent="0.25"/>
    <row r="2234" hidden="1" x14ac:dyDescent="0.25"/>
    <row r="2235" hidden="1" x14ac:dyDescent="0.25"/>
    <row r="2236" hidden="1" x14ac:dyDescent="0.25"/>
    <row r="2237" hidden="1" x14ac:dyDescent="0.25"/>
    <row r="2238" hidden="1" x14ac:dyDescent="0.25"/>
    <row r="2239" hidden="1" x14ac:dyDescent="0.25"/>
    <row r="2240" hidden="1" x14ac:dyDescent="0.25"/>
    <row r="2241" hidden="1" x14ac:dyDescent="0.25"/>
    <row r="2242" hidden="1" x14ac:dyDescent="0.25"/>
    <row r="2243" hidden="1" x14ac:dyDescent="0.25"/>
    <row r="2244" hidden="1" x14ac:dyDescent="0.25"/>
    <row r="2245" hidden="1" x14ac:dyDescent="0.25"/>
    <row r="2246" hidden="1" x14ac:dyDescent="0.25"/>
    <row r="2247" hidden="1" x14ac:dyDescent="0.25"/>
    <row r="2248" hidden="1" x14ac:dyDescent="0.25"/>
    <row r="2249" hidden="1" x14ac:dyDescent="0.25"/>
    <row r="2250" hidden="1" x14ac:dyDescent="0.25"/>
    <row r="2251" hidden="1" x14ac:dyDescent="0.25"/>
    <row r="2252" hidden="1" x14ac:dyDescent="0.25"/>
    <row r="2253" hidden="1" x14ac:dyDescent="0.25"/>
    <row r="2254" hidden="1" x14ac:dyDescent="0.25"/>
    <row r="2255" hidden="1" x14ac:dyDescent="0.25"/>
    <row r="2256" hidden="1" x14ac:dyDescent="0.25"/>
    <row r="2257" hidden="1" x14ac:dyDescent="0.25"/>
    <row r="2258" hidden="1" x14ac:dyDescent="0.25"/>
    <row r="2259" hidden="1" x14ac:dyDescent="0.25"/>
    <row r="2260" hidden="1" x14ac:dyDescent="0.25"/>
    <row r="2261" hidden="1" x14ac:dyDescent="0.25"/>
    <row r="2262" hidden="1" x14ac:dyDescent="0.25"/>
    <row r="2263" hidden="1" x14ac:dyDescent="0.25"/>
    <row r="2264" hidden="1" x14ac:dyDescent="0.25"/>
    <row r="2265" hidden="1" x14ac:dyDescent="0.25"/>
    <row r="2266" hidden="1" x14ac:dyDescent="0.25"/>
    <row r="2267" hidden="1" x14ac:dyDescent="0.25"/>
    <row r="2268" hidden="1" x14ac:dyDescent="0.25"/>
    <row r="2269" hidden="1" x14ac:dyDescent="0.25"/>
    <row r="2270" hidden="1" x14ac:dyDescent="0.25"/>
    <row r="2271" hidden="1" x14ac:dyDescent="0.25"/>
    <row r="2272" hidden="1" x14ac:dyDescent="0.25"/>
    <row r="2273" hidden="1" x14ac:dyDescent="0.25"/>
    <row r="2274" hidden="1" x14ac:dyDescent="0.25"/>
    <row r="2275" hidden="1" x14ac:dyDescent="0.25"/>
    <row r="2276" hidden="1" x14ac:dyDescent="0.25"/>
    <row r="2277" hidden="1" x14ac:dyDescent="0.25"/>
    <row r="2278" hidden="1" x14ac:dyDescent="0.25"/>
    <row r="2279" hidden="1" x14ac:dyDescent="0.25"/>
    <row r="2280" hidden="1" x14ac:dyDescent="0.25"/>
    <row r="2281" hidden="1" x14ac:dyDescent="0.25"/>
    <row r="2282" hidden="1" x14ac:dyDescent="0.25"/>
    <row r="2283" hidden="1" x14ac:dyDescent="0.25"/>
    <row r="2284" hidden="1" x14ac:dyDescent="0.25"/>
    <row r="2285" hidden="1" x14ac:dyDescent="0.25"/>
    <row r="2286" hidden="1" x14ac:dyDescent="0.25"/>
    <row r="2287" hidden="1" x14ac:dyDescent="0.25"/>
    <row r="2288" hidden="1" x14ac:dyDescent="0.25"/>
    <row r="2289" hidden="1" x14ac:dyDescent="0.25"/>
    <row r="2290" hidden="1" x14ac:dyDescent="0.25"/>
    <row r="2291" hidden="1" x14ac:dyDescent="0.25"/>
    <row r="2292" hidden="1" x14ac:dyDescent="0.25"/>
    <row r="2293" hidden="1" x14ac:dyDescent="0.25"/>
    <row r="2294" hidden="1" x14ac:dyDescent="0.25"/>
    <row r="2295" hidden="1" x14ac:dyDescent="0.25"/>
    <row r="2296" hidden="1" x14ac:dyDescent="0.25"/>
    <row r="2297" hidden="1" x14ac:dyDescent="0.25"/>
    <row r="2298" hidden="1" x14ac:dyDescent="0.25"/>
    <row r="2299" hidden="1" x14ac:dyDescent="0.25"/>
    <row r="2300" hidden="1" x14ac:dyDescent="0.25"/>
    <row r="2301" hidden="1" x14ac:dyDescent="0.25"/>
    <row r="2302" hidden="1" x14ac:dyDescent="0.25"/>
    <row r="2303" hidden="1" x14ac:dyDescent="0.25"/>
    <row r="2304" hidden="1" x14ac:dyDescent="0.25"/>
    <row r="2305" hidden="1" x14ac:dyDescent="0.25"/>
    <row r="2306" hidden="1" x14ac:dyDescent="0.25"/>
    <row r="2307" hidden="1" x14ac:dyDescent="0.25"/>
    <row r="2308" hidden="1" x14ac:dyDescent="0.25"/>
    <row r="2309" hidden="1" x14ac:dyDescent="0.25"/>
    <row r="2310" hidden="1" x14ac:dyDescent="0.25"/>
    <row r="2311" hidden="1" x14ac:dyDescent="0.25"/>
    <row r="2312" hidden="1" x14ac:dyDescent="0.25"/>
    <row r="2313" hidden="1" x14ac:dyDescent="0.25"/>
    <row r="2314" hidden="1" x14ac:dyDescent="0.25"/>
    <row r="2315" hidden="1" x14ac:dyDescent="0.25"/>
    <row r="2316" hidden="1" x14ac:dyDescent="0.25"/>
    <row r="2317" hidden="1" x14ac:dyDescent="0.25"/>
    <row r="2318" hidden="1" x14ac:dyDescent="0.25"/>
    <row r="2319" hidden="1" x14ac:dyDescent="0.25"/>
    <row r="2320" hidden="1" x14ac:dyDescent="0.25"/>
    <row r="2321" hidden="1" x14ac:dyDescent="0.25"/>
    <row r="2322" hidden="1" x14ac:dyDescent="0.25"/>
    <row r="2323" hidden="1" x14ac:dyDescent="0.25"/>
    <row r="2324" hidden="1" x14ac:dyDescent="0.25"/>
    <row r="2325" hidden="1" x14ac:dyDescent="0.25"/>
    <row r="2326" hidden="1" x14ac:dyDescent="0.25"/>
    <row r="2327" hidden="1" x14ac:dyDescent="0.25"/>
    <row r="2328" hidden="1" x14ac:dyDescent="0.25"/>
    <row r="2329" hidden="1" x14ac:dyDescent="0.25"/>
    <row r="2330" hidden="1" x14ac:dyDescent="0.25"/>
    <row r="2331" hidden="1" x14ac:dyDescent="0.25"/>
    <row r="2332" hidden="1" x14ac:dyDescent="0.25"/>
    <row r="2333" hidden="1" x14ac:dyDescent="0.25"/>
    <row r="2334" hidden="1" x14ac:dyDescent="0.25"/>
    <row r="2335" hidden="1" x14ac:dyDescent="0.25"/>
    <row r="2336" hidden="1" x14ac:dyDescent="0.25"/>
    <row r="2337" hidden="1" x14ac:dyDescent="0.25"/>
    <row r="2338" hidden="1" x14ac:dyDescent="0.25"/>
    <row r="2339" hidden="1" x14ac:dyDescent="0.25"/>
    <row r="2340" hidden="1" x14ac:dyDescent="0.25"/>
    <row r="2341" hidden="1" x14ac:dyDescent="0.25"/>
    <row r="2342" hidden="1" x14ac:dyDescent="0.25"/>
    <row r="2343" hidden="1" x14ac:dyDescent="0.25"/>
    <row r="2344" hidden="1" x14ac:dyDescent="0.25"/>
    <row r="2345" hidden="1" x14ac:dyDescent="0.25"/>
    <row r="2346" hidden="1" x14ac:dyDescent="0.25"/>
    <row r="2347" hidden="1" x14ac:dyDescent="0.25"/>
    <row r="2348" hidden="1" x14ac:dyDescent="0.25"/>
    <row r="2349" hidden="1" x14ac:dyDescent="0.25"/>
    <row r="2350" hidden="1" x14ac:dyDescent="0.25"/>
    <row r="2351" hidden="1" x14ac:dyDescent="0.25"/>
    <row r="2352" hidden="1" x14ac:dyDescent="0.25"/>
    <row r="2353" hidden="1" x14ac:dyDescent="0.25"/>
    <row r="2354" hidden="1" x14ac:dyDescent="0.25"/>
    <row r="2355" hidden="1" x14ac:dyDescent="0.25"/>
    <row r="2356" hidden="1" x14ac:dyDescent="0.25"/>
    <row r="2357" hidden="1" x14ac:dyDescent="0.25"/>
    <row r="2358" hidden="1" x14ac:dyDescent="0.25"/>
    <row r="2359" hidden="1" x14ac:dyDescent="0.25"/>
    <row r="2360" hidden="1" x14ac:dyDescent="0.25"/>
    <row r="2361" hidden="1" x14ac:dyDescent="0.25"/>
    <row r="2362" hidden="1" x14ac:dyDescent="0.25"/>
    <row r="2363" hidden="1" x14ac:dyDescent="0.25"/>
    <row r="2364" hidden="1" x14ac:dyDescent="0.25"/>
    <row r="2365" hidden="1" x14ac:dyDescent="0.25"/>
    <row r="2366" hidden="1" x14ac:dyDescent="0.25"/>
    <row r="2367" hidden="1" x14ac:dyDescent="0.25"/>
    <row r="2368" hidden="1" x14ac:dyDescent="0.25"/>
    <row r="2369" hidden="1" x14ac:dyDescent="0.25"/>
    <row r="2370" hidden="1" x14ac:dyDescent="0.25"/>
    <row r="2371" hidden="1" x14ac:dyDescent="0.25"/>
    <row r="2372" hidden="1" x14ac:dyDescent="0.25"/>
    <row r="2373" hidden="1" x14ac:dyDescent="0.25"/>
    <row r="2374" hidden="1" x14ac:dyDescent="0.25"/>
    <row r="2375" hidden="1" x14ac:dyDescent="0.25"/>
    <row r="2376" hidden="1" x14ac:dyDescent="0.25"/>
    <row r="2377" hidden="1" x14ac:dyDescent="0.25"/>
    <row r="2378" hidden="1" x14ac:dyDescent="0.25"/>
    <row r="2379" hidden="1" x14ac:dyDescent="0.25"/>
    <row r="2380" hidden="1" x14ac:dyDescent="0.25"/>
    <row r="2381" hidden="1" x14ac:dyDescent="0.25"/>
    <row r="2382" hidden="1" x14ac:dyDescent="0.25"/>
    <row r="2383" hidden="1" x14ac:dyDescent="0.25"/>
    <row r="2384" hidden="1" x14ac:dyDescent="0.25"/>
    <row r="2385" hidden="1" x14ac:dyDescent="0.25"/>
    <row r="2386" hidden="1" x14ac:dyDescent="0.25"/>
    <row r="2387" hidden="1" x14ac:dyDescent="0.25"/>
    <row r="2388" hidden="1" x14ac:dyDescent="0.25"/>
    <row r="2389" hidden="1" x14ac:dyDescent="0.25"/>
    <row r="2390" hidden="1" x14ac:dyDescent="0.25"/>
    <row r="2391" hidden="1" x14ac:dyDescent="0.25"/>
    <row r="2392" hidden="1" x14ac:dyDescent="0.25"/>
    <row r="2393" hidden="1" x14ac:dyDescent="0.25"/>
    <row r="2394" hidden="1" x14ac:dyDescent="0.25"/>
    <row r="2395" hidden="1" x14ac:dyDescent="0.25"/>
    <row r="2396" hidden="1" x14ac:dyDescent="0.25"/>
    <row r="2397" hidden="1" x14ac:dyDescent="0.25"/>
    <row r="2398" hidden="1" x14ac:dyDescent="0.25"/>
    <row r="2399" hidden="1" x14ac:dyDescent="0.25"/>
    <row r="2400" hidden="1" x14ac:dyDescent="0.25"/>
    <row r="2401" hidden="1" x14ac:dyDescent="0.25"/>
    <row r="2402" hidden="1" x14ac:dyDescent="0.25"/>
    <row r="2403" hidden="1" x14ac:dyDescent="0.25"/>
    <row r="2404" hidden="1" x14ac:dyDescent="0.25"/>
    <row r="2405" hidden="1" x14ac:dyDescent="0.25"/>
    <row r="2406" hidden="1" x14ac:dyDescent="0.25"/>
    <row r="2407" hidden="1" x14ac:dyDescent="0.25"/>
    <row r="2408" hidden="1" x14ac:dyDescent="0.25"/>
    <row r="2409" hidden="1" x14ac:dyDescent="0.25"/>
    <row r="2410" hidden="1" x14ac:dyDescent="0.25"/>
    <row r="2411" hidden="1" x14ac:dyDescent="0.25"/>
    <row r="2412" hidden="1" x14ac:dyDescent="0.25"/>
    <row r="2413" hidden="1" x14ac:dyDescent="0.25"/>
    <row r="2414" hidden="1" x14ac:dyDescent="0.25"/>
    <row r="2415" hidden="1" x14ac:dyDescent="0.25"/>
    <row r="2416" hidden="1" x14ac:dyDescent="0.25"/>
    <row r="2417" hidden="1" x14ac:dyDescent="0.25"/>
    <row r="2418" hidden="1" x14ac:dyDescent="0.25"/>
    <row r="2419" hidden="1" x14ac:dyDescent="0.25"/>
    <row r="2420" hidden="1" x14ac:dyDescent="0.25"/>
    <row r="2421" hidden="1" x14ac:dyDescent="0.25"/>
    <row r="2422" hidden="1" x14ac:dyDescent="0.25"/>
    <row r="2423" hidden="1" x14ac:dyDescent="0.25"/>
    <row r="2424" hidden="1" x14ac:dyDescent="0.25"/>
    <row r="2425" hidden="1" x14ac:dyDescent="0.25"/>
    <row r="2426" hidden="1" x14ac:dyDescent="0.25"/>
    <row r="2427" hidden="1" x14ac:dyDescent="0.25"/>
    <row r="2428" hidden="1" x14ac:dyDescent="0.25"/>
    <row r="2429" hidden="1" x14ac:dyDescent="0.25"/>
    <row r="2430" hidden="1" x14ac:dyDescent="0.25"/>
    <row r="2431" hidden="1" x14ac:dyDescent="0.25"/>
    <row r="2432" hidden="1" x14ac:dyDescent="0.25"/>
    <row r="2433" hidden="1" x14ac:dyDescent="0.25"/>
    <row r="2434" hidden="1" x14ac:dyDescent="0.25"/>
    <row r="2435" hidden="1" x14ac:dyDescent="0.25"/>
    <row r="2436" hidden="1" x14ac:dyDescent="0.25"/>
    <row r="2437" hidden="1" x14ac:dyDescent="0.25"/>
    <row r="2438" hidden="1" x14ac:dyDescent="0.25"/>
    <row r="2439" hidden="1" x14ac:dyDescent="0.25"/>
    <row r="2440" hidden="1" x14ac:dyDescent="0.25"/>
    <row r="2441" hidden="1" x14ac:dyDescent="0.25"/>
    <row r="2442" hidden="1" x14ac:dyDescent="0.25"/>
    <row r="2443" hidden="1" x14ac:dyDescent="0.25"/>
    <row r="2444" hidden="1" x14ac:dyDescent="0.25"/>
    <row r="2445" hidden="1" x14ac:dyDescent="0.25"/>
    <row r="2446" hidden="1" x14ac:dyDescent="0.25"/>
    <row r="2447" hidden="1" x14ac:dyDescent="0.25"/>
    <row r="2448" hidden="1" x14ac:dyDescent="0.25"/>
    <row r="2449" hidden="1" x14ac:dyDescent="0.25"/>
    <row r="2450" hidden="1" x14ac:dyDescent="0.25"/>
    <row r="2451" hidden="1" x14ac:dyDescent="0.25"/>
    <row r="2452" hidden="1" x14ac:dyDescent="0.25"/>
    <row r="2453" hidden="1" x14ac:dyDescent="0.25"/>
    <row r="2454" hidden="1" x14ac:dyDescent="0.25"/>
    <row r="2455" hidden="1" x14ac:dyDescent="0.25"/>
    <row r="2456" hidden="1" x14ac:dyDescent="0.25"/>
    <row r="2457" hidden="1" x14ac:dyDescent="0.25"/>
    <row r="2458" hidden="1" x14ac:dyDescent="0.25"/>
    <row r="2459" hidden="1" x14ac:dyDescent="0.25"/>
    <row r="2460" hidden="1" x14ac:dyDescent="0.25"/>
    <row r="2461" hidden="1" x14ac:dyDescent="0.25"/>
    <row r="2462" hidden="1" x14ac:dyDescent="0.25"/>
    <row r="2463" hidden="1" x14ac:dyDescent="0.25"/>
    <row r="2464" hidden="1" x14ac:dyDescent="0.25"/>
    <row r="2465" hidden="1" x14ac:dyDescent="0.25"/>
    <row r="2466" hidden="1" x14ac:dyDescent="0.25"/>
    <row r="2467" hidden="1" x14ac:dyDescent="0.25"/>
    <row r="2468" hidden="1" x14ac:dyDescent="0.25"/>
    <row r="2469" hidden="1" x14ac:dyDescent="0.25"/>
    <row r="2470" hidden="1" x14ac:dyDescent="0.25"/>
    <row r="2471" hidden="1" x14ac:dyDescent="0.25"/>
    <row r="2472" hidden="1" x14ac:dyDescent="0.25"/>
    <row r="2473" hidden="1" x14ac:dyDescent="0.25"/>
    <row r="2474" hidden="1" x14ac:dyDescent="0.25"/>
    <row r="2475" hidden="1" x14ac:dyDescent="0.25"/>
    <row r="2476" hidden="1" x14ac:dyDescent="0.25"/>
    <row r="2477" hidden="1" x14ac:dyDescent="0.25"/>
    <row r="2478" hidden="1" x14ac:dyDescent="0.25"/>
    <row r="2479" hidden="1" x14ac:dyDescent="0.25"/>
    <row r="2480" hidden="1" x14ac:dyDescent="0.25"/>
    <row r="2481" hidden="1" x14ac:dyDescent="0.25"/>
    <row r="2482" hidden="1" x14ac:dyDescent="0.25"/>
    <row r="2483" hidden="1" x14ac:dyDescent="0.25"/>
    <row r="2484" hidden="1" x14ac:dyDescent="0.25"/>
    <row r="2485" hidden="1" x14ac:dyDescent="0.25"/>
    <row r="2486" hidden="1" x14ac:dyDescent="0.25"/>
    <row r="2487" hidden="1" x14ac:dyDescent="0.25"/>
    <row r="2488" hidden="1" x14ac:dyDescent="0.25"/>
    <row r="2489" hidden="1" x14ac:dyDescent="0.25"/>
    <row r="2490" hidden="1" x14ac:dyDescent="0.25"/>
    <row r="2491" hidden="1" x14ac:dyDescent="0.25"/>
    <row r="2492" hidden="1" x14ac:dyDescent="0.25"/>
    <row r="2493" hidden="1" x14ac:dyDescent="0.25"/>
    <row r="2494" hidden="1" x14ac:dyDescent="0.25"/>
    <row r="2495" hidden="1" x14ac:dyDescent="0.25"/>
    <row r="2496" hidden="1" x14ac:dyDescent="0.25"/>
    <row r="2497" hidden="1" x14ac:dyDescent="0.25"/>
    <row r="2498" hidden="1" x14ac:dyDescent="0.25"/>
    <row r="2499" hidden="1" x14ac:dyDescent="0.25"/>
    <row r="2500" hidden="1" x14ac:dyDescent="0.25"/>
    <row r="2501" hidden="1" x14ac:dyDescent="0.25"/>
    <row r="2502" hidden="1" x14ac:dyDescent="0.25"/>
    <row r="2503" hidden="1" x14ac:dyDescent="0.25"/>
    <row r="2504" hidden="1" x14ac:dyDescent="0.25"/>
    <row r="2505" hidden="1" x14ac:dyDescent="0.25"/>
    <row r="2506" hidden="1" x14ac:dyDescent="0.25"/>
    <row r="2507" hidden="1" x14ac:dyDescent="0.25"/>
    <row r="2508" hidden="1" x14ac:dyDescent="0.25"/>
    <row r="2509" hidden="1" x14ac:dyDescent="0.25"/>
    <row r="2510" hidden="1" x14ac:dyDescent="0.25"/>
    <row r="2511" hidden="1" x14ac:dyDescent="0.25"/>
    <row r="2512" hidden="1" x14ac:dyDescent="0.25"/>
    <row r="2513" hidden="1" x14ac:dyDescent="0.25"/>
    <row r="2514" hidden="1" x14ac:dyDescent="0.25"/>
    <row r="2515" hidden="1" x14ac:dyDescent="0.25"/>
    <row r="2516" hidden="1" x14ac:dyDescent="0.25"/>
    <row r="2517" hidden="1" x14ac:dyDescent="0.25"/>
    <row r="2518" hidden="1" x14ac:dyDescent="0.25"/>
    <row r="2519" hidden="1" x14ac:dyDescent="0.25"/>
    <row r="2520" hidden="1" x14ac:dyDescent="0.25"/>
    <row r="2521" hidden="1" x14ac:dyDescent="0.25"/>
    <row r="2522" hidden="1" x14ac:dyDescent="0.25"/>
    <row r="2523" hidden="1" x14ac:dyDescent="0.25"/>
    <row r="2524" hidden="1" x14ac:dyDescent="0.25"/>
    <row r="2525" hidden="1" x14ac:dyDescent="0.25"/>
    <row r="2526" hidden="1" x14ac:dyDescent="0.25"/>
    <row r="2527" hidden="1" x14ac:dyDescent="0.25"/>
    <row r="2528" hidden="1" x14ac:dyDescent="0.25"/>
    <row r="2529" hidden="1" x14ac:dyDescent="0.25"/>
    <row r="2530" hidden="1" x14ac:dyDescent="0.25"/>
    <row r="2531" hidden="1" x14ac:dyDescent="0.25"/>
    <row r="2532" hidden="1" x14ac:dyDescent="0.25"/>
    <row r="2533" hidden="1" x14ac:dyDescent="0.25"/>
    <row r="2534" hidden="1" x14ac:dyDescent="0.25"/>
    <row r="2535" hidden="1" x14ac:dyDescent="0.25"/>
    <row r="2536" hidden="1" x14ac:dyDescent="0.25"/>
    <row r="2537" hidden="1" x14ac:dyDescent="0.25"/>
    <row r="2538" hidden="1" x14ac:dyDescent="0.25"/>
    <row r="2539" hidden="1" x14ac:dyDescent="0.25"/>
    <row r="2540" hidden="1" x14ac:dyDescent="0.25"/>
    <row r="2541" hidden="1" x14ac:dyDescent="0.25"/>
    <row r="2542" hidden="1" x14ac:dyDescent="0.25"/>
    <row r="2543" hidden="1" x14ac:dyDescent="0.25"/>
    <row r="2544" hidden="1" x14ac:dyDescent="0.25"/>
    <row r="2545" hidden="1" x14ac:dyDescent="0.25"/>
    <row r="2546" hidden="1" x14ac:dyDescent="0.25"/>
    <row r="2547" hidden="1" x14ac:dyDescent="0.25"/>
    <row r="2548" hidden="1" x14ac:dyDescent="0.25"/>
    <row r="2549" hidden="1" x14ac:dyDescent="0.25"/>
    <row r="2550" hidden="1" x14ac:dyDescent="0.25"/>
    <row r="2551" hidden="1" x14ac:dyDescent="0.25"/>
    <row r="2552" hidden="1" x14ac:dyDescent="0.25"/>
    <row r="2553" hidden="1" x14ac:dyDescent="0.25"/>
    <row r="2554" hidden="1" x14ac:dyDescent="0.25"/>
    <row r="2555" hidden="1" x14ac:dyDescent="0.25"/>
    <row r="2556" hidden="1" x14ac:dyDescent="0.25"/>
    <row r="2557" hidden="1" x14ac:dyDescent="0.25"/>
    <row r="2558" hidden="1" x14ac:dyDescent="0.25"/>
    <row r="2559" hidden="1" x14ac:dyDescent="0.25"/>
    <row r="2560" hidden="1" x14ac:dyDescent="0.25"/>
    <row r="2561" hidden="1" x14ac:dyDescent="0.25"/>
    <row r="2562" hidden="1" x14ac:dyDescent="0.25"/>
    <row r="2563" hidden="1" x14ac:dyDescent="0.25"/>
    <row r="2564" hidden="1" x14ac:dyDescent="0.25"/>
    <row r="2565" hidden="1" x14ac:dyDescent="0.25"/>
    <row r="2566" hidden="1" x14ac:dyDescent="0.25"/>
    <row r="2567" hidden="1" x14ac:dyDescent="0.25"/>
    <row r="2568" hidden="1" x14ac:dyDescent="0.25"/>
    <row r="2569" hidden="1" x14ac:dyDescent="0.25"/>
    <row r="2570" hidden="1" x14ac:dyDescent="0.25"/>
    <row r="2571" hidden="1" x14ac:dyDescent="0.25"/>
    <row r="2572" hidden="1" x14ac:dyDescent="0.25"/>
    <row r="2573" hidden="1" x14ac:dyDescent="0.25"/>
    <row r="2574" hidden="1" x14ac:dyDescent="0.25"/>
    <row r="2575" hidden="1" x14ac:dyDescent="0.25"/>
    <row r="2576" hidden="1" x14ac:dyDescent="0.25"/>
    <row r="2577" hidden="1" x14ac:dyDescent="0.25"/>
    <row r="2578" hidden="1" x14ac:dyDescent="0.25"/>
    <row r="2579" hidden="1" x14ac:dyDescent="0.25"/>
    <row r="2580" hidden="1" x14ac:dyDescent="0.25"/>
    <row r="2581" hidden="1" x14ac:dyDescent="0.25"/>
    <row r="2582" hidden="1" x14ac:dyDescent="0.25"/>
    <row r="2583" hidden="1" x14ac:dyDescent="0.25"/>
    <row r="2584" hidden="1" x14ac:dyDescent="0.25"/>
    <row r="2585" hidden="1" x14ac:dyDescent="0.25"/>
    <row r="2586" hidden="1" x14ac:dyDescent="0.25"/>
    <row r="2587" hidden="1" x14ac:dyDescent="0.25"/>
    <row r="2588" hidden="1" x14ac:dyDescent="0.25"/>
    <row r="2589" hidden="1" x14ac:dyDescent="0.25"/>
    <row r="2590" hidden="1" x14ac:dyDescent="0.25"/>
    <row r="2591" hidden="1" x14ac:dyDescent="0.25"/>
    <row r="2592" hidden="1" x14ac:dyDescent="0.25"/>
    <row r="2593" hidden="1" x14ac:dyDescent="0.25"/>
    <row r="2594" hidden="1" x14ac:dyDescent="0.25"/>
    <row r="2595" hidden="1" x14ac:dyDescent="0.25"/>
    <row r="2596" hidden="1" x14ac:dyDescent="0.25"/>
    <row r="2597" hidden="1" x14ac:dyDescent="0.25"/>
    <row r="2598" hidden="1" x14ac:dyDescent="0.25"/>
    <row r="2599" hidden="1" x14ac:dyDescent="0.25"/>
    <row r="2600" hidden="1" x14ac:dyDescent="0.25"/>
    <row r="2601" hidden="1" x14ac:dyDescent="0.25"/>
    <row r="2602" hidden="1" x14ac:dyDescent="0.25"/>
    <row r="2603" hidden="1" x14ac:dyDescent="0.25"/>
    <row r="2604" hidden="1" x14ac:dyDescent="0.25"/>
    <row r="2605" hidden="1" x14ac:dyDescent="0.25"/>
    <row r="2606" hidden="1" x14ac:dyDescent="0.25"/>
    <row r="2607" hidden="1" x14ac:dyDescent="0.25"/>
    <row r="2608" hidden="1" x14ac:dyDescent="0.25"/>
    <row r="2609" hidden="1" x14ac:dyDescent="0.25"/>
    <row r="2610" hidden="1" x14ac:dyDescent="0.25"/>
    <row r="2611" hidden="1" x14ac:dyDescent="0.25"/>
    <row r="2612" hidden="1" x14ac:dyDescent="0.25"/>
    <row r="2613" hidden="1" x14ac:dyDescent="0.25"/>
    <row r="2614" hidden="1" x14ac:dyDescent="0.25"/>
    <row r="2615" hidden="1" x14ac:dyDescent="0.25"/>
    <row r="2616" hidden="1" x14ac:dyDescent="0.25"/>
    <row r="2617" hidden="1" x14ac:dyDescent="0.25"/>
    <row r="2618" hidden="1" x14ac:dyDescent="0.25"/>
    <row r="2619" hidden="1" x14ac:dyDescent="0.25"/>
    <row r="2620" hidden="1" x14ac:dyDescent="0.25"/>
    <row r="2621" hidden="1" x14ac:dyDescent="0.25"/>
    <row r="2622" hidden="1" x14ac:dyDescent="0.25"/>
    <row r="2623" hidden="1" x14ac:dyDescent="0.25"/>
    <row r="2624" hidden="1" x14ac:dyDescent="0.25"/>
    <row r="2625" hidden="1" x14ac:dyDescent="0.25"/>
    <row r="2626" hidden="1" x14ac:dyDescent="0.25"/>
    <row r="2627" hidden="1" x14ac:dyDescent="0.25"/>
    <row r="2628" hidden="1" x14ac:dyDescent="0.25"/>
    <row r="2629" hidden="1" x14ac:dyDescent="0.25"/>
    <row r="2630" hidden="1" x14ac:dyDescent="0.25"/>
    <row r="2631" hidden="1" x14ac:dyDescent="0.25"/>
    <row r="2632" hidden="1" x14ac:dyDescent="0.25"/>
    <row r="2633" hidden="1" x14ac:dyDescent="0.25"/>
    <row r="2634" hidden="1" x14ac:dyDescent="0.25"/>
    <row r="2635" hidden="1" x14ac:dyDescent="0.25"/>
    <row r="2636" hidden="1" x14ac:dyDescent="0.25"/>
    <row r="2637" hidden="1" x14ac:dyDescent="0.25"/>
    <row r="2638" hidden="1" x14ac:dyDescent="0.25"/>
    <row r="2639" hidden="1" x14ac:dyDescent="0.25"/>
    <row r="2640" hidden="1" x14ac:dyDescent="0.25"/>
    <row r="2641" hidden="1" x14ac:dyDescent="0.25"/>
    <row r="2642" hidden="1" x14ac:dyDescent="0.25"/>
    <row r="2643" hidden="1" x14ac:dyDescent="0.25"/>
    <row r="2644" hidden="1" x14ac:dyDescent="0.25"/>
    <row r="2645" hidden="1" x14ac:dyDescent="0.25"/>
    <row r="2646" hidden="1" x14ac:dyDescent="0.25"/>
    <row r="2647" hidden="1" x14ac:dyDescent="0.25"/>
    <row r="2648" hidden="1" x14ac:dyDescent="0.25"/>
    <row r="2649" hidden="1" x14ac:dyDescent="0.25"/>
    <row r="2650" hidden="1" x14ac:dyDescent="0.25"/>
    <row r="2651" hidden="1" x14ac:dyDescent="0.25"/>
    <row r="2652" hidden="1" x14ac:dyDescent="0.25"/>
    <row r="2653" hidden="1" x14ac:dyDescent="0.25"/>
    <row r="2654" hidden="1" x14ac:dyDescent="0.25"/>
    <row r="2655" hidden="1" x14ac:dyDescent="0.25"/>
    <row r="2656" hidden="1" x14ac:dyDescent="0.25"/>
    <row r="2657" hidden="1" x14ac:dyDescent="0.25"/>
    <row r="2658" hidden="1" x14ac:dyDescent="0.25"/>
    <row r="2659" hidden="1" x14ac:dyDescent="0.25"/>
    <row r="2660" hidden="1" x14ac:dyDescent="0.25"/>
    <row r="2661" hidden="1" x14ac:dyDescent="0.25"/>
    <row r="2662" hidden="1" x14ac:dyDescent="0.25"/>
    <row r="2663" hidden="1" x14ac:dyDescent="0.25"/>
    <row r="2664" hidden="1" x14ac:dyDescent="0.25"/>
    <row r="2665" hidden="1" x14ac:dyDescent="0.25"/>
    <row r="2666" hidden="1" x14ac:dyDescent="0.25"/>
    <row r="2667" hidden="1" x14ac:dyDescent="0.25"/>
    <row r="2668" hidden="1" x14ac:dyDescent="0.25"/>
    <row r="2669" hidden="1" x14ac:dyDescent="0.25"/>
    <row r="2670" hidden="1" x14ac:dyDescent="0.25"/>
    <row r="2671" hidden="1" x14ac:dyDescent="0.25"/>
    <row r="2672" hidden="1" x14ac:dyDescent="0.25"/>
    <row r="2673" hidden="1" x14ac:dyDescent="0.25"/>
    <row r="2674" hidden="1" x14ac:dyDescent="0.25"/>
    <row r="2675" hidden="1" x14ac:dyDescent="0.25"/>
    <row r="2676" hidden="1" x14ac:dyDescent="0.25"/>
    <row r="2677" hidden="1" x14ac:dyDescent="0.25"/>
    <row r="2678" hidden="1" x14ac:dyDescent="0.25"/>
    <row r="2679" hidden="1" x14ac:dyDescent="0.25"/>
    <row r="2680" hidden="1" x14ac:dyDescent="0.25"/>
    <row r="2681" hidden="1" x14ac:dyDescent="0.25"/>
    <row r="2682" hidden="1" x14ac:dyDescent="0.25"/>
    <row r="2683" hidden="1" x14ac:dyDescent="0.25"/>
    <row r="2684" hidden="1" x14ac:dyDescent="0.25"/>
    <row r="2685" hidden="1" x14ac:dyDescent="0.25"/>
    <row r="2686" hidden="1" x14ac:dyDescent="0.25"/>
    <row r="2687" hidden="1" x14ac:dyDescent="0.25"/>
    <row r="2688" hidden="1" x14ac:dyDescent="0.25"/>
    <row r="2689" hidden="1" x14ac:dyDescent="0.25"/>
    <row r="2690" hidden="1" x14ac:dyDescent="0.25"/>
    <row r="2691" hidden="1" x14ac:dyDescent="0.25"/>
    <row r="2692" hidden="1" x14ac:dyDescent="0.25"/>
    <row r="2693" hidden="1" x14ac:dyDescent="0.25"/>
    <row r="2694" hidden="1" x14ac:dyDescent="0.25"/>
    <row r="2695" hidden="1" x14ac:dyDescent="0.25"/>
    <row r="2696" hidden="1" x14ac:dyDescent="0.25"/>
    <row r="2697" hidden="1" x14ac:dyDescent="0.25"/>
    <row r="2698" hidden="1" x14ac:dyDescent="0.25"/>
    <row r="2699" hidden="1" x14ac:dyDescent="0.25"/>
    <row r="2700" hidden="1" x14ac:dyDescent="0.25"/>
    <row r="2701" hidden="1" x14ac:dyDescent="0.25"/>
    <row r="2702" hidden="1" x14ac:dyDescent="0.25"/>
    <row r="2703" hidden="1" x14ac:dyDescent="0.25"/>
    <row r="2704" hidden="1" x14ac:dyDescent="0.25"/>
    <row r="2705" hidden="1" x14ac:dyDescent="0.25"/>
    <row r="2706" hidden="1" x14ac:dyDescent="0.25"/>
    <row r="2707" hidden="1" x14ac:dyDescent="0.25"/>
    <row r="2708" hidden="1" x14ac:dyDescent="0.25"/>
    <row r="2709" hidden="1" x14ac:dyDescent="0.25"/>
    <row r="2710" hidden="1" x14ac:dyDescent="0.25"/>
    <row r="2711" hidden="1" x14ac:dyDescent="0.25"/>
    <row r="2712" hidden="1" x14ac:dyDescent="0.25"/>
    <row r="2713" hidden="1" x14ac:dyDescent="0.25"/>
    <row r="2714" hidden="1" x14ac:dyDescent="0.25"/>
    <row r="2715" hidden="1" x14ac:dyDescent="0.25"/>
    <row r="2716" hidden="1" x14ac:dyDescent="0.25"/>
    <row r="2717" hidden="1" x14ac:dyDescent="0.25"/>
    <row r="2718" hidden="1" x14ac:dyDescent="0.25"/>
    <row r="2719" hidden="1" x14ac:dyDescent="0.25"/>
    <row r="2720" hidden="1" x14ac:dyDescent="0.25"/>
    <row r="2721" hidden="1" x14ac:dyDescent="0.25"/>
    <row r="2722" hidden="1" x14ac:dyDescent="0.25"/>
    <row r="2723" hidden="1" x14ac:dyDescent="0.25"/>
    <row r="2724" hidden="1" x14ac:dyDescent="0.25"/>
    <row r="2725" hidden="1" x14ac:dyDescent="0.25"/>
    <row r="2726" hidden="1" x14ac:dyDescent="0.25"/>
    <row r="2727" hidden="1" x14ac:dyDescent="0.25"/>
    <row r="2728" hidden="1" x14ac:dyDescent="0.25"/>
    <row r="2729" hidden="1" x14ac:dyDescent="0.25"/>
    <row r="2730" hidden="1" x14ac:dyDescent="0.25"/>
    <row r="2731" hidden="1" x14ac:dyDescent="0.25"/>
    <row r="2732" hidden="1" x14ac:dyDescent="0.25"/>
    <row r="2733" hidden="1" x14ac:dyDescent="0.25"/>
    <row r="2734" hidden="1" x14ac:dyDescent="0.25"/>
    <row r="2735" hidden="1" x14ac:dyDescent="0.25"/>
    <row r="2736" hidden="1" x14ac:dyDescent="0.25"/>
    <row r="2737" hidden="1" x14ac:dyDescent="0.25"/>
    <row r="2738" hidden="1" x14ac:dyDescent="0.25"/>
    <row r="2739" hidden="1" x14ac:dyDescent="0.25"/>
    <row r="2740" hidden="1" x14ac:dyDescent="0.25"/>
    <row r="2741" hidden="1" x14ac:dyDescent="0.25"/>
    <row r="2742" hidden="1" x14ac:dyDescent="0.25"/>
    <row r="2743" hidden="1" x14ac:dyDescent="0.25"/>
    <row r="2744" hidden="1" x14ac:dyDescent="0.25"/>
    <row r="2745" hidden="1" x14ac:dyDescent="0.25"/>
    <row r="2746" hidden="1" x14ac:dyDescent="0.25"/>
    <row r="2747" hidden="1" x14ac:dyDescent="0.25"/>
    <row r="2748" hidden="1" x14ac:dyDescent="0.25"/>
    <row r="2749" hidden="1" x14ac:dyDescent="0.25"/>
    <row r="2750" hidden="1" x14ac:dyDescent="0.25"/>
    <row r="2751" hidden="1" x14ac:dyDescent="0.25"/>
    <row r="2752" hidden="1" x14ac:dyDescent="0.25"/>
    <row r="2753" hidden="1" x14ac:dyDescent="0.25"/>
    <row r="2754" hidden="1" x14ac:dyDescent="0.25"/>
    <row r="2755" hidden="1" x14ac:dyDescent="0.25"/>
    <row r="2756" hidden="1" x14ac:dyDescent="0.25"/>
    <row r="2757" hidden="1" x14ac:dyDescent="0.25"/>
    <row r="2758" hidden="1" x14ac:dyDescent="0.25"/>
    <row r="2759" hidden="1" x14ac:dyDescent="0.25"/>
    <row r="2760" hidden="1" x14ac:dyDescent="0.25"/>
    <row r="2761" hidden="1" x14ac:dyDescent="0.25"/>
    <row r="2762" hidden="1" x14ac:dyDescent="0.25"/>
    <row r="2763" hidden="1" x14ac:dyDescent="0.25"/>
    <row r="2764" hidden="1" x14ac:dyDescent="0.25"/>
    <row r="2765" hidden="1" x14ac:dyDescent="0.25"/>
    <row r="2766" hidden="1" x14ac:dyDescent="0.25"/>
    <row r="2767" hidden="1" x14ac:dyDescent="0.25"/>
    <row r="2768" hidden="1" x14ac:dyDescent="0.25"/>
    <row r="2769" hidden="1" x14ac:dyDescent="0.25"/>
    <row r="2770" hidden="1" x14ac:dyDescent="0.25"/>
    <row r="2771" hidden="1" x14ac:dyDescent="0.25"/>
    <row r="2772" hidden="1" x14ac:dyDescent="0.25"/>
    <row r="2773" hidden="1" x14ac:dyDescent="0.25"/>
    <row r="2774" hidden="1" x14ac:dyDescent="0.25"/>
    <row r="2775" hidden="1" x14ac:dyDescent="0.25"/>
    <row r="2776" hidden="1" x14ac:dyDescent="0.25"/>
    <row r="2777" hidden="1" x14ac:dyDescent="0.25"/>
    <row r="2778" hidden="1" x14ac:dyDescent="0.25"/>
    <row r="2779" hidden="1" x14ac:dyDescent="0.25"/>
    <row r="2780" hidden="1" x14ac:dyDescent="0.25"/>
    <row r="2781" hidden="1" x14ac:dyDescent="0.25"/>
    <row r="2782" hidden="1" x14ac:dyDescent="0.25"/>
    <row r="2783" hidden="1" x14ac:dyDescent="0.25"/>
    <row r="2784" hidden="1" x14ac:dyDescent="0.25"/>
    <row r="2785" hidden="1" x14ac:dyDescent="0.25"/>
    <row r="2786" hidden="1" x14ac:dyDescent="0.25"/>
    <row r="2787" hidden="1" x14ac:dyDescent="0.25"/>
    <row r="2788" hidden="1" x14ac:dyDescent="0.25"/>
    <row r="2789" hidden="1" x14ac:dyDescent="0.25"/>
    <row r="2790" hidden="1" x14ac:dyDescent="0.25"/>
    <row r="2791" hidden="1" x14ac:dyDescent="0.25"/>
    <row r="2792" hidden="1" x14ac:dyDescent="0.25"/>
    <row r="2793" hidden="1" x14ac:dyDescent="0.25"/>
    <row r="2794" hidden="1" x14ac:dyDescent="0.25"/>
    <row r="2795" hidden="1" x14ac:dyDescent="0.25"/>
    <row r="2796" hidden="1" x14ac:dyDescent="0.25"/>
    <row r="2797" hidden="1" x14ac:dyDescent="0.25"/>
    <row r="2798" hidden="1" x14ac:dyDescent="0.25"/>
    <row r="2799" hidden="1" x14ac:dyDescent="0.25"/>
    <row r="2800" hidden="1" x14ac:dyDescent="0.25"/>
    <row r="2801" hidden="1" x14ac:dyDescent="0.25"/>
    <row r="2802" hidden="1" x14ac:dyDescent="0.25"/>
    <row r="2803" hidden="1" x14ac:dyDescent="0.25"/>
    <row r="2804" hidden="1" x14ac:dyDescent="0.25"/>
    <row r="2805" hidden="1" x14ac:dyDescent="0.25"/>
    <row r="2806" hidden="1" x14ac:dyDescent="0.25"/>
    <row r="2807" hidden="1" x14ac:dyDescent="0.25"/>
    <row r="2808" hidden="1" x14ac:dyDescent="0.25"/>
    <row r="2809" hidden="1" x14ac:dyDescent="0.25"/>
    <row r="2810" hidden="1" x14ac:dyDescent="0.25"/>
    <row r="2811" hidden="1" x14ac:dyDescent="0.25"/>
    <row r="2812" hidden="1" x14ac:dyDescent="0.25"/>
    <row r="2813" hidden="1" x14ac:dyDescent="0.25"/>
    <row r="2814" hidden="1" x14ac:dyDescent="0.25"/>
    <row r="2815" hidden="1" x14ac:dyDescent="0.25"/>
    <row r="2816" hidden="1" x14ac:dyDescent="0.25"/>
    <row r="2817" hidden="1" x14ac:dyDescent="0.25"/>
    <row r="2818" hidden="1" x14ac:dyDescent="0.25"/>
    <row r="2819" hidden="1" x14ac:dyDescent="0.25"/>
    <row r="2820" hidden="1" x14ac:dyDescent="0.25"/>
    <row r="2821" hidden="1" x14ac:dyDescent="0.25"/>
    <row r="2822" hidden="1" x14ac:dyDescent="0.25"/>
    <row r="2823" hidden="1" x14ac:dyDescent="0.25"/>
    <row r="2824" hidden="1" x14ac:dyDescent="0.25"/>
    <row r="2825" hidden="1" x14ac:dyDescent="0.25"/>
    <row r="2826" hidden="1" x14ac:dyDescent="0.25"/>
    <row r="2827" hidden="1" x14ac:dyDescent="0.25"/>
    <row r="2828" hidden="1" x14ac:dyDescent="0.25"/>
    <row r="2829" hidden="1" x14ac:dyDescent="0.25"/>
    <row r="2830" hidden="1" x14ac:dyDescent="0.25"/>
    <row r="2831" hidden="1" x14ac:dyDescent="0.25"/>
    <row r="2832" hidden="1" x14ac:dyDescent="0.25"/>
    <row r="2833" hidden="1" x14ac:dyDescent="0.25"/>
    <row r="2834" hidden="1" x14ac:dyDescent="0.25"/>
    <row r="2835" hidden="1" x14ac:dyDescent="0.25"/>
    <row r="2836" hidden="1" x14ac:dyDescent="0.25"/>
    <row r="2837" hidden="1" x14ac:dyDescent="0.25"/>
    <row r="2838" hidden="1" x14ac:dyDescent="0.25"/>
    <row r="2839" hidden="1" x14ac:dyDescent="0.25"/>
    <row r="2840" hidden="1" x14ac:dyDescent="0.25"/>
    <row r="2841" hidden="1" x14ac:dyDescent="0.25"/>
    <row r="2842" hidden="1" x14ac:dyDescent="0.25"/>
    <row r="2843" hidden="1" x14ac:dyDescent="0.25"/>
    <row r="2844" hidden="1" x14ac:dyDescent="0.25"/>
    <row r="2845" hidden="1" x14ac:dyDescent="0.25"/>
    <row r="2846" hidden="1" x14ac:dyDescent="0.25"/>
    <row r="2847" hidden="1" x14ac:dyDescent="0.25"/>
    <row r="2848" hidden="1" x14ac:dyDescent="0.25"/>
    <row r="2849" hidden="1" x14ac:dyDescent="0.25"/>
    <row r="2850" hidden="1" x14ac:dyDescent="0.25"/>
    <row r="2851" hidden="1" x14ac:dyDescent="0.25"/>
    <row r="2852" hidden="1" x14ac:dyDescent="0.25"/>
    <row r="2853" hidden="1" x14ac:dyDescent="0.25"/>
    <row r="2854" hidden="1" x14ac:dyDescent="0.25"/>
    <row r="2855" hidden="1" x14ac:dyDescent="0.25"/>
    <row r="2856" hidden="1" x14ac:dyDescent="0.25"/>
    <row r="2857" hidden="1" x14ac:dyDescent="0.25"/>
    <row r="2858" hidden="1" x14ac:dyDescent="0.25"/>
    <row r="2859" hidden="1" x14ac:dyDescent="0.25"/>
    <row r="2860" hidden="1" x14ac:dyDescent="0.25"/>
    <row r="2861" hidden="1" x14ac:dyDescent="0.25"/>
    <row r="2862" hidden="1" x14ac:dyDescent="0.25"/>
    <row r="2863" hidden="1" x14ac:dyDescent="0.25"/>
    <row r="2864" hidden="1" x14ac:dyDescent="0.25"/>
    <row r="2865" hidden="1" x14ac:dyDescent="0.25"/>
    <row r="2866" hidden="1" x14ac:dyDescent="0.25"/>
    <row r="2867" hidden="1" x14ac:dyDescent="0.25"/>
    <row r="2868" hidden="1" x14ac:dyDescent="0.25"/>
    <row r="2869" hidden="1" x14ac:dyDescent="0.25"/>
    <row r="2870" hidden="1" x14ac:dyDescent="0.25"/>
    <row r="2871" hidden="1" x14ac:dyDescent="0.25"/>
    <row r="2872" hidden="1" x14ac:dyDescent="0.25"/>
    <row r="2873" hidden="1" x14ac:dyDescent="0.25"/>
    <row r="2874" hidden="1" x14ac:dyDescent="0.25"/>
    <row r="2875" hidden="1" x14ac:dyDescent="0.25"/>
    <row r="2876" hidden="1" x14ac:dyDescent="0.25"/>
    <row r="2877" hidden="1" x14ac:dyDescent="0.25"/>
    <row r="2878" hidden="1" x14ac:dyDescent="0.25"/>
    <row r="2879" hidden="1" x14ac:dyDescent="0.25"/>
    <row r="2880" hidden="1" x14ac:dyDescent="0.25"/>
    <row r="2881" hidden="1" x14ac:dyDescent="0.25"/>
    <row r="2882" hidden="1" x14ac:dyDescent="0.25"/>
    <row r="2883" hidden="1" x14ac:dyDescent="0.25"/>
    <row r="2884" hidden="1" x14ac:dyDescent="0.25"/>
    <row r="2885" hidden="1" x14ac:dyDescent="0.25"/>
    <row r="2886" hidden="1" x14ac:dyDescent="0.25"/>
    <row r="2887" hidden="1" x14ac:dyDescent="0.25"/>
    <row r="2888" hidden="1" x14ac:dyDescent="0.25"/>
    <row r="2889" hidden="1" x14ac:dyDescent="0.25"/>
    <row r="2890" hidden="1" x14ac:dyDescent="0.25"/>
    <row r="2891" hidden="1" x14ac:dyDescent="0.25"/>
    <row r="2892" hidden="1" x14ac:dyDescent="0.25"/>
    <row r="2893" hidden="1" x14ac:dyDescent="0.25"/>
    <row r="2894" hidden="1" x14ac:dyDescent="0.25"/>
    <row r="2895" hidden="1" x14ac:dyDescent="0.25"/>
    <row r="2896" hidden="1" x14ac:dyDescent="0.25"/>
    <row r="2897" hidden="1" x14ac:dyDescent="0.25"/>
    <row r="2898" hidden="1" x14ac:dyDescent="0.25"/>
    <row r="2899" hidden="1" x14ac:dyDescent="0.25"/>
    <row r="2900" hidden="1" x14ac:dyDescent="0.25"/>
    <row r="2901" hidden="1" x14ac:dyDescent="0.25"/>
    <row r="2902" hidden="1" x14ac:dyDescent="0.25"/>
    <row r="2903" hidden="1" x14ac:dyDescent="0.25"/>
    <row r="2904" hidden="1" x14ac:dyDescent="0.25"/>
    <row r="2905" hidden="1" x14ac:dyDescent="0.25"/>
    <row r="2906" hidden="1" x14ac:dyDescent="0.25"/>
    <row r="2907" hidden="1" x14ac:dyDescent="0.25"/>
    <row r="2908" hidden="1" x14ac:dyDescent="0.25"/>
    <row r="2909" hidden="1" x14ac:dyDescent="0.25"/>
    <row r="2910" hidden="1" x14ac:dyDescent="0.25"/>
    <row r="2911" hidden="1" x14ac:dyDescent="0.25"/>
    <row r="2912" hidden="1" x14ac:dyDescent="0.25"/>
    <row r="2913" hidden="1" x14ac:dyDescent="0.25"/>
    <row r="2914" hidden="1" x14ac:dyDescent="0.25"/>
    <row r="2915" hidden="1" x14ac:dyDescent="0.25"/>
    <row r="2916" hidden="1" x14ac:dyDescent="0.25"/>
    <row r="2917" hidden="1" x14ac:dyDescent="0.25"/>
    <row r="2918" hidden="1" x14ac:dyDescent="0.25"/>
    <row r="2919" hidden="1" x14ac:dyDescent="0.25"/>
    <row r="2920" hidden="1" x14ac:dyDescent="0.25"/>
    <row r="2921" hidden="1" x14ac:dyDescent="0.25"/>
    <row r="2922" hidden="1" x14ac:dyDescent="0.25"/>
    <row r="2923" hidden="1" x14ac:dyDescent="0.25"/>
    <row r="2924" hidden="1" x14ac:dyDescent="0.25"/>
    <row r="2925" hidden="1" x14ac:dyDescent="0.25"/>
    <row r="2926" hidden="1" x14ac:dyDescent="0.25"/>
    <row r="2927" hidden="1" x14ac:dyDescent="0.25"/>
    <row r="2928" hidden="1" x14ac:dyDescent="0.25"/>
    <row r="2929" hidden="1" x14ac:dyDescent="0.25"/>
    <row r="2930" hidden="1" x14ac:dyDescent="0.25"/>
    <row r="2931" hidden="1" x14ac:dyDescent="0.25"/>
    <row r="2932" hidden="1" x14ac:dyDescent="0.25"/>
    <row r="2933" hidden="1" x14ac:dyDescent="0.25"/>
    <row r="2934" hidden="1" x14ac:dyDescent="0.25"/>
    <row r="2935" hidden="1" x14ac:dyDescent="0.25"/>
    <row r="2936" hidden="1" x14ac:dyDescent="0.25"/>
    <row r="2937" hidden="1" x14ac:dyDescent="0.25"/>
    <row r="2938" hidden="1" x14ac:dyDescent="0.25"/>
    <row r="2939" hidden="1" x14ac:dyDescent="0.25"/>
    <row r="2940" hidden="1" x14ac:dyDescent="0.25"/>
    <row r="2941" hidden="1" x14ac:dyDescent="0.25"/>
    <row r="2942" hidden="1" x14ac:dyDescent="0.25"/>
    <row r="2943" hidden="1" x14ac:dyDescent="0.25"/>
    <row r="2944" hidden="1" x14ac:dyDescent="0.25"/>
    <row r="2945" hidden="1" x14ac:dyDescent="0.25"/>
    <row r="2946" hidden="1" x14ac:dyDescent="0.25"/>
    <row r="2947" hidden="1" x14ac:dyDescent="0.25"/>
    <row r="2948" hidden="1" x14ac:dyDescent="0.25"/>
    <row r="2949" hidden="1" x14ac:dyDescent="0.25"/>
    <row r="2950" hidden="1" x14ac:dyDescent="0.25"/>
    <row r="2951" hidden="1" x14ac:dyDescent="0.25"/>
    <row r="2952" hidden="1" x14ac:dyDescent="0.25"/>
    <row r="2953" hidden="1" x14ac:dyDescent="0.25"/>
    <row r="2954" hidden="1" x14ac:dyDescent="0.25"/>
    <row r="2955" hidden="1" x14ac:dyDescent="0.25"/>
    <row r="2956" hidden="1" x14ac:dyDescent="0.25"/>
    <row r="2957" hidden="1" x14ac:dyDescent="0.25"/>
    <row r="2958" hidden="1" x14ac:dyDescent="0.25"/>
    <row r="2959" hidden="1" x14ac:dyDescent="0.25"/>
    <row r="2960" hidden="1" x14ac:dyDescent="0.25"/>
    <row r="2961" hidden="1" x14ac:dyDescent="0.25"/>
    <row r="2962" hidden="1" x14ac:dyDescent="0.25"/>
    <row r="2963" hidden="1" x14ac:dyDescent="0.25"/>
    <row r="2964" hidden="1" x14ac:dyDescent="0.25"/>
    <row r="2965" hidden="1" x14ac:dyDescent="0.25"/>
    <row r="2966" hidden="1" x14ac:dyDescent="0.25"/>
    <row r="2967" hidden="1" x14ac:dyDescent="0.25"/>
    <row r="2968" hidden="1" x14ac:dyDescent="0.25"/>
    <row r="2969" hidden="1" x14ac:dyDescent="0.25"/>
    <row r="2970" hidden="1" x14ac:dyDescent="0.25"/>
    <row r="2971" hidden="1" x14ac:dyDescent="0.25"/>
    <row r="2972" hidden="1" x14ac:dyDescent="0.25"/>
    <row r="2973" hidden="1" x14ac:dyDescent="0.25"/>
    <row r="2974" hidden="1" x14ac:dyDescent="0.25"/>
    <row r="2975" hidden="1" x14ac:dyDescent="0.25"/>
    <row r="2976" hidden="1" x14ac:dyDescent="0.25"/>
    <row r="2977" hidden="1" x14ac:dyDescent="0.25"/>
    <row r="2978" hidden="1" x14ac:dyDescent="0.25"/>
    <row r="2979" hidden="1" x14ac:dyDescent="0.25"/>
    <row r="2980" hidden="1" x14ac:dyDescent="0.25"/>
    <row r="2981" hidden="1" x14ac:dyDescent="0.25"/>
    <row r="2982" hidden="1" x14ac:dyDescent="0.25"/>
    <row r="2983" hidden="1" x14ac:dyDescent="0.25"/>
    <row r="2984" hidden="1" x14ac:dyDescent="0.25"/>
    <row r="2985" hidden="1" x14ac:dyDescent="0.25"/>
    <row r="2986" hidden="1" x14ac:dyDescent="0.25"/>
    <row r="2987" hidden="1" x14ac:dyDescent="0.25"/>
    <row r="2988" hidden="1" x14ac:dyDescent="0.25"/>
    <row r="2989" hidden="1" x14ac:dyDescent="0.25"/>
    <row r="2990" hidden="1" x14ac:dyDescent="0.25"/>
    <row r="2991" hidden="1" x14ac:dyDescent="0.25"/>
    <row r="2992" hidden="1" x14ac:dyDescent="0.25"/>
    <row r="2993" hidden="1" x14ac:dyDescent="0.25"/>
    <row r="2994" hidden="1" x14ac:dyDescent="0.25"/>
    <row r="2995" hidden="1" x14ac:dyDescent="0.25"/>
    <row r="2996" hidden="1" x14ac:dyDescent="0.25"/>
    <row r="2997" hidden="1" x14ac:dyDescent="0.25"/>
    <row r="2998" hidden="1" x14ac:dyDescent="0.25"/>
    <row r="2999" hidden="1" x14ac:dyDescent="0.25"/>
    <row r="3000" hidden="1" x14ac:dyDescent="0.25"/>
    <row r="3001" hidden="1" x14ac:dyDescent="0.25"/>
    <row r="3002" hidden="1" x14ac:dyDescent="0.25"/>
    <row r="3003" hidden="1" x14ac:dyDescent="0.25"/>
    <row r="3004" hidden="1" x14ac:dyDescent="0.25"/>
    <row r="3005" hidden="1" x14ac:dyDescent="0.25"/>
    <row r="3006" hidden="1" x14ac:dyDescent="0.25"/>
    <row r="3007" hidden="1" x14ac:dyDescent="0.25"/>
    <row r="3008" hidden="1" x14ac:dyDescent="0.25"/>
    <row r="3009" hidden="1" x14ac:dyDescent="0.25"/>
    <row r="3010" hidden="1" x14ac:dyDescent="0.25"/>
    <row r="3011" hidden="1" x14ac:dyDescent="0.25"/>
    <row r="3012" hidden="1" x14ac:dyDescent="0.25"/>
    <row r="3013" hidden="1" x14ac:dyDescent="0.25"/>
    <row r="3014" hidden="1" x14ac:dyDescent="0.25"/>
    <row r="3015" hidden="1" x14ac:dyDescent="0.25"/>
    <row r="3016" hidden="1" x14ac:dyDescent="0.25"/>
    <row r="3017" hidden="1" x14ac:dyDescent="0.25"/>
    <row r="3018" hidden="1" x14ac:dyDescent="0.25"/>
    <row r="3019" hidden="1" x14ac:dyDescent="0.25"/>
    <row r="3020" hidden="1" x14ac:dyDescent="0.25"/>
    <row r="3021" hidden="1" x14ac:dyDescent="0.25"/>
    <row r="3022" hidden="1" x14ac:dyDescent="0.25"/>
    <row r="3023" hidden="1" x14ac:dyDescent="0.25"/>
    <row r="3024" hidden="1" x14ac:dyDescent="0.25"/>
    <row r="3025" hidden="1" x14ac:dyDescent="0.25"/>
    <row r="3026" hidden="1" x14ac:dyDescent="0.25"/>
    <row r="3027" hidden="1" x14ac:dyDescent="0.25"/>
    <row r="3028" hidden="1" x14ac:dyDescent="0.25"/>
    <row r="3029" hidden="1" x14ac:dyDescent="0.25"/>
    <row r="3030" hidden="1" x14ac:dyDescent="0.25"/>
    <row r="3031" hidden="1" x14ac:dyDescent="0.25"/>
    <row r="3032" hidden="1" x14ac:dyDescent="0.25"/>
    <row r="3033" hidden="1" x14ac:dyDescent="0.25"/>
    <row r="3034" hidden="1" x14ac:dyDescent="0.25"/>
    <row r="3035" hidden="1" x14ac:dyDescent="0.25"/>
    <row r="3036" hidden="1" x14ac:dyDescent="0.25"/>
    <row r="3037" hidden="1" x14ac:dyDescent="0.25"/>
    <row r="3038" hidden="1" x14ac:dyDescent="0.25"/>
    <row r="3039" hidden="1" x14ac:dyDescent="0.25"/>
    <row r="3040" hidden="1" x14ac:dyDescent="0.25"/>
    <row r="3041" hidden="1" x14ac:dyDescent="0.25"/>
    <row r="3042" hidden="1" x14ac:dyDescent="0.25"/>
    <row r="3043" hidden="1" x14ac:dyDescent="0.25"/>
    <row r="3044" hidden="1" x14ac:dyDescent="0.25"/>
    <row r="3045" hidden="1" x14ac:dyDescent="0.25"/>
    <row r="3046" hidden="1" x14ac:dyDescent="0.25"/>
    <row r="3047" hidden="1" x14ac:dyDescent="0.25"/>
    <row r="3048" hidden="1" x14ac:dyDescent="0.25"/>
    <row r="3049" hidden="1" x14ac:dyDescent="0.25"/>
    <row r="3050" hidden="1" x14ac:dyDescent="0.25"/>
    <row r="3051" hidden="1" x14ac:dyDescent="0.25"/>
    <row r="3052" hidden="1" x14ac:dyDescent="0.25"/>
    <row r="3053" hidden="1" x14ac:dyDescent="0.25"/>
    <row r="3054" hidden="1" x14ac:dyDescent="0.25"/>
    <row r="3055" hidden="1" x14ac:dyDescent="0.25"/>
    <row r="3056" hidden="1" x14ac:dyDescent="0.25"/>
    <row r="3057" hidden="1" x14ac:dyDescent="0.25"/>
    <row r="3058" hidden="1" x14ac:dyDescent="0.25"/>
    <row r="3059" hidden="1" x14ac:dyDescent="0.25"/>
    <row r="3060" hidden="1" x14ac:dyDescent="0.25"/>
    <row r="3061" hidden="1" x14ac:dyDescent="0.25"/>
    <row r="3062" hidden="1" x14ac:dyDescent="0.25"/>
    <row r="3063" hidden="1" x14ac:dyDescent="0.25"/>
    <row r="3064" hidden="1" x14ac:dyDescent="0.25"/>
    <row r="3065" hidden="1" x14ac:dyDescent="0.25"/>
    <row r="3066" hidden="1" x14ac:dyDescent="0.25"/>
    <row r="3067" hidden="1" x14ac:dyDescent="0.25"/>
    <row r="3068" hidden="1" x14ac:dyDescent="0.25"/>
    <row r="3069" hidden="1" x14ac:dyDescent="0.25"/>
    <row r="3070" hidden="1" x14ac:dyDescent="0.25"/>
    <row r="3071" hidden="1" x14ac:dyDescent="0.25"/>
    <row r="3072" hidden="1" x14ac:dyDescent="0.25"/>
    <row r="3073" hidden="1" x14ac:dyDescent="0.25"/>
    <row r="3074" hidden="1" x14ac:dyDescent="0.25"/>
    <row r="3075" hidden="1" x14ac:dyDescent="0.25"/>
    <row r="3076" hidden="1" x14ac:dyDescent="0.25"/>
    <row r="3077" hidden="1" x14ac:dyDescent="0.25"/>
    <row r="3078" hidden="1" x14ac:dyDescent="0.25"/>
    <row r="3079" hidden="1" x14ac:dyDescent="0.25"/>
    <row r="3080" hidden="1" x14ac:dyDescent="0.25"/>
    <row r="3081" hidden="1" x14ac:dyDescent="0.25"/>
    <row r="3082" hidden="1" x14ac:dyDescent="0.25"/>
    <row r="3083" hidden="1" x14ac:dyDescent="0.25"/>
    <row r="3084" hidden="1" x14ac:dyDescent="0.25"/>
    <row r="3085" hidden="1" x14ac:dyDescent="0.25"/>
    <row r="3086" hidden="1" x14ac:dyDescent="0.25"/>
    <row r="3087" hidden="1" x14ac:dyDescent="0.25"/>
    <row r="3088" hidden="1" x14ac:dyDescent="0.25"/>
    <row r="3089" hidden="1" x14ac:dyDescent="0.25"/>
    <row r="3090" hidden="1" x14ac:dyDescent="0.25"/>
    <row r="3091" hidden="1" x14ac:dyDescent="0.25"/>
    <row r="3092" hidden="1" x14ac:dyDescent="0.25"/>
    <row r="3093" hidden="1" x14ac:dyDescent="0.25"/>
    <row r="3094" hidden="1" x14ac:dyDescent="0.25"/>
    <row r="3095" hidden="1" x14ac:dyDescent="0.25"/>
    <row r="3096" hidden="1" x14ac:dyDescent="0.25"/>
    <row r="3097" hidden="1" x14ac:dyDescent="0.25"/>
    <row r="3098" hidden="1" x14ac:dyDescent="0.25"/>
    <row r="3099" hidden="1" x14ac:dyDescent="0.25"/>
    <row r="3100" hidden="1" x14ac:dyDescent="0.25"/>
    <row r="3101" hidden="1" x14ac:dyDescent="0.25"/>
    <row r="3102" hidden="1" x14ac:dyDescent="0.25"/>
    <row r="3103" hidden="1" x14ac:dyDescent="0.25"/>
    <row r="3104" hidden="1" x14ac:dyDescent="0.25"/>
    <row r="3105" hidden="1" x14ac:dyDescent="0.25"/>
    <row r="3106" hidden="1" x14ac:dyDescent="0.25"/>
    <row r="3107" hidden="1" x14ac:dyDescent="0.25"/>
    <row r="3108" hidden="1" x14ac:dyDescent="0.25"/>
    <row r="3109" hidden="1" x14ac:dyDescent="0.25"/>
    <row r="3110" hidden="1" x14ac:dyDescent="0.25"/>
    <row r="3111" hidden="1" x14ac:dyDescent="0.25"/>
    <row r="3112" hidden="1" x14ac:dyDescent="0.25"/>
    <row r="3113" hidden="1" x14ac:dyDescent="0.25"/>
    <row r="3114" hidden="1" x14ac:dyDescent="0.25"/>
    <row r="3115" hidden="1" x14ac:dyDescent="0.25"/>
    <row r="3116" hidden="1" x14ac:dyDescent="0.25"/>
    <row r="3117" hidden="1" x14ac:dyDescent="0.25"/>
    <row r="3118" hidden="1" x14ac:dyDescent="0.25"/>
    <row r="3119" hidden="1" x14ac:dyDescent="0.25"/>
    <row r="3120" hidden="1" x14ac:dyDescent="0.25"/>
    <row r="3121" hidden="1" x14ac:dyDescent="0.25"/>
    <row r="3122" hidden="1" x14ac:dyDescent="0.25"/>
    <row r="3123" hidden="1" x14ac:dyDescent="0.25"/>
    <row r="3124" hidden="1" x14ac:dyDescent="0.25"/>
    <row r="3125" hidden="1" x14ac:dyDescent="0.25"/>
    <row r="3126" hidden="1" x14ac:dyDescent="0.25"/>
    <row r="3127" hidden="1" x14ac:dyDescent="0.25"/>
    <row r="3128" hidden="1" x14ac:dyDescent="0.25"/>
    <row r="3129" hidden="1" x14ac:dyDescent="0.25"/>
    <row r="3130" hidden="1" x14ac:dyDescent="0.25"/>
    <row r="3131" hidden="1" x14ac:dyDescent="0.25"/>
    <row r="3132" hidden="1" x14ac:dyDescent="0.25"/>
    <row r="3133" hidden="1" x14ac:dyDescent="0.25"/>
    <row r="3134" hidden="1" x14ac:dyDescent="0.25"/>
    <row r="3135" hidden="1" x14ac:dyDescent="0.25"/>
    <row r="3136" hidden="1" x14ac:dyDescent="0.25"/>
    <row r="3137" hidden="1" x14ac:dyDescent="0.25"/>
    <row r="3138" hidden="1" x14ac:dyDescent="0.25"/>
    <row r="3139" hidden="1" x14ac:dyDescent="0.25"/>
    <row r="3140" hidden="1" x14ac:dyDescent="0.25"/>
    <row r="3141" hidden="1" x14ac:dyDescent="0.25"/>
    <row r="3142" hidden="1" x14ac:dyDescent="0.25"/>
    <row r="3143" hidden="1" x14ac:dyDescent="0.25"/>
    <row r="3144" hidden="1" x14ac:dyDescent="0.25"/>
    <row r="3145" hidden="1" x14ac:dyDescent="0.25"/>
    <row r="3146" hidden="1" x14ac:dyDescent="0.25"/>
    <row r="3147" hidden="1" x14ac:dyDescent="0.25"/>
    <row r="3148" hidden="1" x14ac:dyDescent="0.25"/>
    <row r="3149" hidden="1" x14ac:dyDescent="0.25"/>
    <row r="3150" hidden="1" x14ac:dyDescent="0.25"/>
    <row r="3151" hidden="1" x14ac:dyDescent="0.25"/>
    <row r="3152" hidden="1" x14ac:dyDescent="0.25"/>
    <row r="3153" hidden="1" x14ac:dyDescent="0.25"/>
    <row r="3154" hidden="1" x14ac:dyDescent="0.25"/>
    <row r="3155" hidden="1" x14ac:dyDescent="0.25"/>
    <row r="3156" hidden="1" x14ac:dyDescent="0.25"/>
    <row r="3157" hidden="1" x14ac:dyDescent="0.25"/>
    <row r="3158" hidden="1" x14ac:dyDescent="0.25"/>
    <row r="3159" hidden="1" x14ac:dyDescent="0.25"/>
    <row r="3160" hidden="1" x14ac:dyDescent="0.25"/>
    <row r="3161" hidden="1" x14ac:dyDescent="0.25"/>
    <row r="3162" hidden="1" x14ac:dyDescent="0.25"/>
    <row r="3163" hidden="1" x14ac:dyDescent="0.25"/>
    <row r="3164" hidden="1" x14ac:dyDescent="0.25"/>
    <row r="3165" hidden="1" x14ac:dyDescent="0.25"/>
    <row r="3166" hidden="1" x14ac:dyDescent="0.25"/>
    <row r="3167" hidden="1" x14ac:dyDescent="0.25"/>
    <row r="3168" hidden="1" x14ac:dyDescent="0.25"/>
    <row r="3169" hidden="1" x14ac:dyDescent="0.25"/>
    <row r="3170" hidden="1" x14ac:dyDescent="0.25"/>
    <row r="3171" hidden="1" x14ac:dyDescent="0.25"/>
    <row r="3172" hidden="1" x14ac:dyDescent="0.25"/>
    <row r="3173" hidden="1" x14ac:dyDescent="0.25"/>
    <row r="3174" hidden="1" x14ac:dyDescent="0.25"/>
    <row r="3175" hidden="1" x14ac:dyDescent="0.25"/>
    <row r="3176" hidden="1" x14ac:dyDescent="0.25"/>
    <row r="3177" hidden="1" x14ac:dyDescent="0.25"/>
    <row r="3178" hidden="1" x14ac:dyDescent="0.25"/>
    <row r="3179" hidden="1" x14ac:dyDescent="0.25"/>
    <row r="3180" hidden="1" x14ac:dyDescent="0.25"/>
    <row r="3181" hidden="1" x14ac:dyDescent="0.25"/>
    <row r="3182" hidden="1" x14ac:dyDescent="0.25"/>
    <row r="3183" hidden="1" x14ac:dyDescent="0.25"/>
    <row r="3184" hidden="1" x14ac:dyDescent="0.25"/>
    <row r="3185" hidden="1" x14ac:dyDescent="0.25"/>
    <row r="3186" hidden="1" x14ac:dyDescent="0.25"/>
    <row r="3187" hidden="1" x14ac:dyDescent="0.25"/>
    <row r="3188" hidden="1" x14ac:dyDescent="0.25"/>
    <row r="3189" hidden="1" x14ac:dyDescent="0.25"/>
    <row r="3190" hidden="1" x14ac:dyDescent="0.25"/>
    <row r="3191" hidden="1" x14ac:dyDescent="0.25"/>
    <row r="3192" hidden="1" x14ac:dyDescent="0.25"/>
    <row r="3193" hidden="1" x14ac:dyDescent="0.25"/>
    <row r="3194" hidden="1" x14ac:dyDescent="0.25"/>
    <row r="3195" hidden="1" x14ac:dyDescent="0.25"/>
    <row r="3196" hidden="1" x14ac:dyDescent="0.25"/>
    <row r="3197" hidden="1" x14ac:dyDescent="0.25"/>
    <row r="3198" hidden="1" x14ac:dyDescent="0.25"/>
    <row r="3199" hidden="1" x14ac:dyDescent="0.25"/>
    <row r="3200" hidden="1" x14ac:dyDescent="0.25"/>
    <row r="3201" hidden="1" x14ac:dyDescent="0.25"/>
    <row r="3202" hidden="1" x14ac:dyDescent="0.25"/>
    <row r="3203" hidden="1" x14ac:dyDescent="0.25"/>
    <row r="3204" hidden="1" x14ac:dyDescent="0.25"/>
    <row r="3205" hidden="1" x14ac:dyDescent="0.25"/>
    <row r="3206" hidden="1" x14ac:dyDescent="0.25"/>
    <row r="3207" hidden="1" x14ac:dyDescent="0.25"/>
    <row r="3208" hidden="1" x14ac:dyDescent="0.25"/>
    <row r="3209" hidden="1" x14ac:dyDescent="0.25"/>
    <row r="3210" hidden="1" x14ac:dyDescent="0.25"/>
    <row r="3211" hidden="1" x14ac:dyDescent="0.25"/>
    <row r="3212" hidden="1" x14ac:dyDescent="0.25"/>
    <row r="3213" hidden="1" x14ac:dyDescent="0.25"/>
    <row r="3214" hidden="1" x14ac:dyDescent="0.25"/>
    <row r="3215" hidden="1" x14ac:dyDescent="0.25"/>
    <row r="3216" hidden="1" x14ac:dyDescent="0.25"/>
    <row r="3217" hidden="1" x14ac:dyDescent="0.25"/>
    <row r="3218" hidden="1" x14ac:dyDescent="0.25"/>
    <row r="3219" hidden="1" x14ac:dyDescent="0.25"/>
    <row r="3220" hidden="1" x14ac:dyDescent="0.25"/>
    <row r="3221" hidden="1" x14ac:dyDescent="0.25"/>
    <row r="3222" hidden="1" x14ac:dyDescent="0.25"/>
    <row r="3223" hidden="1" x14ac:dyDescent="0.25"/>
    <row r="3224" hidden="1" x14ac:dyDescent="0.25"/>
    <row r="3225" hidden="1" x14ac:dyDescent="0.25"/>
    <row r="3226" hidden="1" x14ac:dyDescent="0.25"/>
    <row r="3227" hidden="1" x14ac:dyDescent="0.25"/>
    <row r="3228" hidden="1" x14ac:dyDescent="0.25"/>
    <row r="3229" hidden="1" x14ac:dyDescent="0.25"/>
    <row r="3230" hidden="1" x14ac:dyDescent="0.25"/>
    <row r="3231" hidden="1" x14ac:dyDescent="0.25"/>
    <row r="3232" hidden="1" x14ac:dyDescent="0.25"/>
    <row r="3233" hidden="1" x14ac:dyDescent="0.25"/>
    <row r="3234" hidden="1" x14ac:dyDescent="0.25"/>
    <row r="3235" hidden="1" x14ac:dyDescent="0.25"/>
    <row r="3236" hidden="1" x14ac:dyDescent="0.25"/>
    <row r="3237" hidden="1" x14ac:dyDescent="0.25"/>
    <row r="3238" hidden="1" x14ac:dyDescent="0.25"/>
    <row r="3239" hidden="1" x14ac:dyDescent="0.25"/>
    <row r="3240" hidden="1" x14ac:dyDescent="0.25"/>
    <row r="3241" hidden="1" x14ac:dyDescent="0.25"/>
    <row r="3242" hidden="1" x14ac:dyDescent="0.25"/>
    <row r="3243" hidden="1" x14ac:dyDescent="0.25"/>
    <row r="3244" hidden="1" x14ac:dyDescent="0.25"/>
    <row r="3245" hidden="1" x14ac:dyDescent="0.25"/>
    <row r="3246" hidden="1" x14ac:dyDescent="0.25"/>
    <row r="3247" hidden="1" x14ac:dyDescent="0.25"/>
    <row r="3248" hidden="1" x14ac:dyDescent="0.25"/>
    <row r="3249" hidden="1" x14ac:dyDescent="0.25"/>
    <row r="3250" hidden="1" x14ac:dyDescent="0.25"/>
    <row r="3251" hidden="1" x14ac:dyDescent="0.25"/>
    <row r="3252" hidden="1" x14ac:dyDescent="0.25"/>
    <row r="3253" hidden="1" x14ac:dyDescent="0.25"/>
    <row r="3254" hidden="1" x14ac:dyDescent="0.25"/>
    <row r="3255" hidden="1" x14ac:dyDescent="0.25"/>
    <row r="3256" hidden="1" x14ac:dyDescent="0.25"/>
    <row r="3257" hidden="1" x14ac:dyDescent="0.25"/>
    <row r="3258" hidden="1" x14ac:dyDescent="0.25"/>
    <row r="3259" hidden="1" x14ac:dyDescent="0.25"/>
    <row r="3260" hidden="1" x14ac:dyDescent="0.25"/>
    <row r="3261" hidden="1" x14ac:dyDescent="0.25"/>
    <row r="3262" hidden="1" x14ac:dyDescent="0.25"/>
    <row r="3263" hidden="1" x14ac:dyDescent="0.25"/>
    <row r="3264" hidden="1" x14ac:dyDescent="0.25"/>
    <row r="3265" hidden="1" x14ac:dyDescent="0.25"/>
    <row r="3266" hidden="1" x14ac:dyDescent="0.25"/>
    <row r="3267" hidden="1" x14ac:dyDescent="0.25"/>
    <row r="3268" hidden="1" x14ac:dyDescent="0.25"/>
    <row r="3269" hidden="1" x14ac:dyDescent="0.25"/>
    <row r="3270" hidden="1" x14ac:dyDescent="0.25"/>
    <row r="3271" hidden="1" x14ac:dyDescent="0.25"/>
    <row r="3272" hidden="1" x14ac:dyDescent="0.25"/>
    <row r="3273" hidden="1" x14ac:dyDescent="0.25"/>
    <row r="3274" hidden="1" x14ac:dyDescent="0.25"/>
    <row r="3275" hidden="1" x14ac:dyDescent="0.25"/>
    <row r="3276" hidden="1" x14ac:dyDescent="0.25"/>
    <row r="3277" hidden="1" x14ac:dyDescent="0.25"/>
    <row r="3278" hidden="1" x14ac:dyDescent="0.25"/>
    <row r="3279" hidden="1" x14ac:dyDescent="0.25"/>
    <row r="3280" hidden="1" x14ac:dyDescent="0.25"/>
    <row r="3281" hidden="1" x14ac:dyDescent="0.25"/>
    <row r="3282" hidden="1" x14ac:dyDescent="0.25"/>
    <row r="3283" hidden="1" x14ac:dyDescent="0.25"/>
    <row r="3284" hidden="1" x14ac:dyDescent="0.25"/>
    <row r="3285" hidden="1" x14ac:dyDescent="0.25"/>
    <row r="3286" hidden="1" x14ac:dyDescent="0.25"/>
    <row r="3287" hidden="1" x14ac:dyDescent="0.25"/>
    <row r="3288" hidden="1" x14ac:dyDescent="0.25"/>
    <row r="3289" hidden="1" x14ac:dyDescent="0.25"/>
    <row r="3290" hidden="1" x14ac:dyDescent="0.25"/>
    <row r="3291" hidden="1" x14ac:dyDescent="0.25"/>
    <row r="3292" hidden="1" x14ac:dyDescent="0.25"/>
    <row r="3293" hidden="1" x14ac:dyDescent="0.25"/>
    <row r="3294" hidden="1" x14ac:dyDescent="0.25"/>
    <row r="3295" hidden="1" x14ac:dyDescent="0.25"/>
    <row r="3296" hidden="1" x14ac:dyDescent="0.25"/>
    <row r="3297" hidden="1" x14ac:dyDescent="0.25"/>
    <row r="3298" hidden="1" x14ac:dyDescent="0.25"/>
    <row r="3299" hidden="1" x14ac:dyDescent="0.25"/>
    <row r="3300" hidden="1" x14ac:dyDescent="0.25"/>
    <row r="3301" hidden="1" x14ac:dyDescent="0.25"/>
    <row r="3302" hidden="1" x14ac:dyDescent="0.25"/>
    <row r="3303" hidden="1" x14ac:dyDescent="0.25"/>
    <row r="3304" hidden="1" x14ac:dyDescent="0.25"/>
    <row r="3305" hidden="1" x14ac:dyDescent="0.25"/>
    <row r="3306" hidden="1" x14ac:dyDescent="0.25"/>
    <row r="3307" hidden="1" x14ac:dyDescent="0.25"/>
    <row r="3308" hidden="1" x14ac:dyDescent="0.25"/>
    <row r="3309" hidden="1" x14ac:dyDescent="0.25"/>
    <row r="3310" hidden="1" x14ac:dyDescent="0.25"/>
    <row r="3311" hidden="1" x14ac:dyDescent="0.25"/>
    <row r="3312" hidden="1" x14ac:dyDescent="0.25"/>
    <row r="3313" hidden="1" x14ac:dyDescent="0.25"/>
    <row r="3314" hidden="1" x14ac:dyDescent="0.25"/>
    <row r="3315" hidden="1" x14ac:dyDescent="0.25"/>
    <row r="3316" hidden="1" x14ac:dyDescent="0.25"/>
    <row r="3317" hidden="1" x14ac:dyDescent="0.25"/>
    <row r="3318" hidden="1" x14ac:dyDescent="0.25"/>
    <row r="3319" hidden="1" x14ac:dyDescent="0.25"/>
    <row r="3320" hidden="1" x14ac:dyDescent="0.25"/>
    <row r="3321" hidden="1" x14ac:dyDescent="0.25"/>
    <row r="3322" hidden="1" x14ac:dyDescent="0.25"/>
    <row r="3323" hidden="1" x14ac:dyDescent="0.25"/>
    <row r="3324" hidden="1" x14ac:dyDescent="0.25"/>
    <row r="3325" hidden="1" x14ac:dyDescent="0.25"/>
    <row r="3326" hidden="1" x14ac:dyDescent="0.25"/>
    <row r="3327" hidden="1" x14ac:dyDescent="0.25"/>
    <row r="3328" hidden="1" x14ac:dyDescent="0.25"/>
    <row r="3329" hidden="1" x14ac:dyDescent="0.25"/>
    <row r="3330" hidden="1" x14ac:dyDescent="0.25"/>
    <row r="3331" hidden="1" x14ac:dyDescent="0.25"/>
    <row r="3332" hidden="1" x14ac:dyDescent="0.25"/>
    <row r="3333" hidden="1" x14ac:dyDescent="0.25"/>
    <row r="3334" hidden="1" x14ac:dyDescent="0.25"/>
    <row r="3335" hidden="1" x14ac:dyDescent="0.25"/>
    <row r="3336" hidden="1" x14ac:dyDescent="0.25"/>
    <row r="3337" hidden="1" x14ac:dyDescent="0.25"/>
    <row r="3338" hidden="1" x14ac:dyDescent="0.25"/>
    <row r="3339" hidden="1" x14ac:dyDescent="0.25"/>
    <row r="3340" hidden="1" x14ac:dyDescent="0.25"/>
    <row r="3341" hidden="1" x14ac:dyDescent="0.25"/>
    <row r="3342" hidden="1" x14ac:dyDescent="0.25"/>
    <row r="3343" hidden="1" x14ac:dyDescent="0.25"/>
    <row r="3344" hidden="1" x14ac:dyDescent="0.25"/>
    <row r="3345" hidden="1" x14ac:dyDescent="0.25"/>
    <row r="3346" hidden="1" x14ac:dyDescent="0.25"/>
    <row r="3347" hidden="1" x14ac:dyDescent="0.25"/>
    <row r="3348" hidden="1" x14ac:dyDescent="0.25"/>
    <row r="3349" hidden="1" x14ac:dyDescent="0.25"/>
    <row r="3350" hidden="1" x14ac:dyDescent="0.25"/>
    <row r="3351" hidden="1" x14ac:dyDescent="0.25"/>
    <row r="3352" hidden="1" x14ac:dyDescent="0.25"/>
    <row r="3353" hidden="1" x14ac:dyDescent="0.25"/>
    <row r="3354" hidden="1" x14ac:dyDescent="0.25"/>
    <row r="3355" hidden="1" x14ac:dyDescent="0.25"/>
    <row r="3356" hidden="1" x14ac:dyDescent="0.25"/>
    <row r="3357" hidden="1" x14ac:dyDescent="0.25"/>
    <row r="3358" hidden="1" x14ac:dyDescent="0.25"/>
    <row r="3359" hidden="1" x14ac:dyDescent="0.25"/>
    <row r="3360" hidden="1" x14ac:dyDescent="0.25"/>
    <row r="3361" hidden="1" x14ac:dyDescent="0.25"/>
    <row r="3362" hidden="1" x14ac:dyDescent="0.25"/>
    <row r="3363" hidden="1" x14ac:dyDescent="0.25"/>
    <row r="3364" hidden="1" x14ac:dyDescent="0.25"/>
    <row r="3365" hidden="1" x14ac:dyDescent="0.25"/>
    <row r="3366" hidden="1" x14ac:dyDescent="0.25"/>
    <row r="3367" hidden="1" x14ac:dyDescent="0.25"/>
    <row r="3368" hidden="1" x14ac:dyDescent="0.25"/>
    <row r="3369" hidden="1" x14ac:dyDescent="0.25"/>
    <row r="3370" hidden="1" x14ac:dyDescent="0.25"/>
    <row r="3371" hidden="1" x14ac:dyDescent="0.25"/>
    <row r="3372" hidden="1" x14ac:dyDescent="0.25"/>
    <row r="3373" hidden="1" x14ac:dyDescent="0.25"/>
    <row r="3374" hidden="1" x14ac:dyDescent="0.25"/>
    <row r="3375" hidden="1" x14ac:dyDescent="0.25"/>
    <row r="3376" hidden="1" x14ac:dyDescent="0.25"/>
    <row r="3377" hidden="1" x14ac:dyDescent="0.25"/>
    <row r="3378" hidden="1" x14ac:dyDescent="0.25"/>
    <row r="3379" hidden="1" x14ac:dyDescent="0.25"/>
    <row r="3380" hidden="1" x14ac:dyDescent="0.25"/>
    <row r="3381" hidden="1" x14ac:dyDescent="0.25"/>
    <row r="3382" hidden="1" x14ac:dyDescent="0.25"/>
    <row r="3383" hidden="1" x14ac:dyDescent="0.25"/>
    <row r="3384" hidden="1" x14ac:dyDescent="0.25"/>
    <row r="3385" hidden="1" x14ac:dyDescent="0.25"/>
    <row r="3386" hidden="1" x14ac:dyDescent="0.25"/>
    <row r="3387" hidden="1" x14ac:dyDescent="0.25"/>
    <row r="3388" hidden="1" x14ac:dyDescent="0.25"/>
    <row r="3389" hidden="1" x14ac:dyDescent="0.25"/>
    <row r="3390" hidden="1" x14ac:dyDescent="0.25"/>
    <row r="3391" hidden="1" x14ac:dyDescent="0.25"/>
    <row r="3392" hidden="1" x14ac:dyDescent="0.25"/>
    <row r="3393" hidden="1" x14ac:dyDescent="0.25"/>
    <row r="3394" hidden="1" x14ac:dyDescent="0.25"/>
    <row r="3395" hidden="1" x14ac:dyDescent="0.25"/>
    <row r="3396" hidden="1" x14ac:dyDescent="0.25"/>
    <row r="3397" hidden="1" x14ac:dyDescent="0.25"/>
    <row r="3398" hidden="1" x14ac:dyDescent="0.25"/>
    <row r="3399" hidden="1" x14ac:dyDescent="0.25"/>
    <row r="3400" hidden="1" x14ac:dyDescent="0.25"/>
    <row r="3401" hidden="1" x14ac:dyDescent="0.25"/>
    <row r="3402" hidden="1" x14ac:dyDescent="0.25"/>
    <row r="3403" hidden="1" x14ac:dyDescent="0.25"/>
    <row r="3404" hidden="1" x14ac:dyDescent="0.25"/>
    <row r="3405" hidden="1" x14ac:dyDescent="0.25"/>
    <row r="3406" hidden="1" x14ac:dyDescent="0.25"/>
    <row r="3407" hidden="1" x14ac:dyDescent="0.25"/>
    <row r="3408" hidden="1" x14ac:dyDescent="0.25"/>
    <row r="3409" hidden="1" x14ac:dyDescent="0.25"/>
    <row r="3410" hidden="1" x14ac:dyDescent="0.25"/>
    <row r="3411" hidden="1" x14ac:dyDescent="0.25"/>
    <row r="3412" hidden="1" x14ac:dyDescent="0.25"/>
    <row r="3413" hidden="1" x14ac:dyDescent="0.25"/>
    <row r="3414" hidden="1" x14ac:dyDescent="0.25"/>
    <row r="3415" hidden="1" x14ac:dyDescent="0.25"/>
    <row r="3416" hidden="1" x14ac:dyDescent="0.25"/>
    <row r="3417" hidden="1" x14ac:dyDescent="0.25"/>
    <row r="3418" hidden="1" x14ac:dyDescent="0.25"/>
    <row r="3419" hidden="1" x14ac:dyDescent="0.25"/>
    <row r="3420" hidden="1" x14ac:dyDescent="0.25"/>
    <row r="3421" hidden="1" x14ac:dyDescent="0.25"/>
    <row r="3422" hidden="1" x14ac:dyDescent="0.25"/>
    <row r="3423" hidden="1" x14ac:dyDescent="0.25"/>
    <row r="3424" hidden="1" x14ac:dyDescent="0.25"/>
    <row r="3425" hidden="1" x14ac:dyDescent="0.25"/>
    <row r="3426" hidden="1" x14ac:dyDescent="0.25"/>
    <row r="3427" hidden="1" x14ac:dyDescent="0.25"/>
    <row r="3428" hidden="1" x14ac:dyDescent="0.25"/>
    <row r="3429" hidden="1" x14ac:dyDescent="0.25"/>
    <row r="3430" hidden="1" x14ac:dyDescent="0.25"/>
    <row r="3431" hidden="1" x14ac:dyDescent="0.25"/>
    <row r="3432" hidden="1" x14ac:dyDescent="0.25"/>
    <row r="3433" hidden="1" x14ac:dyDescent="0.25"/>
    <row r="3434" hidden="1" x14ac:dyDescent="0.25"/>
    <row r="3435" hidden="1" x14ac:dyDescent="0.25"/>
    <row r="3436" hidden="1" x14ac:dyDescent="0.25"/>
    <row r="3437" hidden="1" x14ac:dyDescent="0.25"/>
    <row r="3438" hidden="1" x14ac:dyDescent="0.25"/>
    <row r="3439" hidden="1" x14ac:dyDescent="0.25"/>
    <row r="3440" hidden="1" x14ac:dyDescent="0.25"/>
    <row r="3441" hidden="1" x14ac:dyDescent="0.25"/>
    <row r="3442" hidden="1" x14ac:dyDescent="0.25"/>
    <row r="3443" hidden="1" x14ac:dyDescent="0.25"/>
    <row r="3444" hidden="1" x14ac:dyDescent="0.25"/>
    <row r="3445" hidden="1" x14ac:dyDescent="0.25"/>
    <row r="3446" hidden="1" x14ac:dyDescent="0.25"/>
    <row r="3447" hidden="1" x14ac:dyDescent="0.25"/>
    <row r="3448" hidden="1" x14ac:dyDescent="0.25"/>
    <row r="3449" hidden="1" x14ac:dyDescent="0.25"/>
    <row r="3450" hidden="1" x14ac:dyDescent="0.25"/>
    <row r="3451" hidden="1" x14ac:dyDescent="0.25"/>
    <row r="3452" hidden="1" x14ac:dyDescent="0.25"/>
    <row r="3453" hidden="1" x14ac:dyDescent="0.25"/>
    <row r="3454" hidden="1" x14ac:dyDescent="0.25"/>
    <row r="3455" hidden="1" x14ac:dyDescent="0.25"/>
    <row r="3456" hidden="1" x14ac:dyDescent="0.25"/>
    <row r="3457" hidden="1" x14ac:dyDescent="0.25"/>
    <row r="3458" hidden="1" x14ac:dyDescent="0.25"/>
    <row r="3459" hidden="1" x14ac:dyDescent="0.25"/>
    <row r="3460" hidden="1" x14ac:dyDescent="0.25"/>
    <row r="3461" hidden="1" x14ac:dyDescent="0.25"/>
    <row r="3462" hidden="1" x14ac:dyDescent="0.25"/>
    <row r="3463" hidden="1" x14ac:dyDescent="0.25"/>
    <row r="3464" hidden="1" x14ac:dyDescent="0.25"/>
    <row r="3465" hidden="1" x14ac:dyDescent="0.25"/>
    <row r="3466" hidden="1" x14ac:dyDescent="0.25"/>
    <row r="3467" hidden="1" x14ac:dyDescent="0.25"/>
    <row r="3468" hidden="1" x14ac:dyDescent="0.25"/>
    <row r="3469" hidden="1" x14ac:dyDescent="0.25"/>
    <row r="3470" hidden="1" x14ac:dyDescent="0.25"/>
    <row r="3471" hidden="1" x14ac:dyDescent="0.25"/>
    <row r="3472" hidden="1" x14ac:dyDescent="0.25"/>
    <row r="3473" hidden="1" x14ac:dyDescent="0.25"/>
    <row r="3474" hidden="1" x14ac:dyDescent="0.25"/>
    <row r="3475" hidden="1" x14ac:dyDescent="0.25"/>
    <row r="3476" hidden="1" x14ac:dyDescent="0.25"/>
    <row r="3477" hidden="1" x14ac:dyDescent="0.25"/>
    <row r="3478" hidden="1" x14ac:dyDescent="0.25"/>
    <row r="3479" hidden="1" x14ac:dyDescent="0.25"/>
    <row r="3480" hidden="1" x14ac:dyDescent="0.25"/>
    <row r="3481" hidden="1" x14ac:dyDescent="0.25"/>
    <row r="3482" hidden="1" x14ac:dyDescent="0.25"/>
    <row r="3483" hidden="1" x14ac:dyDescent="0.25"/>
    <row r="3484" hidden="1" x14ac:dyDescent="0.25"/>
    <row r="3485" hidden="1" x14ac:dyDescent="0.25"/>
    <row r="3486" hidden="1" x14ac:dyDescent="0.25"/>
    <row r="3487" hidden="1" x14ac:dyDescent="0.25"/>
    <row r="3488" hidden="1" x14ac:dyDescent="0.25"/>
    <row r="3489" hidden="1" x14ac:dyDescent="0.25"/>
    <row r="3490" hidden="1" x14ac:dyDescent="0.25"/>
    <row r="3491" hidden="1" x14ac:dyDescent="0.25"/>
    <row r="3492" hidden="1" x14ac:dyDescent="0.25"/>
    <row r="3493" hidden="1" x14ac:dyDescent="0.25"/>
    <row r="3494" hidden="1" x14ac:dyDescent="0.25"/>
    <row r="3495" hidden="1" x14ac:dyDescent="0.25"/>
    <row r="3496" hidden="1" x14ac:dyDescent="0.25"/>
    <row r="3497" hidden="1" x14ac:dyDescent="0.25"/>
    <row r="3498" hidden="1" x14ac:dyDescent="0.25"/>
    <row r="3499" hidden="1" x14ac:dyDescent="0.25"/>
    <row r="3500" hidden="1" x14ac:dyDescent="0.25"/>
    <row r="3501" hidden="1" x14ac:dyDescent="0.25"/>
    <row r="3502" hidden="1" x14ac:dyDescent="0.25"/>
    <row r="3503" hidden="1" x14ac:dyDescent="0.25"/>
    <row r="3504" hidden="1" x14ac:dyDescent="0.25"/>
    <row r="3505" hidden="1" x14ac:dyDescent="0.25"/>
    <row r="3506" hidden="1" x14ac:dyDescent="0.25"/>
    <row r="3507" hidden="1" x14ac:dyDescent="0.25"/>
    <row r="3508" hidden="1" x14ac:dyDescent="0.25"/>
    <row r="3509" hidden="1" x14ac:dyDescent="0.25"/>
    <row r="3510" hidden="1" x14ac:dyDescent="0.25"/>
    <row r="3511" hidden="1" x14ac:dyDescent="0.25"/>
    <row r="3512" hidden="1" x14ac:dyDescent="0.25"/>
    <row r="3513" hidden="1" x14ac:dyDescent="0.25"/>
    <row r="3514" hidden="1" x14ac:dyDescent="0.25"/>
    <row r="3515" hidden="1" x14ac:dyDescent="0.25"/>
    <row r="3516" hidden="1" x14ac:dyDescent="0.25"/>
    <row r="3517" hidden="1" x14ac:dyDescent="0.25"/>
    <row r="3518" hidden="1" x14ac:dyDescent="0.25"/>
    <row r="3519" hidden="1" x14ac:dyDescent="0.25"/>
    <row r="3520" hidden="1" x14ac:dyDescent="0.25"/>
    <row r="3521" hidden="1" x14ac:dyDescent="0.25"/>
    <row r="3522" hidden="1" x14ac:dyDescent="0.25"/>
    <row r="3523" hidden="1" x14ac:dyDescent="0.25"/>
    <row r="3524" hidden="1" x14ac:dyDescent="0.25"/>
    <row r="3525" hidden="1" x14ac:dyDescent="0.25"/>
    <row r="3526" hidden="1" x14ac:dyDescent="0.25"/>
    <row r="3527" hidden="1" x14ac:dyDescent="0.25"/>
    <row r="3528" hidden="1" x14ac:dyDescent="0.25"/>
    <row r="3529" hidden="1" x14ac:dyDescent="0.25"/>
    <row r="3530" hidden="1" x14ac:dyDescent="0.25"/>
    <row r="3531" hidden="1" x14ac:dyDescent="0.25"/>
    <row r="3532" hidden="1" x14ac:dyDescent="0.25"/>
    <row r="3533" hidden="1" x14ac:dyDescent="0.25"/>
    <row r="3534" hidden="1" x14ac:dyDescent="0.25"/>
    <row r="3535" hidden="1" x14ac:dyDescent="0.25"/>
    <row r="3536" hidden="1" x14ac:dyDescent="0.25"/>
    <row r="3537" hidden="1" x14ac:dyDescent="0.25"/>
    <row r="3538" hidden="1" x14ac:dyDescent="0.25"/>
    <row r="3539" hidden="1" x14ac:dyDescent="0.25"/>
    <row r="3540" hidden="1" x14ac:dyDescent="0.25"/>
    <row r="3541" hidden="1" x14ac:dyDescent="0.25"/>
    <row r="3542" hidden="1" x14ac:dyDescent="0.25"/>
    <row r="3543" hidden="1" x14ac:dyDescent="0.25"/>
    <row r="3544" hidden="1" x14ac:dyDescent="0.25"/>
    <row r="3545" hidden="1" x14ac:dyDescent="0.25"/>
    <row r="3546" hidden="1" x14ac:dyDescent="0.25"/>
    <row r="3547" hidden="1" x14ac:dyDescent="0.25"/>
    <row r="3548" hidden="1" x14ac:dyDescent="0.25"/>
    <row r="3549" hidden="1" x14ac:dyDescent="0.25"/>
    <row r="3550" hidden="1" x14ac:dyDescent="0.25"/>
    <row r="3551" hidden="1" x14ac:dyDescent="0.25"/>
    <row r="3552" hidden="1" x14ac:dyDescent="0.25"/>
    <row r="3553" hidden="1" x14ac:dyDescent="0.25"/>
    <row r="3554" hidden="1" x14ac:dyDescent="0.25"/>
    <row r="3555" hidden="1" x14ac:dyDescent="0.25"/>
    <row r="3556" hidden="1" x14ac:dyDescent="0.25"/>
    <row r="3557" hidden="1" x14ac:dyDescent="0.25"/>
    <row r="3558" hidden="1" x14ac:dyDescent="0.25"/>
    <row r="3559" hidden="1" x14ac:dyDescent="0.25"/>
    <row r="3560" hidden="1" x14ac:dyDescent="0.25"/>
    <row r="3561" hidden="1" x14ac:dyDescent="0.25"/>
    <row r="3562" hidden="1" x14ac:dyDescent="0.25"/>
    <row r="3563" hidden="1" x14ac:dyDescent="0.25"/>
    <row r="3564" hidden="1" x14ac:dyDescent="0.25"/>
    <row r="3565" hidden="1" x14ac:dyDescent="0.25"/>
    <row r="3566" hidden="1" x14ac:dyDescent="0.25"/>
    <row r="3567" hidden="1" x14ac:dyDescent="0.25"/>
    <row r="3568" hidden="1" x14ac:dyDescent="0.25"/>
    <row r="3569" hidden="1" x14ac:dyDescent="0.25"/>
    <row r="3570" hidden="1" x14ac:dyDescent="0.25"/>
    <row r="3571" hidden="1" x14ac:dyDescent="0.25"/>
    <row r="3572" hidden="1" x14ac:dyDescent="0.25"/>
    <row r="3573" hidden="1" x14ac:dyDescent="0.25"/>
    <row r="3574" hidden="1" x14ac:dyDescent="0.25"/>
    <row r="3575" hidden="1" x14ac:dyDescent="0.25"/>
    <row r="3576" hidden="1" x14ac:dyDescent="0.25"/>
    <row r="3577" hidden="1" x14ac:dyDescent="0.25"/>
    <row r="3578" hidden="1" x14ac:dyDescent="0.25"/>
    <row r="3579" hidden="1" x14ac:dyDescent="0.25"/>
    <row r="3580" hidden="1" x14ac:dyDescent="0.25"/>
    <row r="3581" hidden="1" x14ac:dyDescent="0.25"/>
    <row r="3582" hidden="1" x14ac:dyDescent="0.25"/>
    <row r="3583" hidden="1" x14ac:dyDescent="0.25"/>
    <row r="3584" hidden="1" x14ac:dyDescent="0.25"/>
    <row r="3585" hidden="1" x14ac:dyDescent="0.25"/>
    <row r="3586" hidden="1" x14ac:dyDescent="0.25"/>
    <row r="3587" hidden="1" x14ac:dyDescent="0.25"/>
    <row r="3588" hidden="1" x14ac:dyDescent="0.25"/>
    <row r="3589" hidden="1" x14ac:dyDescent="0.25"/>
    <row r="3590" hidden="1" x14ac:dyDescent="0.25"/>
    <row r="3591" hidden="1" x14ac:dyDescent="0.25"/>
    <row r="3592" hidden="1" x14ac:dyDescent="0.25"/>
    <row r="3593" hidden="1" x14ac:dyDescent="0.25"/>
    <row r="3594" hidden="1" x14ac:dyDescent="0.25"/>
    <row r="3595" hidden="1" x14ac:dyDescent="0.25"/>
    <row r="3596" hidden="1" x14ac:dyDescent="0.25"/>
    <row r="3597" hidden="1" x14ac:dyDescent="0.25"/>
    <row r="3598" hidden="1" x14ac:dyDescent="0.25"/>
    <row r="3599" hidden="1" x14ac:dyDescent="0.25"/>
    <row r="3600" hidden="1" x14ac:dyDescent="0.25"/>
    <row r="3601" hidden="1" x14ac:dyDescent="0.25"/>
    <row r="3602" hidden="1" x14ac:dyDescent="0.25"/>
    <row r="3603" hidden="1" x14ac:dyDescent="0.25"/>
    <row r="3604" hidden="1" x14ac:dyDescent="0.25"/>
    <row r="3605" hidden="1" x14ac:dyDescent="0.25"/>
    <row r="3606" hidden="1" x14ac:dyDescent="0.25"/>
    <row r="3607" hidden="1" x14ac:dyDescent="0.25"/>
    <row r="3608" hidden="1" x14ac:dyDescent="0.25"/>
    <row r="3609" hidden="1" x14ac:dyDescent="0.25"/>
    <row r="3610" hidden="1" x14ac:dyDescent="0.25"/>
    <row r="3611" hidden="1" x14ac:dyDescent="0.25"/>
    <row r="3612" hidden="1" x14ac:dyDescent="0.25"/>
    <row r="3613" hidden="1" x14ac:dyDescent="0.25"/>
    <row r="3614" hidden="1" x14ac:dyDescent="0.25"/>
    <row r="3615" hidden="1" x14ac:dyDescent="0.25"/>
    <row r="3616" hidden="1" x14ac:dyDescent="0.25"/>
    <row r="3617" hidden="1" x14ac:dyDescent="0.25"/>
    <row r="3618" hidden="1" x14ac:dyDescent="0.25"/>
    <row r="3619" hidden="1" x14ac:dyDescent="0.25"/>
    <row r="3620" hidden="1" x14ac:dyDescent="0.25"/>
    <row r="3621" hidden="1" x14ac:dyDescent="0.25"/>
    <row r="3622" hidden="1" x14ac:dyDescent="0.25"/>
    <row r="3623" hidden="1" x14ac:dyDescent="0.25"/>
    <row r="3624" hidden="1" x14ac:dyDescent="0.25"/>
    <row r="3625" hidden="1" x14ac:dyDescent="0.25"/>
    <row r="3626" hidden="1" x14ac:dyDescent="0.25"/>
    <row r="3627" hidden="1" x14ac:dyDescent="0.25"/>
    <row r="3628" hidden="1" x14ac:dyDescent="0.25"/>
    <row r="3629" hidden="1" x14ac:dyDescent="0.25"/>
    <row r="3630" hidden="1" x14ac:dyDescent="0.25"/>
    <row r="3631" hidden="1" x14ac:dyDescent="0.25"/>
    <row r="3632" hidden="1" x14ac:dyDescent="0.25"/>
    <row r="3633" hidden="1" x14ac:dyDescent="0.25"/>
    <row r="3634" hidden="1" x14ac:dyDescent="0.25"/>
    <row r="3635" hidden="1" x14ac:dyDescent="0.25"/>
    <row r="3636" hidden="1" x14ac:dyDescent="0.25"/>
    <row r="3637" hidden="1" x14ac:dyDescent="0.25"/>
    <row r="3638" hidden="1" x14ac:dyDescent="0.25"/>
    <row r="3639" hidden="1" x14ac:dyDescent="0.25"/>
    <row r="3640" hidden="1" x14ac:dyDescent="0.25"/>
    <row r="3641" hidden="1" x14ac:dyDescent="0.25"/>
    <row r="3642" hidden="1" x14ac:dyDescent="0.25"/>
    <row r="3643" hidden="1" x14ac:dyDescent="0.25"/>
    <row r="3644" hidden="1" x14ac:dyDescent="0.25"/>
    <row r="3645" hidden="1" x14ac:dyDescent="0.25"/>
    <row r="3646" hidden="1" x14ac:dyDescent="0.25"/>
    <row r="3647" hidden="1" x14ac:dyDescent="0.25"/>
    <row r="3648" hidden="1" x14ac:dyDescent="0.25"/>
    <row r="3649" hidden="1" x14ac:dyDescent="0.25"/>
    <row r="3650" hidden="1" x14ac:dyDescent="0.25"/>
    <row r="3651" hidden="1" x14ac:dyDescent="0.25"/>
    <row r="3652" hidden="1" x14ac:dyDescent="0.25"/>
    <row r="3653" hidden="1" x14ac:dyDescent="0.25"/>
    <row r="3654" hidden="1" x14ac:dyDescent="0.25"/>
    <row r="3655" hidden="1" x14ac:dyDescent="0.25"/>
    <row r="3656" hidden="1" x14ac:dyDescent="0.25"/>
    <row r="3657" hidden="1" x14ac:dyDescent="0.25"/>
    <row r="3658" hidden="1" x14ac:dyDescent="0.25"/>
    <row r="3659" hidden="1" x14ac:dyDescent="0.25"/>
    <row r="3660" hidden="1" x14ac:dyDescent="0.25"/>
    <row r="3661" hidden="1" x14ac:dyDescent="0.25"/>
    <row r="3662" hidden="1" x14ac:dyDescent="0.25"/>
    <row r="3663" hidden="1" x14ac:dyDescent="0.25"/>
    <row r="3664" hidden="1" x14ac:dyDescent="0.25"/>
    <row r="3665" hidden="1" x14ac:dyDescent="0.25"/>
    <row r="3666" hidden="1" x14ac:dyDescent="0.25"/>
    <row r="3667" hidden="1" x14ac:dyDescent="0.25"/>
    <row r="3668" hidden="1" x14ac:dyDescent="0.25"/>
    <row r="3669" hidden="1" x14ac:dyDescent="0.25"/>
    <row r="3670" hidden="1" x14ac:dyDescent="0.25"/>
    <row r="3671" hidden="1" x14ac:dyDescent="0.25"/>
    <row r="3672" hidden="1" x14ac:dyDescent="0.25"/>
    <row r="3673" hidden="1" x14ac:dyDescent="0.25"/>
    <row r="3674" hidden="1" x14ac:dyDescent="0.25"/>
    <row r="3675" hidden="1" x14ac:dyDescent="0.25"/>
    <row r="3676" hidden="1" x14ac:dyDescent="0.25"/>
    <row r="3677" hidden="1" x14ac:dyDescent="0.25"/>
    <row r="3678" hidden="1" x14ac:dyDescent="0.25"/>
    <row r="3679" hidden="1" x14ac:dyDescent="0.25"/>
    <row r="3680" hidden="1" x14ac:dyDescent="0.25"/>
    <row r="3681" hidden="1" x14ac:dyDescent="0.25"/>
    <row r="3682" hidden="1" x14ac:dyDescent="0.25"/>
    <row r="3683" hidden="1" x14ac:dyDescent="0.25"/>
    <row r="3684" hidden="1" x14ac:dyDescent="0.25"/>
    <row r="3685" hidden="1" x14ac:dyDescent="0.25"/>
    <row r="3686" hidden="1" x14ac:dyDescent="0.25"/>
    <row r="3687" hidden="1" x14ac:dyDescent="0.25"/>
    <row r="3688" hidden="1" x14ac:dyDescent="0.25"/>
    <row r="3689" hidden="1" x14ac:dyDescent="0.25"/>
    <row r="3690" hidden="1" x14ac:dyDescent="0.25"/>
    <row r="3691" hidden="1" x14ac:dyDescent="0.25"/>
    <row r="3692" hidden="1" x14ac:dyDescent="0.25"/>
    <row r="3693" hidden="1" x14ac:dyDescent="0.25"/>
    <row r="3694" hidden="1" x14ac:dyDescent="0.25"/>
    <row r="3695" hidden="1" x14ac:dyDescent="0.25"/>
    <row r="3696" hidden="1" x14ac:dyDescent="0.25"/>
    <row r="3697" hidden="1" x14ac:dyDescent="0.25"/>
    <row r="3698" hidden="1" x14ac:dyDescent="0.25"/>
    <row r="3699" hidden="1" x14ac:dyDescent="0.25"/>
    <row r="3700" hidden="1" x14ac:dyDescent="0.25"/>
    <row r="3701" hidden="1" x14ac:dyDescent="0.25"/>
    <row r="3702" hidden="1" x14ac:dyDescent="0.25"/>
    <row r="3703" hidden="1" x14ac:dyDescent="0.25"/>
    <row r="3704" hidden="1" x14ac:dyDescent="0.25"/>
    <row r="3705" hidden="1" x14ac:dyDescent="0.25"/>
    <row r="3706" hidden="1" x14ac:dyDescent="0.25"/>
    <row r="3707" hidden="1" x14ac:dyDescent="0.25"/>
    <row r="3708" hidden="1" x14ac:dyDescent="0.25"/>
    <row r="3709" hidden="1" x14ac:dyDescent="0.25"/>
    <row r="3710" hidden="1" x14ac:dyDescent="0.25"/>
    <row r="3711" hidden="1" x14ac:dyDescent="0.25"/>
    <row r="3712" hidden="1" x14ac:dyDescent="0.25"/>
    <row r="3713" hidden="1" x14ac:dyDescent="0.25"/>
    <row r="3714" hidden="1" x14ac:dyDescent="0.25"/>
    <row r="3715" hidden="1" x14ac:dyDescent="0.25"/>
    <row r="3716" hidden="1" x14ac:dyDescent="0.25"/>
    <row r="3717" hidden="1" x14ac:dyDescent="0.25"/>
    <row r="3718" hidden="1" x14ac:dyDescent="0.25"/>
    <row r="3719" hidden="1" x14ac:dyDescent="0.25"/>
    <row r="3720" hidden="1" x14ac:dyDescent="0.25"/>
    <row r="3721" hidden="1" x14ac:dyDescent="0.25"/>
    <row r="3722" hidden="1" x14ac:dyDescent="0.25"/>
    <row r="3723" hidden="1" x14ac:dyDescent="0.25"/>
    <row r="3724" hidden="1" x14ac:dyDescent="0.25"/>
    <row r="3725" hidden="1" x14ac:dyDescent="0.25"/>
    <row r="3726" hidden="1" x14ac:dyDescent="0.25"/>
    <row r="3727" hidden="1" x14ac:dyDescent="0.25"/>
    <row r="3728" hidden="1" x14ac:dyDescent="0.25"/>
    <row r="3729" hidden="1" x14ac:dyDescent="0.25"/>
    <row r="3730" hidden="1" x14ac:dyDescent="0.25"/>
    <row r="3731" hidden="1" x14ac:dyDescent="0.25"/>
    <row r="3732" hidden="1" x14ac:dyDescent="0.25"/>
    <row r="3733" hidden="1" x14ac:dyDescent="0.25"/>
    <row r="3734" hidden="1" x14ac:dyDescent="0.25"/>
    <row r="3735" hidden="1" x14ac:dyDescent="0.25"/>
    <row r="3736" hidden="1" x14ac:dyDescent="0.25"/>
    <row r="3737" hidden="1" x14ac:dyDescent="0.25"/>
    <row r="3738" hidden="1" x14ac:dyDescent="0.25"/>
    <row r="3739" hidden="1" x14ac:dyDescent="0.25"/>
    <row r="3740" hidden="1" x14ac:dyDescent="0.25"/>
    <row r="3741" hidden="1" x14ac:dyDescent="0.25"/>
    <row r="3742" hidden="1" x14ac:dyDescent="0.25"/>
    <row r="3743" hidden="1" x14ac:dyDescent="0.25"/>
    <row r="3744" hidden="1" x14ac:dyDescent="0.25"/>
    <row r="3745" hidden="1" x14ac:dyDescent="0.25"/>
    <row r="3746" hidden="1" x14ac:dyDescent="0.25"/>
    <row r="3747" hidden="1" x14ac:dyDescent="0.25"/>
    <row r="3748" hidden="1" x14ac:dyDescent="0.25"/>
    <row r="3749" hidden="1" x14ac:dyDescent="0.25"/>
    <row r="3750" hidden="1" x14ac:dyDescent="0.25"/>
    <row r="3751" hidden="1" x14ac:dyDescent="0.25"/>
    <row r="3752" hidden="1" x14ac:dyDescent="0.25"/>
    <row r="3753" hidden="1" x14ac:dyDescent="0.25"/>
    <row r="3754" hidden="1" x14ac:dyDescent="0.25"/>
    <row r="3755" hidden="1" x14ac:dyDescent="0.25"/>
    <row r="3756" hidden="1" x14ac:dyDescent="0.25"/>
    <row r="3757" hidden="1" x14ac:dyDescent="0.25"/>
    <row r="3758" hidden="1" x14ac:dyDescent="0.25"/>
    <row r="3759" hidden="1" x14ac:dyDescent="0.25"/>
    <row r="3760" hidden="1" x14ac:dyDescent="0.25"/>
    <row r="3761" hidden="1" x14ac:dyDescent="0.25"/>
    <row r="3762" hidden="1" x14ac:dyDescent="0.25"/>
    <row r="3763" hidden="1" x14ac:dyDescent="0.25"/>
    <row r="3764" hidden="1" x14ac:dyDescent="0.25"/>
    <row r="3765" hidden="1" x14ac:dyDescent="0.25"/>
    <row r="3766" hidden="1" x14ac:dyDescent="0.25"/>
    <row r="3767" hidden="1" x14ac:dyDescent="0.25"/>
    <row r="3768" hidden="1" x14ac:dyDescent="0.25"/>
    <row r="3769" hidden="1" x14ac:dyDescent="0.25"/>
    <row r="3770" hidden="1" x14ac:dyDescent="0.25"/>
    <row r="3771" hidden="1" x14ac:dyDescent="0.25"/>
    <row r="3772" hidden="1" x14ac:dyDescent="0.25"/>
    <row r="3773" hidden="1" x14ac:dyDescent="0.25"/>
    <row r="3774" hidden="1" x14ac:dyDescent="0.25"/>
    <row r="3775" hidden="1" x14ac:dyDescent="0.25"/>
    <row r="3776" hidden="1" x14ac:dyDescent="0.25"/>
    <row r="3777" hidden="1" x14ac:dyDescent="0.25"/>
    <row r="3778" hidden="1" x14ac:dyDescent="0.25"/>
    <row r="3779" hidden="1" x14ac:dyDescent="0.25"/>
    <row r="3780" hidden="1" x14ac:dyDescent="0.25"/>
    <row r="3781" hidden="1" x14ac:dyDescent="0.25"/>
    <row r="3782" hidden="1" x14ac:dyDescent="0.25"/>
    <row r="3783" hidden="1" x14ac:dyDescent="0.25"/>
    <row r="3784" hidden="1" x14ac:dyDescent="0.25"/>
    <row r="3785" hidden="1" x14ac:dyDescent="0.25"/>
    <row r="3786" hidden="1" x14ac:dyDescent="0.25"/>
    <row r="3787" hidden="1" x14ac:dyDescent="0.25"/>
    <row r="3788" hidden="1" x14ac:dyDescent="0.25"/>
    <row r="3789" hidden="1" x14ac:dyDescent="0.25"/>
    <row r="3790" hidden="1" x14ac:dyDescent="0.25"/>
    <row r="3791" hidden="1" x14ac:dyDescent="0.25"/>
    <row r="3792" hidden="1" x14ac:dyDescent="0.25"/>
    <row r="3793" hidden="1" x14ac:dyDescent="0.25"/>
    <row r="3794" hidden="1" x14ac:dyDescent="0.25"/>
    <row r="3795" hidden="1" x14ac:dyDescent="0.25"/>
    <row r="3796" hidden="1" x14ac:dyDescent="0.25"/>
    <row r="3797" hidden="1" x14ac:dyDescent="0.25"/>
    <row r="3798" hidden="1" x14ac:dyDescent="0.25"/>
    <row r="3799" hidden="1" x14ac:dyDescent="0.25"/>
    <row r="3800" hidden="1" x14ac:dyDescent="0.25"/>
    <row r="3801" hidden="1" x14ac:dyDescent="0.25"/>
    <row r="3802" hidden="1" x14ac:dyDescent="0.25"/>
    <row r="3803" hidden="1" x14ac:dyDescent="0.25"/>
    <row r="3804" hidden="1" x14ac:dyDescent="0.25"/>
    <row r="3805" hidden="1" x14ac:dyDescent="0.25"/>
    <row r="3806" hidden="1" x14ac:dyDescent="0.25"/>
    <row r="3807" hidden="1" x14ac:dyDescent="0.25"/>
    <row r="3808" hidden="1" x14ac:dyDescent="0.25"/>
    <row r="3809" hidden="1" x14ac:dyDescent="0.25"/>
    <row r="3810" hidden="1" x14ac:dyDescent="0.25"/>
    <row r="3811" hidden="1" x14ac:dyDescent="0.25"/>
    <row r="3812" hidden="1" x14ac:dyDescent="0.25"/>
    <row r="3813" hidden="1" x14ac:dyDescent="0.25"/>
    <row r="3814" hidden="1" x14ac:dyDescent="0.25"/>
    <row r="3815" hidden="1" x14ac:dyDescent="0.25"/>
    <row r="3816" hidden="1" x14ac:dyDescent="0.25"/>
    <row r="3817" hidden="1" x14ac:dyDescent="0.25"/>
    <row r="3818" hidden="1" x14ac:dyDescent="0.25"/>
    <row r="3819" hidden="1" x14ac:dyDescent="0.25"/>
    <row r="3820" hidden="1" x14ac:dyDescent="0.25"/>
    <row r="3821" hidden="1" x14ac:dyDescent="0.25"/>
    <row r="3822" hidden="1" x14ac:dyDescent="0.25"/>
    <row r="3823" hidden="1" x14ac:dyDescent="0.25"/>
    <row r="3824" hidden="1" x14ac:dyDescent="0.25"/>
    <row r="3825" hidden="1" x14ac:dyDescent="0.25"/>
    <row r="3826" hidden="1" x14ac:dyDescent="0.25"/>
    <row r="3827" hidden="1" x14ac:dyDescent="0.25"/>
    <row r="3828" hidden="1" x14ac:dyDescent="0.25"/>
    <row r="3829" hidden="1" x14ac:dyDescent="0.25"/>
    <row r="3830" hidden="1" x14ac:dyDescent="0.25"/>
    <row r="3831" x14ac:dyDescent="0.25"/>
  </sheetData>
  <dataValidations count="1">
    <dataValidation type="list" allowBlank="1" showInputMessage="1" showErrorMessage="1" sqref="B4:B18">
      <formula1>RAG</formula1>
    </dataValidation>
  </dataValidations>
  <hyperlinks>
    <hyperlink ref="A11" location="Customer_Contacts" display="Customer contacts"/>
    <hyperlink ref="A10" location="'Customer priorities'!A1" display="Priorities"/>
    <hyperlink ref="A12" location="Customer_Satisfaction" display="Customer satisfaction"/>
    <hyperlink ref="A17" location="External_WTP" display="External WTP"/>
    <hyperlink ref="A14" location="WRMP_core_online_results" display="WRMP online"/>
    <hyperlink ref="A15" location="WRMP_core_workshop_results" display="WRMP workshops"/>
    <hyperlink ref="A13" location="SSW_WTP_PR14" display="SSW WTP PR14"/>
    <hyperlink ref="A5" location="WTP_core_Maxdiff" display="WTP core_MaxDiff"/>
    <hyperlink ref="A16" location="ExternalWTP14!A1" display="ExternalWTP14"/>
    <hyperlink ref="A18" location="'PC Slider'!A1" display="PC Slider"/>
    <hyperlink ref="A4" location="'WTP core_DCE'!A1" display="WTPCore_DCE"/>
    <hyperlink ref="A6" location="WTPCore_DCE2!A1" display="WTPCore_DCE2"/>
    <hyperlink ref="A8" location="WTPCore_DCE2_LowBill!A1" display="WTPCore_DCE2_LowBill"/>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C41"/>
  <sheetViews>
    <sheetView topLeftCell="B1" zoomScale="80" zoomScaleNormal="80" workbookViewId="0">
      <selection activeCell="U1" sqref="B1:U1048576"/>
    </sheetView>
  </sheetViews>
  <sheetFormatPr defaultRowHeight="15" x14ac:dyDescent="0.25"/>
  <cols>
    <col min="1" max="1" width="46.7109375" bestFit="1" customWidth="1"/>
    <col min="2" max="2" width="21.85546875" customWidth="1"/>
    <col min="3" max="3" width="12" customWidth="1"/>
    <col min="4" max="4" width="9.140625" customWidth="1"/>
    <col min="5" max="5" width="9.28515625" customWidth="1"/>
    <col min="6" max="6" width="12" customWidth="1"/>
    <col min="7" max="7" width="9.28515625" customWidth="1"/>
    <col min="8" max="8" width="10.85546875" customWidth="1"/>
    <col min="9" max="9" width="13.5703125" customWidth="1"/>
    <col min="10" max="10" width="9.140625" customWidth="1"/>
    <col min="11" max="11" width="10.85546875" customWidth="1"/>
    <col min="12" max="12" width="12" customWidth="1"/>
    <col min="13" max="14" width="9.140625" customWidth="1"/>
    <col min="15" max="15" width="13.5703125" customWidth="1"/>
    <col min="16" max="16" width="9.140625" customWidth="1"/>
    <col min="17" max="17" width="10.85546875" customWidth="1"/>
    <col min="18" max="18" width="13.5703125" customWidth="1"/>
    <col min="19" max="19" width="9.140625" customWidth="1"/>
    <col min="20" max="20" width="10.85546875" customWidth="1"/>
    <col min="21" max="21" width="12" bestFit="1" customWidth="1"/>
    <col min="24" max="24" width="12" bestFit="1" customWidth="1"/>
    <col min="26" max="26" width="10.85546875" bestFit="1" customWidth="1"/>
    <col min="27" max="27" width="13.5703125" bestFit="1" customWidth="1"/>
    <col min="29" max="29" width="10.85546875" bestFit="1" customWidth="1"/>
  </cols>
  <sheetData>
    <row r="1" spans="1:29" ht="28.5" x14ac:dyDescent="0.45">
      <c r="A1" s="102" t="s">
        <v>1081</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row>
    <row r="2" spans="1:29" ht="23.25" x14ac:dyDescent="0.35">
      <c r="A2" s="61"/>
      <c r="B2" s="61"/>
      <c r="C2" s="166" t="s">
        <v>39</v>
      </c>
      <c r="D2" s="166"/>
      <c r="E2" s="166"/>
      <c r="F2" s="166"/>
      <c r="G2" s="166"/>
      <c r="H2" s="166"/>
      <c r="I2" s="166"/>
      <c r="J2" s="166"/>
      <c r="K2" s="166"/>
      <c r="L2" s="995" t="s">
        <v>118</v>
      </c>
      <c r="M2" s="956"/>
      <c r="N2" s="956"/>
      <c r="O2" s="956"/>
      <c r="P2" s="956"/>
      <c r="Q2" s="956"/>
      <c r="R2" s="956"/>
      <c r="S2" s="956"/>
      <c r="T2" s="956"/>
      <c r="U2" s="996" t="s">
        <v>1082</v>
      </c>
      <c r="V2" s="996"/>
      <c r="W2" s="996"/>
      <c r="X2" s="996"/>
      <c r="Y2" s="996"/>
      <c r="Z2" s="996"/>
      <c r="AA2" s="996"/>
      <c r="AB2" s="996"/>
      <c r="AC2" s="996"/>
    </row>
    <row r="3" spans="1:29" x14ac:dyDescent="0.25">
      <c r="A3" s="61" t="s">
        <v>24</v>
      </c>
      <c r="B3" s="61"/>
      <c r="C3" s="249" t="s">
        <v>9</v>
      </c>
      <c r="D3" s="249"/>
      <c r="E3" s="249"/>
      <c r="F3" s="249" t="s">
        <v>199</v>
      </c>
      <c r="G3" s="249"/>
      <c r="H3" s="249"/>
      <c r="I3" s="249" t="s">
        <v>1083</v>
      </c>
      <c r="J3" s="249"/>
      <c r="K3" s="249"/>
      <c r="L3" s="249" t="s">
        <v>9</v>
      </c>
      <c r="M3" s="249"/>
      <c r="N3" s="249"/>
      <c r="O3" s="249" t="s">
        <v>199</v>
      </c>
      <c r="P3" s="249"/>
      <c r="Q3" s="249"/>
      <c r="R3" s="249" t="s">
        <v>1083</v>
      </c>
      <c r="S3" s="249"/>
      <c r="T3" s="249"/>
      <c r="U3" s="249" t="s">
        <v>9</v>
      </c>
      <c r="V3" s="249"/>
      <c r="W3" s="249"/>
      <c r="X3" s="249" t="s">
        <v>199</v>
      </c>
      <c r="Y3" s="249"/>
      <c r="Z3" s="249"/>
      <c r="AA3" s="249" t="s">
        <v>1083</v>
      </c>
      <c r="AB3" s="249"/>
      <c r="AC3" s="249"/>
    </row>
    <row r="4" spans="1:29" x14ac:dyDescent="0.25">
      <c r="A4" s="61"/>
      <c r="B4" s="66" t="s">
        <v>368</v>
      </c>
      <c r="C4" s="127" t="s">
        <v>1084</v>
      </c>
      <c r="D4" s="127" t="s">
        <v>1085</v>
      </c>
      <c r="E4" s="127" t="s">
        <v>1086</v>
      </c>
      <c r="F4" s="127" t="s">
        <v>1084</v>
      </c>
      <c r="G4" s="127" t="s">
        <v>1085</v>
      </c>
      <c r="H4" s="127" t="s">
        <v>1086</v>
      </c>
      <c r="I4" s="127" t="s">
        <v>1084</v>
      </c>
      <c r="J4" s="127" t="s">
        <v>1085</v>
      </c>
      <c r="K4" s="127" t="s">
        <v>1086</v>
      </c>
      <c r="L4" s="127" t="s">
        <v>1084</v>
      </c>
      <c r="M4" s="127" t="s">
        <v>1085</v>
      </c>
      <c r="N4" s="127" t="s">
        <v>1086</v>
      </c>
      <c r="O4" s="127" t="s">
        <v>1084</v>
      </c>
      <c r="P4" s="127" t="s">
        <v>1085</v>
      </c>
      <c r="Q4" s="127" t="s">
        <v>1086</v>
      </c>
      <c r="R4" s="127" t="s">
        <v>1084</v>
      </c>
      <c r="S4" s="127" t="s">
        <v>1085</v>
      </c>
      <c r="T4" s="127" t="s">
        <v>1086</v>
      </c>
      <c r="U4" s="127" t="s">
        <v>1084</v>
      </c>
      <c r="V4" s="127" t="s">
        <v>1085</v>
      </c>
      <c r="W4" s="127" t="s">
        <v>1086</v>
      </c>
      <c r="X4" s="127" t="s">
        <v>1084</v>
      </c>
      <c r="Y4" s="127" t="s">
        <v>1085</v>
      </c>
      <c r="Z4" s="127" t="s">
        <v>1086</v>
      </c>
      <c r="AA4" s="127" t="s">
        <v>1084</v>
      </c>
      <c r="AB4" s="127" t="s">
        <v>1085</v>
      </c>
      <c r="AC4" s="127" t="s">
        <v>1086</v>
      </c>
    </row>
    <row r="5" spans="1:29" x14ac:dyDescent="0.25">
      <c r="A5" s="258" t="s">
        <v>370</v>
      </c>
      <c r="B5" s="236" t="s">
        <v>369</v>
      </c>
      <c r="C5" s="341">
        <f ca="1">INDEX(SSW_WTP_HH,MATCH($A5,SSC_WTP_OPTIONS,0))</f>
        <v>1004.0372248742228</v>
      </c>
      <c r="D5" s="997">
        <f ca="1">0.8*INDEX(SSW_MINWTP_HH,MATCH($A5,SSC_WTP_OPTIONS,0))+0.2*C5</f>
        <v>218.53743558095812</v>
      </c>
      <c r="E5" s="997">
        <f ca="1">0.8*INDEX(SSW_MAXWTP_HH,MATCH($A5,SSC_WTP_OPTIONS,0))+0.2*C5</f>
        <v>2910.7085276181542</v>
      </c>
      <c r="F5" s="341">
        <f ca="1">INDEX(SSW_WTP_NHH,MATCH($A5,SSC_WTP_OPTIONS,0))</f>
        <v>448.87274713174776</v>
      </c>
      <c r="G5" s="997">
        <f ca="1">0.8*INDEX(SSW_MINWTP_NHH,MATCH($A5,SSC_WTP_OPTIONS,0))+0.2*F5</f>
        <v>128.52017808446166</v>
      </c>
      <c r="H5" s="997">
        <f t="shared" ref="H5:H20" ca="1" si="0">0.8*INDEX(SSW_MAXWTP_NHH,MATCH($A5,SSC_WTP_OPTIONS,0))+0.2*F5</f>
        <v>1317.017686947572</v>
      </c>
      <c r="I5" s="341">
        <f ca="1">INDEX(SSW_WTP_ALL,MATCH($A5,SSC_WTP_OPTIONS,0))</f>
        <v>1452.9099720059705</v>
      </c>
      <c r="J5" s="997">
        <f ca="1">0.8*INDEX(SSW_MINWTP_ALL,MATCH($A5,SSC_WTP_OPTIONS,0))+0.2*I5</f>
        <v>347.05761366541975</v>
      </c>
      <c r="K5" s="997">
        <f t="shared" ref="K5:K20" ca="1" si="1">0.8*INDEX(SSW_MAXWTP_ALL,MATCH($A5,SSC_WTP_OPTIONS,0))+0.2*I5</f>
        <v>4227.726214565726</v>
      </c>
      <c r="L5" s="341">
        <f ca="1">INDEX(CAM_WTP_HH,MATCH($A5,SSC_WTP_OPTIONS,0))</f>
        <v>1028.501528527346</v>
      </c>
      <c r="M5" s="997">
        <f ca="1">0.8*INDEX(CAM_MINWTP_HH,MATCH($A5,SSC_WTP_OPTIONS,0))+0.2*L5</f>
        <v>218.3919940911544</v>
      </c>
      <c r="N5" s="997">
        <f t="shared" ref="N5:N20" ca="1" si="2">0.8*INDEX(CAM_MAXWTP_HH,MATCH($A5,SSC_WTP_OPTIONS,0))+0.2*L5</f>
        <v>2969.5246505798914</v>
      </c>
      <c r="O5" s="341">
        <f ca="1">INDEX(CAM_WTP_NHH,MATCH($A5,SSC_WTP_OPTIONS,0))</f>
        <v>1516.218263479479</v>
      </c>
      <c r="P5" s="997">
        <f ca="1">0.8*INDEX(CAM_MINWTP_NHH,MATCH($A5,SSC_WTP_OPTIONS,0))+0.2*O5</f>
        <v>303.24365269589583</v>
      </c>
      <c r="Q5" s="997">
        <f t="shared" ref="Q5:Q20" ca="1" si="3">0.8*INDEX(CAM_MAXWTP_NHH,MATCH($A5,SSC_WTP_OPTIONS,0))+0.2*O5</f>
        <v>7902.6308867384469</v>
      </c>
      <c r="R5" s="341">
        <f ca="1">INDEX(CAM_WTP_ALL,MATCH($A5,SSC_WTP_OPTIONS,0))</f>
        <v>2544.7197920068247</v>
      </c>
      <c r="S5" s="997">
        <f ca="1">0.8*INDEX(CAM_MINWTP_ALL,MATCH($A5,SSC_WTP_OPTIONS,0))+0.2*R5</f>
        <v>521.63564678705018</v>
      </c>
      <c r="T5" s="997">
        <f t="shared" ref="T5:T20" ca="1" si="4">0.8*INDEX(CAM_MAXWTP_ALL,MATCH($A5,SSC_WTP_OPTIONS,0))+0.2*R5</f>
        <v>10872.15553731834</v>
      </c>
      <c r="U5" s="341">
        <f ca="1">INDEX(SSC_WTP_HH,MATCH($A5,SSC_WTP_OPTIONS,0))</f>
        <v>1008.7294998062275</v>
      </c>
      <c r="V5" s="997">
        <f t="shared" ref="V5:V20" ca="1" si="5">0.8*INDEX(SSC_MINWTP_HH,MATCH($A5,SSC_WTP_OPTIONS,0))+0.2*U5</f>
        <v>218.50953977544674</v>
      </c>
      <c r="W5" s="997">
        <f t="shared" ref="W5:W20" ca="1" si="6">0.8*INDEX(SSC_MAXWTP_HH,MATCH($A5,SSC_WTP_OPTIONS,0))+0.2*U5</f>
        <v>2921.9895116708449</v>
      </c>
      <c r="X5" s="341">
        <f ca="1">INDEX(SSC_WTP_NHH,MATCH($A5,SSC_WTP_OPTIONS,0))</f>
        <v>675.96753784403097</v>
      </c>
      <c r="Y5" s="997">
        <f t="shared" ref="Y5:Y20" ca="1" si="7">0.8*INDEX(SSC_MINWTP_NHH,MATCH($A5,SSC_WTP_OPTIONS,0))+0.2*X5</f>
        <v>165.6953854485966</v>
      </c>
      <c r="Z5" s="997">
        <f t="shared" ref="Z5:Z20" ca="1" si="8">0.8*INDEX(SSC_MAXWTP_NHH,MATCH($A5,SSC_WTP_OPTIONS,0))+0.2*X5</f>
        <v>2718.2119847754179</v>
      </c>
      <c r="AA5" s="341">
        <f ca="1">INDEX(SSC_WTP_ALL,MATCH($A5,SSC_WTP_OPTIONS,0))</f>
        <v>1663.7937865540807</v>
      </c>
      <c r="AB5" s="997">
        <f t="shared" ref="AB5:AB20" ca="1" si="9">0.8*INDEX(SSC_MINWTP_ALL,MATCH($A5,SSC_WTP_OPTIONS,0))+0.2*AA5</f>
        <v>380.77748033685799</v>
      </c>
      <c r="AC5" s="997">
        <f t="shared" ref="AC5:AC20" ca="1" si="10">0.8*INDEX(SSC_MAXWTP_ALL,MATCH($A5,SSC_WTP_OPTIONS,0))+0.2*AA5</f>
        <v>5511.1022892343808</v>
      </c>
    </row>
    <row r="6" spans="1:29" x14ac:dyDescent="0.25">
      <c r="A6" s="258" t="s">
        <v>25</v>
      </c>
      <c r="B6" s="236" t="s">
        <v>369</v>
      </c>
      <c r="C6" s="341">
        <f t="shared" ref="C6:C19" ca="1" si="11">INDEX(SSW_WTP_HH,MATCH($A6,SSC_WTP_OPTIONS,0))</f>
        <v>79.485021362144408</v>
      </c>
      <c r="D6" s="997">
        <f t="shared" ref="D6:D20" ca="1" si="12">0.8*INDEX(SSW_MINWTP_HH,MATCH($A6,SSC_WTP_OPTIONS,0))+0.2*C6</f>
        <v>35.274237360743555</v>
      </c>
      <c r="E6" s="997">
        <f t="shared" ref="E6:E20" ca="1" si="13">0.8*INDEX(SSW_MAXWTP_HH,MATCH($A6,SSC_WTP_OPTIONS,0))+0.2*C6</f>
        <v>149.73530468246426</v>
      </c>
      <c r="F6" s="341">
        <f t="shared" ref="F6:F15" ca="1" si="14">INDEX(SSW_WTP_NHH,MATCH($A6,SSC_WTP_OPTIONS,0))</f>
        <v>113.8850479474503</v>
      </c>
      <c r="G6" s="997">
        <f t="shared" ref="G6:G20" ca="1" si="15">0.8*INDEX(SSW_MINWTP_NHH,MATCH($A6,SSC_WTP_OPTIONS,0))+0.2*F6</f>
        <v>58.23427789930799</v>
      </c>
      <c r="H6" s="997">
        <f t="shared" ca="1" si="0"/>
        <v>212.82944549116516</v>
      </c>
      <c r="I6" s="341">
        <f t="shared" ref="I6:I20" ca="1" si="16">INDEX(SSW_WTP_ALL,MATCH($A6,SSC_WTP_OPTIONS,0))</f>
        <v>193.37006930959473</v>
      </c>
      <c r="J6" s="997">
        <f t="shared" ref="J6:J20" ca="1" si="17">0.8*INDEX(SSW_MINWTP_ALL,MATCH($A6,SSC_WTP_OPTIONS,0))+0.2*I6</f>
        <v>93.508515260051553</v>
      </c>
      <c r="K6" s="997">
        <f t="shared" ca="1" si="1"/>
        <v>362.56475017362948</v>
      </c>
      <c r="L6" s="341">
        <f t="shared" ref="L6:L20" ca="1" si="18">INDEX(CAM_WTP_HH,MATCH($A6,SSC_WTP_OPTIONS,0))</f>
        <v>338.97556120742803</v>
      </c>
      <c r="M6" s="997">
        <f t="shared" ref="M6:M20" ca="1" si="19">0.8*INDEX(CAM_MINWTP_HH,MATCH($A6,SSC_WTP_OPTIONS,0))+0.2*L6</f>
        <v>143.07916433029828</v>
      </c>
      <c r="N6" s="997">
        <f t="shared" ca="1" si="2"/>
        <v>616.21109321483243</v>
      </c>
      <c r="O6" s="341">
        <f t="shared" ref="O6:O15" ca="1" si="20">INDEX(CAM_WTP_NHH,MATCH($A6,SSC_WTP_OPTIONS,0))</f>
        <v>698.5845456679084</v>
      </c>
      <c r="P6" s="997">
        <f t="shared" ref="P6:P20" ca="1" si="21">0.8*INDEX(CAM_MINWTP_NHH,MATCH($A6,SSC_WTP_OPTIONS,0))+0.2*O6</f>
        <v>314.01478147400724</v>
      </c>
      <c r="Q6" s="997">
        <f t="shared" ca="1" si="3"/>
        <v>2576.7191993337124</v>
      </c>
      <c r="R6" s="341">
        <f t="shared" ref="R6:R20" ca="1" si="22">INDEX(CAM_WTP_ALL,MATCH($A6,SSC_WTP_OPTIONS,0))</f>
        <v>1037.5601068753365</v>
      </c>
      <c r="S6" s="997">
        <f t="shared" ref="S6:S20" ca="1" si="23">0.8*INDEX(CAM_MINWTP_ALL,MATCH($A6,SSC_WTP_OPTIONS,0))+0.2*R6</f>
        <v>457.09394580430552</v>
      </c>
      <c r="T6" s="997">
        <f t="shared" ca="1" si="4"/>
        <v>3192.9302925485449</v>
      </c>
      <c r="U6" s="341">
        <f t="shared" ref="U6:U20" ca="1" si="24">INDEX(SSC_WTP_HH,MATCH($A6,SSC_WTP_OPTIONS,0))</f>
        <v>129.25553486102015</v>
      </c>
      <c r="V6" s="997">
        <f t="shared" ca="1" si="5"/>
        <v>55.951317057685962</v>
      </c>
      <c r="W6" s="997">
        <f t="shared" ca="1" si="6"/>
        <v>239.20577071136651</v>
      </c>
      <c r="X6" s="341">
        <f t="shared" ref="X6:X15" ca="1" si="25">INDEX(SSC_WTP_NHH,MATCH($A6,SSC_WTP_OPTIONS,0))</f>
        <v>238.28919639861164</v>
      </c>
      <c r="Y6" s="997">
        <f t="shared" ca="1" si="7"/>
        <v>112.65566163860569</v>
      </c>
      <c r="Z6" s="997">
        <f t="shared" ca="1" si="8"/>
        <v>715.78471226617512</v>
      </c>
      <c r="AA6" s="341">
        <f t="shared" ref="AA6:AA20" ca="1" si="26">INDEX(SSC_WTP_ALL,MATCH($A6,SSC_WTP_OPTIONS,0))</f>
        <v>356.42595327777224</v>
      </c>
      <c r="AB6" s="997">
        <f t="shared" ca="1" si="9"/>
        <v>163.73529020079098</v>
      </c>
      <c r="AC6" s="997">
        <f t="shared" ca="1" si="10"/>
        <v>909.25179328988008</v>
      </c>
    </row>
    <row r="7" spans="1:29" x14ac:dyDescent="0.25">
      <c r="A7" s="258" t="s">
        <v>117</v>
      </c>
      <c r="B7" s="236" t="s">
        <v>369</v>
      </c>
      <c r="C7" s="341">
        <f t="shared" ca="1" si="11"/>
        <v>183.49859370647627</v>
      </c>
      <c r="D7" s="997">
        <f t="shared" ca="1" si="12"/>
        <v>79.523164216789468</v>
      </c>
      <c r="E7" s="997">
        <f t="shared" ca="1" si="13"/>
        <v>377.62765884732698</v>
      </c>
      <c r="F7" s="341">
        <f t="shared" ca="1" si="14"/>
        <v>190.15878670162689</v>
      </c>
      <c r="G7" s="997">
        <f t="shared" ca="1" si="15"/>
        <v>80.580479312106888</v>
      </c>
      <c r="H7" s="997">
        <f t="shared" ca="1" si="0"/>
        <v>368.42324013276675</v>
      </c>
      <c r="I7" s="341">
        <f t="shared" ca="1" si="16"/>
        <v>373.65738040810317</v>
      </c>
      <c r="J7" s="997">
        <f t="shared" ca="1" si="17"/>
        <v>160.10364352889636</v>
      </c>
      <c r="K7" s="997">
        <f t="shared" ca="1" si="1"/>
        <v>746.05089898009362</v>
      </c>
      <c r="L7" s="341">
        <f t="shared" ca="1" si="18"/>
        <v>246.83756003802645</v>
      </c>
      <c r="M7" s="997">
        <f t="shared" ca="1" si="19"/>
        <v>74.803685973799972</v>
      </c>
      <c r="N7" s="997">
        <f t="shared" ca="1" si="2"/>
        <v>673.41340664806364</v>
      </c>
      <c r="O7" s="341">
        <f t="shared" ca="1" si="20"/>
        <v>1182.393022889587</v>
      </c>
      <c r="P7" s="997">
        <f t="shared" ca="1" si="21"/>
        <v>352.67718613820108</v>
      </c>
      <c r="Q7" s="997">
        <f t="shared" ca="1" si="3"/>
        <v>99898.828735720323</v>
      </c>
      <c r="R7" s="341">
        <f t="shared" ca="1" si="22"/>
        <v>1429.2305829276133</v>
      </c>
      <c r="S7" s="997">
        <f t="shared" ca="1" si="23"/>
        <v>427.48087211200107</v>
      </c>
      <c r="T7" s="997">
        <f t="shared" ca="1" si="4"/>
        <v>100572.24214236838</v>
      </c>
      <c r="U7" s="341">
        <f t="shared" ca="1" si="24"/>
        <v>195.64706309071209</v>
      </c>
      <c r="V7" s="997">
        <f t="shared" ca="1" si="5"/>
        <v>78.617964143829539</v>
      </c>
      <c r="W7" s="997">
        <f t="shared" ca="1" si="6"/>
        <v>434.3596251165751</v>
      </c>
      <c r="X7" s="341">
        <f t="shared" ca="1" si="25"/>
        <v>401.27245397566094</v>
      </c>
      <c r="Y7" s="997">
        <f t="shared" ca="1" si="7"/>
        <v>138.47339565808437</v>
      </c>
      <c r="Z7" s="997">
        <f t="shared" ca="1" si="8"/>
        <v>21545.10526047054</v>
      </c>
      <c r="AA7" s="341">
        <f t="shared" ca="1" si="26"/>
        <v>577.54206747009073</v>
      </c>
      <c r="AB7" s="997">
        <f t="shared" ca="1" si="9"/>
        <v>211.74773836481108</v>
      </c>
      <c r="AC7" s="997">
        <f t="shared" ca="1" si="10"/>
        <v>20027.548111744134</v>
      </c>
    </row>
    <row r="8" spans="1:29" x14ac:dyDescent="0.25">
      <c r="A8" s="258" t="s">
        <v>81</v>
      </c>
      <c r="B8" s="236" t="s">
        <v>369</v>
      </c>
      <c r="C8" s="341">
        <f t="shared" ca="1" si="11"/>
        <v>22.504130758641768</v>
      </c>
      <c r="D8" s="997">
        <f t="shared" ca="1" si="12"/>
        <v>8.6905526118895047</v>
      </c>
      <c r="E8" s="997">
        <f t="shared" ca="1" si="13"/>
        <v>34.41566486140578</v>
      </c>
      <c r="F8" s="341">
        <f t="shared" ca="1" si="14"/>
        <v>21.397383522173659</v>
      </c>
      <c r="G8" s="997">
        <f t="shared" ca="1" si="15"/>
        <v>14.834599338595515</v>
      </c>
      <c r="H8" s="997">
        <f t="shared" ca="1" si="0"/>
        <v>32.959615244332866</v>
      </c>
      <c r="I8" s="341">
        <f t="shared" ca="1" si="16"/>
        <v>43.901514280815427</v>
      </c>
      <c r="J8" s="997">
        <f t="shared" ca="1" si="17"/>
        <v>23.525151950485022</v>
      </c>
      <c r="K8" s="997">
        <f t="shared" ca="1" si="1"/>
        <v>67.375280105738639</v>
      </c>
      <c r="L8" s="341">
        <f t="shared" ca="1" si="18"/>
        <v>16.431923473485394</v>
      </c>
      <c r="M8" s="997">
        <f t="shared" ca="1" si="19"/>
        <v>6.3943330187535796</v>
      </c>
      <c r="N8" s="997">
        <f t="shared" ca="1" si="2"/>
        <v>36.532512354271546</v>
      </c>
      <c r="O8" s="341">
        <f t="shared" ca="1" si="20"/>
        <v>35.806842520838742</v>
      </c>
      <c r="P8" s="997">
        <f t="shared" ca="1" si="21"/>
        <v>22.848177014806048</v>
      </c>
      <c r="Q8" s="997">
        <f t="shared" ca="1" si="3"/>
        <v>158.80051744033796</v>
      </c>
      <c r="R8" s="341">
        <f t="shared" ca="1" si="22"/>
        <v>52.23876599432414</v>
      </c>
      <c r="S8" s="997">
        <f t="shared" ca="1" si="23"/>
        <v>29.242510033559633</v>
      </c>
      <c r="T8" s="997">
        <f t="shared" ca="1" si="4"/>
        <v>195.33302979460953</v>
      </c>
      <c r="U8" s="341">
        <f t="shared" ca="1" si="24"/>
        <v>21.339476067052477</v>
      </c>
      <c r="V8" s="997">
        <f t="shared" ca="1" si="5"/>
        <v>8.2501356767492329</v>
      </c>
      <c r="W8" s="997">
        <f t="shared" ca="1" si="6"/>
        <v>34.821678070139917</v>
      </c>
      <c r="X8" s="341">
        <f t="shared" ca="1" si="25"/>
        <v>24.463225862315163</v>
      </c>
      <c r="Y8" s="997">
        <f t="shared" ca="1" si="7"/>
        <v>16.53961586544882</v>
      </c>
      <c r="Z8" s="997">
        <f t="shared" ca="1" si="8"/>
        <v>59.734275286036073</v>
      </c>
      <c r="AA8" s="341">
        <f t="shared" ca="1" si="26"/>
        <v>45.511860159726012</v>
      </c>
      <c r="AB8" s="997">
        <f t="shared" ca="1" si="9"/>
        <v>24.629463580229569</v>
      </c>
      <c r="AC8" s="997">
        <f t="shared" ca="1" si="10"/>
        <v>92.09040710043837</v>
      </c>
    </row>
    <row r="9" spans="1:29" x14ac:dyDescent="0.25">
      <c r="A9" s="258" t="s">
        <v>82</v>
      </c>
      <c r="B9" s="236" t="s">
        <v>369</v>
      </c>
      <c r="C9" s="341">
        <f ca="1">INDEX(SSW_WTP_HH,MATCH($A9,SSC_WTP_OPTIONS,0))</f>
        <v>288.01505799402719</v>
      </c>
      <c r="D9" s="997">
        <f t="shared" ca="1" si="12"/>
        <v>58.257184844815029</v>
      </c>
      <c r="E9" s="997">
        <f t="shared" ca="1" si="13"/>
        <v>775.67286149712106</v>
      </c>
      <c r="F9" s="341">
        <f t="shared" ca="1" si="14"/>
        <v>113.21133076149198</v>
      </c>
      <c r="G9" s="997">
        <f t="shared" ca="1" si="15"/>
        <v>29.534392468087873</v>
      </c>
      <c r="H9" s="997">
        <f t="shared" ca="1" si="0"/>
        <v>198.18565990232742</v>
      </c>
      <c r="I9" s="341">
        <f ca="1">INDEX(SSW_WTP_ALL,MATCH($A9,SSC_WTP_OPTIONS,0))</f>
        <v>401.22638875551917</v>
      </c>
      <c r="J9" s="997">
        <f t="shared" ca="1" si="17"/>
        <v>87.791577312902902</v>
      </c>
      <c r="K9" s="997">
        <f t="shared" ca="1" si="1"/>
        <v>973.85852139944836</v>
      </c>
      <c r="L9" s="341">
        <f t="shared" ca="1" si="18"/>
        <v>140.52879437007624</v>
      </c>
      <c r="M9" s="997">
        <f t="shared" ca="1" si="19"/>
        <v>31.881531923660642</v>
      </c>
      <c r="N9" s="997">
        <f t="shared" ca="1" si="2"/>
        <v>315.23045452210403</v>
      </c>
      <c r="O9" s="341">
        <f t="shared" ca="1" si="20"/>
        <v>290.14397652794304</v>
      </c>
      <c r="P9" s="997">
        <f t="shared" ca="1" si="21"/>
        <v>58.029855209875912</v>
      </c>
      <c r="Q9" s="997">
        <f t="shared" ca="1" si="3"/>
        <v>1895.9540406234094</v>
      </c>
      <c r="R9" s="341">
        <f t="shared" ca="1" si="22"/>
        <v>430.67277089801928</v>
      </c>
      <c r="S9" s="997">
        <f t="shared" ca="1" si="23"/>
        <v>89.911387133536564</v>
      </c>
      <c r="T9" s="997">
        <f t="shared" ca="1" si="4"/>
        <v>2211.1844951455137</v>
      </c>
      <c r="U9" s="341">
        <f t="shared" ca="1" si="24"/>
        <v>259.72706306761785</v>
      </c>
      <c r="V9" s="997">
        <f t="shared" ca="1" si="5"/>
        <v>53.198311444125096</v>
      </c>
      <c r="W9" s="997">
        <f t="shared" ca="1" si="6"/>
        <v>687.35960335110735</v>
      </c>
      <c r="X9" s="341">
        <f t="shared" ca="1" si="25"/>
        <v>150.85657454158795</v>
      </c>
      <c r="Y9" s="997">
        <f t="shared" ca="1" si="7"/>
        <v>35.597256881234259</v>
      </c>
      <c r="Z9" s="997">
        <f t="shared" ca="1" si="8"/>
        <v>559.41297494936612</v>
      </c>
      <c r="AA9" s="341">
        <f t="shared" ca="1" si="26"/>
        <v>406.91397763509798</v>
      </c>
      <c r="AB9" s="997">
        <f t="shared" ca="1" si="9"/>
        <v>88.20102003168283</v>
      </c>
      <c r="AC9" s="997">
        <f t="shared" ca="1" si="10"/>
        <v>1212.8488807120445</v>
      </c>
    </row>
    <row r="10" spans="1:29" x14ac:dyDescent="0.25">
      <c r="A10" s="258" t="s">
        <v>83</v>
      </c>
      <c r="B10" s="236" t="s">
        <v>369</v>
      </c>
      <c r="C10" s="341">
        <f t="shared" ca="1" si="11"/>
        <v>303.42114020493887</v>
      </c>
      <c r="D10" s="997">
        <f t="shared" ca="1" si="12"/>
        <v>60.684228040987776</v>
      </c>
      <c r="E10" s="997">
        <f t="shared" ca="1" si="13"/>
        <v>649.8752668871573</v>
      </c>
      <c r="F10" s="341">
        <f t="shared" ca="1" si="14"/>
        <v>242.45200630780022</v>
      </c>
      <c r="G10" s="997">
        <f t="shared" ca="1" si="15"/>
        <v>78.095915387460309</v>
      </c>
      <c r="H10" s="997">
        <f t="shared" ca="1" si="0"/>
        <v>608.75357273863995</v>
      </c>
      <c r="I10" s="341">
        <f t="shared" ca="1" si="16"/>
        <v>545.87314651273914</v>
      </c>
      <c r="J10" s="997">
        <f t="shared" ca="1" si="17"/>
        <v>138.78014342844807</v>
      </c>
      <c r="K10" s="997">
        <f t="shared" ca="1" si="1"/>
        <v>1258.6288396257974</v>
      </c>
      <c r="L10" s="341">
        <f t="shared" ca="1" si="18"/>
        <v>182.79645073083407</v>
      </c>
      <c r="M10" s="997">
        <f t="shared" ca="1" si="19"/>
        <v>56.032765323471779</v>
      </c>
      <c r="N10" s="997">
        <f t="shared" ca="1" si="2"/>
        <v>534.62289860466774</v>
      </c>
      <c r="O10" s="341">
        <f t="shared" ca="1" si="20"/>
        <v>443.56568292257293</v>
      </c>
      <c r="P10" s="997">
        <f t="shared" ca="1" si="21"/>
        <v>94.223187117752119</v>
      </c>
      <c r="Q10" s="997">
        <f t="shared" ca="1" si="3"/>
        <v>874.27516681166946</v>
      </c>
      <c r="R10" s="341">
        <f t="shared" ca="1" si="22"/>
        <v>626.362133653407</v>
      </c>
      <c r="S10" s="997">
        <f t="shared" ca="1" si="23"/>
        <v>150.25595244122391</v>
      </c>
      <c r="T10" s="997">
        <f t="shared" ca="1" si="4"/>
        <v>1408.8980654163372</v>
      </c>
      <c r="U10" s="341">
        <f t="shared" ca="1" si="24"/>
        <v>280.28521879775332</v>
      </c>
      <c r="V10" s="997">
        <f t="shared" ca="1" si="5"/>
        <v>59.792073405563769</v>
      </c>
      <c r="W10" s="997">
        <f t="shared" ca="1" si="6"/>
        <v>627.76976140398563</v>
      </c>
      <c r="X10" s="341">
        <f t="shared" ca="1" si="25"/>
        <v>285.24215026839016</v>
      </c>
      <c r="Y10" s="997">
        <f t="shared" ca="1" si="7"/>
        <v>81.527249798160682</v>
      </c>
      <c r="Z10" s="997">
        <f t="shared" ca="1" si="8"/>
        <v>665.24752892439096</v>
      </c>
      <c r="AA10" s="341">
        <f t="shared" ca="1" si="26"/>
        <v>561.41964950840236</v>
      </c>
      <c r="AB10" s="997">
        <f t="shared" ca="1" si="9"/>
        <v>140.99670379940889</v>
      </c>
      <c r="AC10" s="997">
        <f t="shared" ca="1" si="10"/>
        <v>1287.6534435113674</v>
      </c>
    </row>
    <row r="11" spans="1:29" x14ac:dyDescent="0.25">
      <c r="A11" s="258" t="s">
        <v>85</v>
      </c>
      <c r="B11" s="236" t="s">
        <v>369</v>
      </c>
      <c r="C11" s="341">
        <f t="shared" ca="1" si="11"/>
        <v>36.54579248098554</v>
      </c>
      <c r="D11" s="997">
        <f t="shared" ca="1" si="12"/>
        <v>14.326979762580519</v>
      </c>
      <c r="E11" s="997">
        <f t="shared" ca="1" si="13"/>
        <v>83.822291226060116</v>
      </c>
      <c r="F11" s="341">
        <f t="shared" ca="1" si="14"/>
        <v>26.928108679021509</v>
      </c>
      <c r="G11" s="997">
        <f t="shared" ca="1" si="15"/>
        <v>8.2317302159324299</v>
      </c>
      <c r="H11" s="997">
        <f t="shared" ca="1" si="0"/>
        <v>112.10241630286713</v>
      </c>
      <c r="I11" s="341">
        <f t="shared" ca="1" si="16"/>
        <v>63.473901160007046</v>
      </c>
      <c r="J11" s="997">
        <f t="shared" ca="1" si="17"/>
        <v>22.558709978512947</v>
      </c>
      <c r="K11" s="997">
        <f t="shared" ca="1" si="1"/>
        <v>195.92470752892726</v>
      </c>
      <c r="L11" s="341">
        <f t="shared" ca="1" si="18"/>
        <v>60.073164819827873</v>
      </c>
      <c r="M11" s="997">
        <f t="shared" ca="1" si="19"/>
        <v>19.527671240633971</v>
      </c>
      <c r="N11" s="997">
        <f t="shared" ca="1" si="2"/>
        <v>114.00248312955645</v>
      </c>
      <c r="O11" s="341">
        <f t="shared" ca="1" si="20"/>
        <v>84.595832364306503</v>
      </c>
      <c r="P11" s="997">
        <f t="shared" ca="1" si="21"/>
        <v>35.461493317587426</v>
      </c>
      <c r="Q11" s="997">
        <f t="shared" ca="1" si="3"/>
        <v>163.3105210857259</v>
      </c>
      <c r="R11" s="341">
        <f t="shared" ca="1" si="22"/>
        <v>144.66899718413438</v>
      </c>
      <c r="S11" s="997">
        <f t="shared" ca="1" si="23"/>
        <v>54.98916455822139</v>
      </c>
      <c r="T11" s="997">
        <f t="shared" ca="1" si="4"/>
        <v>277.31300421528232</v>
      </c>
      <c r="U11" s="341">
        <f t="shared" ca="1" si="24"/>
        <v>41.058363163838166</v>
      </c>
      <c r="V11" s="997">
        <f t="shared" ca="1" si="5"/>
        <v>15.324476956760609</v>
      </c>
      <c r="W11" s="997">
        <f t="shared" ca="1" si="6"/>
        <v>89.610878545764393</v>
      </c>
      <c r="X11" s="341">
        <f t="shared" ca="1" si="25"/>
        <v>39.19783712269917</v>
      </c>
      <c r="Y11" s="997">
        <f t="shared" ca="1" si="7"/>
        <v>14.025296833305832</v>
      </c>
      <c r="Z11" s="997">
        <f t="shared" ca="1" si="8"/>
        <v>122.99775774602854</v>
      </c>
      <c r="AA11" s="341">
        <f t="shared" ca="1" si="26"/>
        <v>79.156789570146714</v>
      </c>
      <c r="AB11" s="997">
        <f t="shared" ca="1" si="9"/>
        <v>28.822674493223758</v>
      </c>
      <c r="AC11" s="997">
        <f t="shared" ca="1" si="10"/>
        <v>211.64491277930543</v>
      </c>
    </row>
    <row r="12" spans="1:29" x14ac:dyDescent="0.25">
      <c r="A12" s="258" t="s">
        <v>84</v>
      </c>
      <c r="B12" s="236" t="s">
        <v>369</v>
      </c>
      <c r="C12" s="341">
        <f t="shared" ca="1" si="11"/>
        <v>435.08659630715613</v>
      </c>
      <c r="D12" s="997">
        <f t="shared" ca="1" si="12"/>
        <v>356.3554858198633</v>
      </c>
      <c r="E12" s="997">
        <f t="shared" ca="1" si="13"/>
        <v>608.84006968587937</v>
      </c>
      <c r="F12" s="341">
        <f t="shared" ca="1" si="14"/>
        <v>382.78338383243909</v>
      </c>
      <c r="G12" s="997">
        <f t="shared" ca="1" si="15"/>
        <v>262.81847828324862</v>
      </c>
      <c r="H12" s="997">
        <f t="shared" ca="1" si="0"/>
        <v>3224.7021164948405</v>
      </c>
      <c r="I12" s="341">
        <f t="shared" ca="1" si="16"/>
        <v>817.86998013959521</v>
      </c>
      <c r="J12" s="997">
        <f t="shared" ca="1" si="17"/>
        <v>619.17396410311198</v>
      </c>
      <c r="K12" s="997">
        <f t="shared" ca="1" si="1"/>
        <v>3833.5421861807199</v>
      </c>
      <c r="L12" s="341">
        <f t="shared" ca="1" si="18"/>
        <v>491.29924729309357</v>
      </c>
      <c r="M12" s="997">
        <f t="shared" ca="1" si="19"/>
        <v>387.28114502299616</v>
      </c>
      <c r="N12" s="997">
        <f t="shared" ca="1" si="2"/>
        <v>760.06070052244843</v>
      </c>
      <c r="O12" s="341">
        <f t="shared" ca="1" si="20"/>
        <v>2106.9933646480299</v>
      </c>
      <c r="P12" s="997">
        <f t="shared" ca="1" si="21"/>
        <v>446.39555032285807</v>
      </c>
      <c r="Q12" s="997">
        <f t="shared" ca="1" si="3"/>
        <v>2861.5688856955635</v>
      </c>
      <c r="R12" s="341">
        <f t="shared" ca="1" si="22"/>
        <v>2598.2926119411236</v>
      </c>
      <c r="S12" s="997">
        <f t="shared" ca="1" si="23"/>
        <v>833.67669534585423</v>
      </c>
      <c r="T12" s="997">
        <f t="shared" ca="1" si="4"/>
        <v>3621.6295862180123</v>
      </c>
      <c r="U12" s="341">
        <f t="shared" ca="1" si="24"/>
        <v>445.86823214779713</v>
      </c>
      <c r="V12" s="997">
        <f t="shared" ca="1" si="5"/>
        <v>362.28705442251396</v>
      </c>
      <c r="W12" s="997">
        <f t="shared" ca="1" si="6"/>
        <v>637.84431952422563</v>
      </c>
      <c r="X12" s="341">
        <f t="shared" ca="1" si="25"/>
        <v>749.63657124001168</v>
      </c>
      <c r="Y12" s="997">
        <f t="shared" ca="1" si="7"/>
        <v>301.8774297810379</v>
      </c>
      <c r="Z12" s="997">
        <f t="shared" ca="1" si="8"/>
        <v>3147.4397269630799</v>
      </c>
      <c r="AA12" s="341">
        <f t="shared" ca="1" si="26"/>
        <v>1161.7598309396167</v>
      </c>
      <c r="AB12" s="997">
        <f t="shared" ca="1" si="9"/>
        <v>660.60531356232661</v>
      </c>
      <c r="AC12" s="997">
        <f t="shared" ca="1" si="10"/>
        <v>3792.6111223523062</v>
      </c>
    </row>
    <row r="13" spans="1:29" x14ac:dyDescent="0.25">
      <c r="A13" s="258" t="s">
        <v>28</v>
      </c>
      <c r="B13" s="236" t="s">
        <v>422</v>
      </c>
      <c r="C13" s="341">
        <f t="shared" ca="1" si="11"/>
        <v>295830.84049178869</v>
      </c>
      <c r="D13" s="997">
        <f t="shared" ca="1" si="12"/>
        <v>120277.44014623045</v>
      </c>
      <c r="E13" s="997">
        <f t="shared" ca="1" si="13"/>
        <v>402265.87123027572</v>
      </c>
      <c r="F13" s="341">
        <f t="shared" ca="1" si="14"/>
        <v>343001.96468984301</v>
      </c>
      <c r="G13" s="997">
        <f t="shared" ca="1" si="15"/>
        <v>77768.217381040129</v>
      </c>
      <c r="H13" s="997">
        <f t="shared" ca="1" si="0"/>
        <v>1482864.7129379683</v>
      </c>
      <c r="I13" s="341">
        <f t="shared" ca="1" si="16"/>
        <v>638832.8051816317</v>
      </c>
      <c r="J13" s="997">
        <f t="shared" ca="1" si="17"/>
        <v>198045.65752727058</v>
      </c>
      <c r="K13" s="997">
        <f t="shared" ca="1" si="1"/>
        <v>1885130.5841682442</v>
      </c>
      <c r="L13" s="341">
        <f t="shared" ca="1" si="18"/>
        <v>183863.98687385119</v>
      </c>
      <c r="M13" s="997">
        <f t="shared" ca="1" si="19"/>
        <v>48233.419811573811</v>
      </c>
      <c r="N13" s="997">
        <f t="shared" ca="1" si="2"/>
        <v>441719.99737477017</v>
      </c>
      <c r="O13" s="341">
        <f t="shared" ca="1" si="20"/>
        <v>899514.24915536679</v>
      </c>
      <c r="P13" s="997">
        <f t="shared" ca="1" si="21"/>
        <v>266091.71956766921</v>
      </c>
      <c r="Q13" s="997">
        <f t="shared" ca="1" si="3"/>
        <v>1162942.8498310733</v>
      </c>
      <c r="R13" s="341">
        <f t="shared" ca="1" si="22"/>
        <v>1083378.236029218</v>
      </c>
      <c r="S13" s="997">
        <f t="shared" ca="1" si="23"/>
        <v>314325.13937924302</v>
      </c>
      <c r="T13" s="997">
        <f t="shared" ca="1" si="4"/>
        <v>1604662.8472058433</v>
      </c>
      <c r="U13" s="341">
        <f t="shared" ca="1" si="24"/>
        <v>274355.49960752833</v>
      </c>
      <c r="V13" s="997">
        <f t="shared" ca="1" si="5"/>
        <v>106459.3337570064</v>
      </c>
      <c r="W13" s="997">
        <f t="shared" ca="1" si="6"/>
        <v>409833.20728434419</v>
      </c>
      <c r="X13" s="341">
        <f t="shared" ca="1" si="25"/>
        <v>461408.8337250608</v>
      </c>
      <c r="Y13" s="997">
        <f t="shared" ca="1" si="7"/>
        <v>117837.04763351439</v>
      </c>
      <c r="Z13" s="997">
        <f t="shared" ca="1" si="8"/>
        <v>1414796.2314258632</v>
      </c>
      <c r="AA13" s="341">
        <f t="shared" ca="1" si="26"/>
        <v>724697.05963301484</v>
      </c>
      <c r="AB13" s="997">
        <f t="shared" ca="1" si="9"/>
        <v>220505.11909045978</v>
      </c>
      <c r="AC13" s="997">
        <f t="shared" ca="1" si="10"/>
        <v>1830958.0486727667</v>
      </c>
    </row>
    <row r="14" spans="1:29" x14ac:dyDescent="0.25">
      <c r="A14" s="258" t="s">
        <v>86</v>
      </c>
      <c r="B14" s="236" t="s">
        <v>422</v>
      </c>
      <c r="C14" s="341">
        <f t="shared" ca="1" si="11"/>
        <v>377167.14064197743</v>
      </c>
      <c r="D14" s="997">
        <f t="shared" ca="1" si="12"/>
        <v>139023.82812839549</v>
      </c>
      <c r="E14" s="997">
        <f t="shared" ca="1" si="13"/>
        <v>872457.08222759643</v>
      </c>
      <c r="F14" s="341">
        <f t="shared" ca="1" si="14"/>
        <v>683113.36200907058</v>
      </c>
      <c r="G14" s="997">
        <f t="shared" ca="1" si="15"/>
        <v>136622.67240181411</v>
      </c>
      <c r="H14" s="997">
        <f t="shared" ca="1" si="0"/>
        <v>1198099.6994282028</v>
      </c>
      <c r="I14" s="341">
        <f t="shared" ca="1" si="16"/>
        <v>1060280.5026510479</v>
      </c>
      <c r="J14" s="997">
        <f t="shared" ca="1" si="17"/>
        <v>275646.50053020963</v>
      </c>
      <c r="K14" s="997">
        <f t="shared" ca="1" si="1"/>
        <v>2070556.7816557996</v>
      </c>
      <c r="L14" s="341">
        <f t="shared" ca="1" si="18"/>
        <v>357267.86651337566</v>
      </c>
      <c r="M14" s="997">
        <f t="shared" ca="1" si="19"/>
        <v>176108.62015002035</v>
      </c>
      <c r="N14" s="997">
        <f t="shared" ca="1" si="2"/>
        <v>508255.1267010122</v>
      </c>
      <c r="O14" s="341">
        <f t="shared" ca="1" si="20"/>
        <v>1154334.997884613</v>
      </c>
      <c r="P14" s="997">
        <f t="shared" ca="1" si="21"/>
        <v>750344.22293810034</v>
      </c>
      <c r="Q14" s="997">
        <f t="shared" ca="1" si="3"/>
        <v>1411025.9459765633</v>
      </c>
      <c r="R14" s="341">
        <f t="shared" ca="1" si="22"/>
        <v>1511602.8643979887</v>
      </c>
      <c r="S14" s="997">
        <f t="shared" ca="1" si="23"/>
        <v>926452.84308812069</v>
      </c>
      <c r="T14" s="997">
        <f t="shared" ca="1" si="4"/>
        <v>1919281.0726775753</v>
      </c>
      <c r="U14" s="341">
        <f t="shared" ca="1" si="24"/>
        <v>373350.44238305092</v>
      </c>
      <c r="V14" s="997">
        <f t="shared" ca="1" si="5"/>
        <v>146136.72381629131</v>
      </c>
      <c r="W14" s="997">
        <f t="shared" ca="1" si="6"/>
        <v>802602.82721444475</v>
      </c>
      <c r="X14" s="341">
        <f t="shared" ca="1" si="25"/>
        <v>783373.28453578183</v>
      </c>
      <c r="Y14" s="997">
        <f t="shared" ca="1" si="7"/>
        <v>267201.72570740693</v>
      </c>
      <c r="Z14" s="997">
        <f t="shared" ca="1" si="8"/>
        <v>1243403.1561406199</v>
      </c>
      <c r="AA14" s="341">
        <f t="shared" ca="1" si="26"/>
        <v>1147453.7259473747</v>
      </c>
      <c r="AB14" s="997">
        <f t="shared" ca="1" si="9"/>
        <v>401350.19135303894</v>
      </c>
      <c r="AC14" s="997">
        <f t="shared" ca="1" si="10"/>
        <v>2041337.7748531562</v>
      </c>
    </row>
    <row r="15" spans="1:29" x14ac:dyDescent="0.25">
      <c r="A15" s="258" t="s">
        <v>3</v>
      </c>
      <c r="B15" s="236" t="s">
        <v>396</v>
      </c>
      <c r="C15" s="341">
        <f t="shared" ca="1" si="11"/>
        <v>31918.781568528757</v>
      </c>
      <c r="D15" s="997">
        <f t="shared" ca="1" si="12"/>
        <v>14844.256189035614</v>
      </c>
      <c r="E15" s="997">
        <f t="shared" ca="1" si="13"/>
        <v>72093.715518799581</v>
      </c>
      <c r="F15" s="341">
        <f t="shared" ca="1" si="14"/>
        <v>59302.928237256368</v>
      </c>
      <c r="G15" s="997">
        <f t="shared" ca="1" si="15"/>
        <v>11860.585647451275</v>
      </c>
      <c r="H15" s="997">
        <f t="shared" ca="1" si="0"/>
        <v>160456.78422901157</v>
      </c>
      <c r="I15" s="341">
        <f t="shared" ca="1" si="16"/>
        <v>91221.709805785125</v>
      </c>
      <c r="J15" s="997">
        <f t="shared" ca="1" si="17"/>
        <v>26704.841836486885</v>
      </c>
      <c r="K15" s="997">
        <f t="shared" ca="1" si="1"/>
        <v>232550.49974781115</v>
      </c>
      <c r="L15" s="341">
        <f t="shared" ca="1" si="18"/>
        <v>91861.563109842726</v>
      </c>
      <c r="M15" s="997">
        <f t="shared" ca="1" si="19"/>
        <v>51080.314498092383</v>
      </c>
      <c r="N15" s="997">
        <f t="shared" ca="1" si="2"/>
        <v>162354.70375296235</v>
      </c>
      <c r="O15" s="341">
        <f t="shared" ca="1" si="20"/>
        <v>125115.34004924072</v>
      </c>
      <c r="P15" s="997">
        <f t="shared" ca="1" si="21"/>
        <v>25023.068009848146</v>
      </c>
      <c r="Q15" s="997">
        <f t="shared" ca="1" si="3"/>
        <v>735132.67794578383</v>
      </c>
      <c r="R15" s="341">
        <f t="shared" ca="1" si="22"/>
        <v>216976.90315908345</v>
      </c>
      <c r="S15" s="997">
        <f t="shared" ca="1" si="23"/>
        <v>76103.382507940521</v>
      </c>
      <c r="T15" s="997">
        <f t="shared" ca="1" si="4"/>
        <v>897487.38169874623</v>
      </c>
      <c r="U15" s="341">
        <f t="shared" ca="1" si="24"/>
        <v>43415.859726526018</v>
      </c>
      <c r="V15" s="997">
        <f t="shared" ca="1" si="5"/>
        <v>21794.364005267587</v>
      </c>
      <c r="W15" s="997">
        <f t="shared" ca="1" si="6"/>
        <v>89405.852354341783</v>
      </c>
      <c r="X15" s="341">
        <f t="shared" ca="1" si="25"/>
        <v>73305.569048316873</v>
      </c>
      <c r="Y15" s="997">
        <f t="shared" ca="1" si="7"/>
        <v>14661.113809663375</v>
      </c>
      <c r="Z15" s="997">
        <f t="shared" ca="1" si="8"/>
        <v>282728.25097726099</v>
      </c>
      <c r="AA15" s="341">
        <f t="shared" ca="1" si="26"/>
        <v>115511.41153566878</v>
      </c>
      <c r="AB15" s="997">
        <f t="shared" ca="1" si="9"/>
        <v>36246.203801795062</v>
      </c>
      <c r="AC15" s="997">
        <f t="shared" ca="1" si="10"/>
        <v>360983.51393285487</v>
      </c>
    </row>
    <row r="16" spans="1:29" x14ac:dyDescent="0.25">
      <c r="A16" s="258" t="s">
        <v>324</v>
      </c>
      <c r="B16" s="236" t="s">
        <v>423</v>
      </c>
      <c r="C16" s="341">
        <f t="shared" ca="1" si="11"/>
        <v>10.690109023584879</v>
      </c>
      <c r="D16" s="997">
        <f t="shared" ca="1" si="12"/>
        <v>3.3871446117345196</v>
      </c>
      <c r="E16" s="997">
        <f t="shared" ca="1" si="13"/>
        <v>25.346341715908459</v>
      </c>
      <c r="F16" s="998"/>
      <c r="G16" s="997">
        <f t="shared" si="15"/>
        <v>0</v>
      </c>
      <c r="H16" s="997">
        <f t="shared" si="0"/>
        <v>0</v>
      </c>
      <c r="I16" s="341">
        <f t="shared" ca="1" si="16"/>
        <v>10.690109023584879</v>
      </c>
      <c r="J16" s="997">
        <f t="shared" ca="1" si="17"/>
        <v>3.3871446117345196</v>
      </c>
      <c r="K16" s="997">
        <f t="shared" ca="1" si="1"/>
        <v>25.346341715908459</v>
      </c>
      <c r="L16" s="341">
        <f t="shared" ca="1" si="18"/>
        <v>7.1076022792989635</v>
      </c>
      <c r="M16" s="997">
        <f t="shared" ca="1" si="19"/>
        <v>2.7470025385585775</v>
      </c>
      <c r="N16" s="997">
        <f t="shared" ca="1" si="2"/>
        <v>9.7410304347856211</v>
      </c>
      <c r="O16" s="998"/>
      <c r="P16" s="997">
        <f t="shared" si="21"/>
        <v>0</v>
      </c>
      <c r="Q16" s="997">
        <f t="shared" si="3"/>
        <v>0</v>
      </c>
      <c r="R16" s="341">
        <f t="shared" ca="1" si="22"/>
        <v>7.1076022792989635</v>
      </c>
      <c r="S16" s="997">
        <f t="shared" ca="1" si="23"/>
        <v>2.7470025385585775</v>
      </c>
      <c r="T16" s="997">
        <f t="shared" ca="1" si="4"/>
        <v>9.7410304347856211</v>
      </c>
      <c r="U16" s="341">
        <f t="shared" ca="1" si="24"/>
        <v>10.002981082879966</v>
      </c>
      <c r="V16" s="997">
        <f t="shared" ca="1" si="5"/>
        <v>3.2643647997490897</v>
      </c>
      <c r="W16" s="997">
        <f t="shared" ca="1" si="6"/>
        <v>22.353229303277281</v>
      </c>
      <c r="X16" s="998"/>
      <c r="Y16" s="997">
        <f t="shared" si="7"/>
        <v>0</v>
      </c>
      <c r="Z16" s="997">
        <f t="shared" si="8"/>
        <v>0</v>
      </c>
      <c r="AA16" s="341">
        <f t="shared" ca="1" si="26"/>
        <v>9.9981453921543135</v>
      </c>
      <c r="AB16" s="997">
        <f t="shared" ca="1" si="9"/>
        <v>3.2635007318471119</v>
      </c>
      <c r="AC16" s="997">
        <f t="shared" ca="1" si="10"/>
        <v>22.332165153390214</v>
      </c>
    </row>
    <row r="17" spans="1:29" x14ac:dyDescent="0.25">
      <c r="A17" s="258" t="s">
        <v>373</v>
      </c>
      <c r="B17" s="236" t="s">
        <v>423</v>
      </c>
      <c r="C17" s="999">
        <f t="shared" ca="1" si="11"/>
        <v>0.44495840011230475</v>
      </c>
      <c r="D17" s="997">
        <f t="shared" ca="1" si="12"/>
        <v>0.28252570958479029</v>
      </c>
      <c r="E17" s="997">
        <f t="shared" ca="1" si="13"/>
        <v>0.79694690906029053</v>
      </c>
      <c r="F17" s="1000"/>
      <c r="G17" s="997">
        <f t="shared" si="15"/>
        <v>0</v>
      </c>
      <c r="H17" s="997">
        <f t="shared" si="0"/>
        <v>0</v>
      </c>
      <c r="I17" s="999">
        <f t="shared" ca="1" si="16"/>
        <v>0.44495840011230475</v>
      </c>
      <c r="J17" s="997">
        <f t="shared" ca="1" si="17"/>
        <v>0.28252570958479029</v>
      </c>
      <c r="K17" s="997">
        <f t="shared" ca="1" si="1"/>
        <v>0.79694690906029053</v>
      </c>
      <c r="L17" s="999">
        <f t="shared" ca="1" si="18"/>
        <v>1.6539842281407462</v>
      </c>
      <c r="M17" s="997">
        <f t="shared" ca="1" si="19"/>
        <v>0.59383416912544562</v>
      </c>
      <c r="N17" s="997">
        <f t="shared" ca="1" si="2"/>
        <v>3.4411968456281494</v>
      </c>
      <c r="O17" s="1000"/>
      <c r="P17" s="997">
        <f t="shared" si="21"/>
        <v>0</v>
      </c>
      <c r="Q17" s="997">
        <f t="shared" si="3"/>
        <v>0</v>
      </c>
      <c r="R17" s="999">
        <f t="shared" ca="1" si="22"/>
        <v>1.6539842281407462</v>
      </c>
      <c r="S17" s="997">
        <f t="shared" ca="1" si="23"/>
        <v>0.59383416912544562</v>
      </c>
      <c r="T17" s="997">
        <f t="shared" ca="1" si="4"/>
        <v>3.4411968456281494</v>
      </c>
      <c r="U17" s="999">
        <f t="shared" ca="1" si="24"/>
        <v>0.67685061602991214</v>
      </c>
      <c r="V17" s="997">
        <f t="shared" ca="1" si="5"/>
        <v>0.34223494560210488</v>
      </c>
      <c r="W17" s="997">
        <f t="shared" ca="1" si="6"/>
        <v>1.3041163698075666</v>
      </c>
      <c r="X17" s="1000"/>
      <c r="Y17" s="997">
        <f t="shared" si="7"/>
        <v>0</v>
      </c>
      <c r="Z17" s="997">
        <f t="shared" si="8"/>
        <v>0</v>
      </c>
      <c r="AA17" s="999">
        <f t="shared" ca="1" si="26"/>
        <v>0.67848256689588038</v>
      </c>
      <c r="AB17" s="997">
        <f t="shared" ca="1" si="9"/>
        <v>0.34265515177004013</v>
      </c>
      <c r="AC17" s="997">
        <f t="shared" ca="1" si="10"/>
        <v>1.3076855954384659</v>
      </c>
    </row>
    <row r="18" spans="1:29" x14ac:dyDescent="0.25">
      <c r="A18" s="258" t="s">
        <v>88</v>
      </c>
      <c r="B18" s="236" t="s">
        <v>397</v>
      </c>
      <c r="C18" s="341">
        <f t="shared" ca="1" si="11"/>
        <v>9584.5287297691484</v>
      </c>
      <c r="D18" s="997">
        <f t="shared" ca="1" si="12"/>
        <v>3033.23446148415</v>
      </c>
      <c r="E18" s="997">
        <f t="shared" ca="1" si="13"/>
        <v>20968.256924949503</v>
      </c>
      <c r="F18" s="341">
        <f ca="1">INDEX(SSW_WTP_NHH,MATCH($A18,SSC_WTP_OPTIONS,0))</f>
        <v>8464.2810107769692</v>
      </c>
      <c r="G18" s="997">
        <f t="shared" ca="1" si="15"/>
        <v>1692.8562021553939</v>
      </c>
      <c r="H18" s="997">
        <f t="shared" ca="1" si="0"/>
        <v>14787.896202155394</v>
      </c>
      <c r="I18" s="341">
        <f t="shared" ca="1" si="16"/>
        <v>18048.809740546116</v>
      </c>
      <c r="J18" s="997">
        <f t="shared" ca="1" si="17"/>
        <v>4726.090663639543</v>
      </c>
      <c r="K18" s="997">
        <f t="shared" ca="1" si="1"/>
        <v>35756.153127104903</v>
      </c>
      <c r="L18" s="341">
        <f t="shared" ca="1" si="18"/>
        <v>11869.706961417576</v>
      </c>
      <c r="M18" s="997">
        <f t="shared" ca="1" si="19"/>
        <v>3453.7852068989587</v>
      </c>
      <c r="N18" s="997">
        <f t="shared" ca="1" si="2"/>
        <v>30559.380289914992</v>
      </c>
      <c r="O18" s="341">
        <f ca="1">INDEX(CAM_WTP_NHH,MATCH($A18,SSC_WTP_OPTIONS,0))</f>
        <v>30363.678576413047</v>
      </c>
      <c r="P18" s="997">
        <f t="shared" ca="1" si="21"/>
        <v>6072.7357152826098</v>
      </c>
      <c r="Q18" s="997">
        <f t="shared" ca="1" si="3"/>
        <v>701352.78641161928</v>
      </c>
      <c r="R18" s="341">
        <f t="shared" ca="1" si="22"/>
        <v>42233.385537830625</v>
      </c>
      <c r="S18" s="997">
        <f t="shared" ca="1" si="23"/>
        <v>9526.5209221815694</v>
      </c>
      <c r="T18" s="997">
        <f t="shared" ca="1" si="4"/>
        <v>731912.16670153441</v>
      </c>
      <c r="U18" s="341">
        <f t="shared" ca="1" si="24"/>
        <v>10022.827922076534</v>
      </c>
      <c r="V18" s="997">
        <f t="shared" ca="1" si="5"/>
        <v>3113.8964638989964</v>
      </c>
      <c r="W18" s="997">
        <f t="shared" ca="1" si="6"/>
        <v>22807.842811934097</v>
      </c>
      <c r="X18" s="341">
        <f ca="1">INDEX(SSC_WTP_NHH,MATCH($A18,SSC_WTP_OPTIONS,0))</f>
        <v>13123.727301337836</v>
      </c>
      <c r="Y18" s="997">
        <f t="shared" ca="1" si="7"/>
        <v>2624.7454602675675</v>
      </c>
      <c r="Z18" s="997">
        <f t="shared" ca="1" si="8"/>
        <v>160865.53241693496</v>
      </c>
      <c r="AA18" s="341">
        <f t="shared" ca="1" si="26"/>
        <v>22720.07712056956</v>
      </c>
      <c r="AB18" s="997">
        <f t="shared" ca="1" si="9"/>
        <v>5653.2970560428657</v>
      </c>
      <c r="AC18" s="997">
        <f t="shared" ca="1" si="10"/>
        <v>170219.16396819332</v>
      </c>
    </row>
    <row r="19" spans="1:29" x14ac:dyDescent="0.25">
      <c r="A19" s="258" t="s">
        <v>89</v>
      </c>
      <c r="B19" s="236" t="s">
        <v>397</v>
      </c>
      <c r="C19" s="341">
        <f t="shared" ca="1" si="11"/>
        <v>4674.8272845630163</v>
      </c>
      <c r="D19" s="997">
        <f t="shared" ca="1" si="12"/>
        <v>1928.5654569126032</v>
      </c>
      <c r="E19" s="997">
        <f t="shared" ca="1" si="13"/>
        <v>7262.4897431482623</v>
      </c>
      <c r="F19" s="341">
        <f ca="1">INDEX(SSW_WTP_NHH,MATCH($A19,SSC_WTP_OPTIONS,0))</f>
        <v>5974.4455187908998</v>
      </c>
      <c r="G19" s="997">
        <f t="shared" ca="1" si="15"/>
        <v>2504.3931037581801</v>
      </c>
      <c r="H19" s="997">
        <f t="shared" ca="1" si="0"/>
        <v>9706.6651037581796</v>
      </c>
      <c r="I19" s="341">
        <f t="shared" ca="1" si="16"/>
        <v>10649.272803353917</v>
      </c>
      <c r="J19" s="997">
        <f t="shared" ca="1" si="17"/>
        <v>4432.9585606707842</v>
      </c>
      <c r="K19" s="997">
        <f t="shared" ca="1" si="1"/>
        <v>16969.154846906444</v>
      </c>
      <c r="L19" s="341">
        <f t="shared" ca="1" si="18"/>
        <v>2131.2810014187971</v>
      </c>
      <c r="M19" s="997">
        <f t="shared" ca="1" si="19"/>
        <v>960.73620028375944</v>
      </c>
      <c r="N19" s="997">
        <f t="shared" ca="1" si="2"/>
        <v>3092.6094905245054</v>
      </c>
      <c r="O19" s="341">
        <f ca="1">INDEX(CAM_WTP_NHH,MATCH($A19,SSC_WTP_OPTIONS,0))</f>
        <v>11472.256638066072</v>
      </c>
      <c r="P19" s="997">
        <f t="shared" ca="1" si="21"/>
        <v>2294.4513276132143</v>
      </c>
      <c r="Q19" s="997">
        <f t="shared" ca="1" si="3"/>
        <v>32735.614652404944</v>
      </c>
      <c r="R19" s="341">
        <f t="shared" ca="1" si="22"/>
        <v>13603.537639484868</v>
      </c>
      <c r="S19" s="997">
        <f t="shared" ca="1" si="23"/>
        <v>3255.1875278969737</v>
      </c>
      <c r="T19" s="997">
        <f t="shared" ca="1" si="4"/>
        <v>35828.224142929444</v>
      </c>
      <c r="U19" s="341">
        <f t="shared" ca="1" si="24"/>
        <v>4186.9728730082688</v>
      </c>
      <c r="V19" s="997">
        <f t="shared" ca="1" si="5"/>
        <v>1742.9349552751532</v>
      </c>
      <c r="W19" s="997">
        <f t="shared" ca="1" si="6"/>
        <v>6462.7030475498559</v>
      </c>
      <c r="X19" s="341">
        <f ca="1">INDEX(SSC_WTP_NHH,MATCH($A19,SSC_WTP_OPTIONS,0))</f>
        <v>7144.1925654451925</v>
      </c>
      <c r="Y19" s="997">
        <f t="shared" ca="1" si="7"/>
        <v>2459.7246407486132</v>
      </c>
      <c r="Z19" s="997">
        <f t="shared" ca="1" si="8"/>
        <v>14606.441603470257</v>
      </c>
      <c r="AA19" s="341">
        <f t="shared" ca="1" si="26"/>
        <v>11219.891079921676</v>
      </c>
      <c r="AB19" s="997">
        <f t="shared" ca="1" si="9"/>
        <v>4205.471278998034</v>
      </c>
      <c r="AC19" s="997">
        <f t="shared" ca="1" si="10"/>
        <v>20611.796998604037</v>
      </c>
    </row>
    <row r="20" spans="1:29" x14ac:dyDescent="0.25">
      <c r="A20" s="258" t="s">
        <v>111</v>
      </c>
      <c r="B20" s="236" t="s">
        <v>398</v>
      </c>
      <c r="C20" s="341">
        <f ca="1">INDEX(SSW_WTP_HH,MATCH($A20,SSC_WTP_OPTIONS,0))</f>
        <v>643.58805311383639</v>
      </c>
      <c r="D20" s="997">
        <f t="shared" ca="1" si="12"/>
        <v>400.47196827881271</v>
      </c>
      <c r="E20" s="997">
        <f t="shared" ca="1" si="13"/>
        <v>830.43815856797301</v>
      </c>
      <c r="F20" s="341">
        <f ca="1">INDEX(SSW_WTP_NHH,MATCH($A20,SSC_WTP_OPTIONS,0))</f>
        <v>1102.149036332768</v>
      </c>
      <c r="G20" s="997">
        <f t="shared" ca="1" si="15"/>
        <v>529.82588796250775</v>
      </c>
      <c r="H20" s="997">
        <f t="shared" ca="1" si="0"/>
        <v>1716.6761919379981</v>
      </c>
      <c r="I20" s="341">
        <f t="shared" ca="1" si="16"/>
        <v>1745.7370894466044</v>
      </c>
      <c r="J20" s="997">
        <f t="shared" ca="1" si="17"/>
        <v>930.29785624132046</v>
      </c>
      <c r="K20" s="997">
        <f t="shared" ca="1" si="1"/>
        <v>2547.1143505059708</v>
      </c>
      <c r="L20" s="341">
        <f t="shared" ca="1" si="18"/>
        <v>336.46796551960944</v>
      </c>
      <c r="M20" s="997">
        <f t="shared" ca="1" si="19"/>
        <v>99.587602945353055</v>
      </c>
      <c r="N20" s="997">
        <f t="shared" ca="1" si="2"/>
        <v>530.51384636055548</v>
      </c>
      <c r="O20" s="341">
        <f ca="1">INDEX(CAM_WTP_NHH,MATCH($A20,SSC_WTP_OPTIONS,0))</f>
        <v>1922.6824470208885</v>
      </c>
      <c r="P20" s="997">
        <f t="shared" ca="1" si="21"/>
        <v>1394.5090921439037</v>
      </c>
      <c r="Q20" s="997">
        <f t="shared" ca="1" si="3"/>
        <v>2312.6054431810321</v>
      </c>
      <c r="R20" s="341">
        <f t="shared" ca="1" si="22"/>
        <v>2259.1504125404981</v>
      </c>
      <c r="S20" s="997">
        <f t="shared" ca="1" si="23"/>
        <v>1494.0966950892569</v>
      </c>
      <c r="T20" s="997">
        <f t="shared" ca="1" si="4"/>
        <v>2843.1192895415875</v>
      </c>
      <c r="U20" s="341">
        <f t="shared" ca="1" si="24"/>
        <v>584.68215051523646</v>
      </c>
      <c r="V20" s="997">
        <f t="shared" ca="1" si="5"/>
        <v>342.76208268776844</v>
      </c>
      <c r="W20" s="997">
        <f t="shared" ca="1" si="6"/>
        <v>772.9124120098885</v>
      </c>
      <c r="X20" s="341">
        <f ca="1">INDEX(SSC_WTP_NHH,MATCH($A20,SSC_WTP_OPTIONS,0))</f>
        <v>1276.7306130749212</v>
      </c>
      <c r="Y20" s="997">
        <f t="shared" ca="1" si="7"/>
        <v>713.80103778833677</v>
      </c>
      <c r="Z20" s="997">
        <f t="shared" ca="1" si="8"/>
        <v>1843.4696496492818</v>
      </c>
      <c r="AA20" s="341">
        <f t="shared" ca="1" si="26"/>
        <v>1844.9032244551508</v>
      </c>
      <c r="AB20" s="997">
        <f t="shared" ca="1" si="9"/>
        <v>1039.1959881283876</v>
      </c>
      <c r="AC20" s="997">
        <f t="shared" ca="1" si="10"/>
        <v>2604.2879072238093</v>
      </c>
    </row>
    <row r="22" spans="1:29" ht="28.5" x14ac:dyDescent="0.45">
      <c r="A22" s="102" t="s">
        <v>1081</v>
      </c>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row>
    <row r="23" spans="1:29" ht="23.25" x14ac:dyDescent="0.35">
      <c r="A23" s="61"/>
      <c r="B23" s="61"/>
      <c r="C23" s="166" t="s">
        <v>39</v>
      </c>
      <c r="D23" s="166"/>
      <c r="E23" s="166"/>
      <c r="F23" s="166"/>
      <c r="G23" s="166"/>
      <c r="H23" s="166"/>
      <c r="I23" s="166"/>
      <c r="J23" s="166"/>
      <c r="K23" s="166"/>
      <c r="L23" s="995" t="s">
        <v>118</v>
      </c>
      <c r="M23" s="956"/>
      <c r="N23" s="956"/>
      <c r="O23" s="956"/>
      <c r="P23" s="956"/>
      <c r="Q23" s="956"/>
      <c r="R23" s="956"/>
      <c r="S23" s="956"/>
      <c r="T23" s="956"/>
      <c r="U23" s="996" t="s">
        <v>1082</v>
      </c>
      <c r="V23" s="996"/>
      <c r="W23" s="996"/>
      <c r="X23" s="996"/>
      <c r="Y23" s="996"/>
      <c r="Z23" s="996"/>
      <c r="AA23" s="996"/>
      <c r="AB23" s="996"/>
      <c r="AC23" s="996"/>
    </row>
    <row r="24" spans="1:29" x14ac:dyDescent="0.25">
      <c r="A24" s="61" t="s">
        <v>24</v>
      </c>
      <c r="B24" s="61"/>
      <c r="C24" s="249" t="s">
        <v>9</v>
      </c>
      <c r="D24" s="249"/>
      <c r="E24" s="249"/>
      <c r="F24" s="249" t="s">
        <v>199</v>
      </c>
      <c r="G24" s="249"/>
      <c r="H24" s="249"/>
      <c r="I24" s="249" t="s">
        <v>1083</v>
      </c>
      <c r="J24" s="249"/>
      <c r="K24" s="249"/>
      <c r="L24" s="249" t="s">
        <v>9</v>
      </c>
      <c r="M24" s="249"/>
      <c r="N24" s="249"/>
      <c r="O24" s="249" t="s">
        <v>199</v>
      </c>
      <c r="P24" s="249"/>
      <c r="Q24" s="249"/>
      <c r="R24" s="249" t="s">
        <v>1083</v>
      </c>
      <c r="S24" s="249"/>
      <c r="T24" s="249"/>
      <c r="U24" s="249" t="s">
        <v>9</v>
      </c>
      <c r="V24" s="249"/>
      <c r="W24" s="249"/>
      <c r="X24" s="249" t="s">
        <v>199</v>
      </c>
      <c r="Y24" s="249"/>
      <c r="Z24" s="249"/>
      <c r="AA24" s="249" t="s">
        <v>1083</v>
      </c>
      <c r="AB24" s="249"/>
      <c r="AC24" s="249"/>
    </row>
    <row r="25" spans="1:29" x14ac:dyDescent="0.25">
      <c r="A25" s="61"/>
      <c r="B25" s="66" t="s">
        <v>368</v>
      </c>
      <c r="C25" s="127" t="s">
        <v>1084</v>
      </c>
      <c r="D25" s="127" t="s">
        <v>1085</v>
      </c>
      <c r="E25" s="127" t="s">
        <v>1086</v>
      </c>
      <c r="F25" s="127" t="s">
        <v>1084</v>
      </c>
      <c r="G25" s="127" t="s">
        <v>1085</v>
      </c>
      <c r="H25" s="127" t="s">
        <v>1086</v>
      </c>
      <c r="I25" s="127" t="s">
        <v>1084</v>
      </c>
      <c r="J25" s="127" t="s">
        <v>1085</v>
      </c>
      <c r="K25" s="127" t="s">
        <v>1086</v>
      </c>
      <c r="L25" s="127" t="s">
        <v>1084</v>
      </c>
      <c r="M25" s="127" t="s">
        <v>1085</v>
      </c>
      <c r="N25" s="127" t="s">
        <v>1086</v>
      </c>
      <c r="O25" s="127" t="s">
        <v>1084</v>
      </c>
      <c r="P25" s="127" t="s">
        <v>1085</v>
      </c>
      <c r="Q25" s="127" t="s">
        <v>1086</v>
      </c>
      <c r="R25" s="127" t="s">
        <v>1084</v>
      </c>
      <c r="S25" s="127" t="s">
        <v>1085</v>
      </c>
      <c r="T25" s="127" t="s">
        <v>1086</v>
      </c>
      <c r="U25" s="127" t="s">
        <v>1084</v>
      </c>
      <c r="V25" s="127" t="s">
        <v>1085</v>
      </c>
      <c r="W25" s="127" t="s">
        <v>1086</v>
      </c>
      <c r="X25" s="127" t="s">
        <v>1084</v>
      </c>
      <c r="Y25" s="127" t="s">
        <v>1085</v>
      </c>
      <c r="Z25" s="127" t="s">
        <v>1086</v>
      </c>
      <c r="AA25" s="127" t="s">
        <v>1084</v>
      </c>
      <c r="AB25" s="127" t="s">
        <v>1085</v>
      </c>
      <c r="AC25" s="127" t="s">
        <v>1086</v>
      </c>
    </row>
    <row r="26" spans="1:29" x14ac:dyDescent="0.25">
      <c r="A26" s="258" t="s">
        <v>370</v>
      </c>
      <c r="B26" s="236" t="s">
        <v>369</v>
      </c>
      <c r="C26" s="341">
        <v>1004.0372248742228</v>
      </c>
      <c r="D26" s="997">
        <v>218.53743558095812</v>
      </c>
      <c r="E26" s="997">
        <v>2910.7085276181542</v>
      </c>
      <c r="F26" s="341">
        <v>448.87274713174776</v>
      </c>
      <c r="G26" s="997">
        <v>128.52017808446166</v>
      </c>
      <c r="H26" s="997">
        <v>1317.017686947572</v>
      </c>
      <c r="I26" s="341">
        <v>1452.9099720059705</v>
      </c>
      <c r="J26" s="997">
        <v>347.05761366541975</v>
      </c>
      <c r="K26" s="997">
        <v>4227.726214565726</v>
      </c>
      <c r="L26" s="341">
        <v>1028.501528527346</v>
      </c>
      <c r="M26" s="997">
        <v>218.3919940911544</v>
      </c>
      <c r="N26" s="997">
        <v>2969.5246505798914</v>
      </c>
      <c r="O26" s="341">
        <v>1516.218263479479</v>
      </c>
      <c r="P26" s="997">
        <v>303.24365269589583</v>
      </c>
      <c r="Q26" s="997">
        <v>7902.6308867384469</v>
      </c>
      <c r="R26" s="341">
        <v>2544.7197920068247</v>
      </c>
      <c r="S26" s="997">
        <v>521.63564678705018</v>
      </c>
      <c r="T26" s="997">
        <v>10872.15553731834</v>
      </c>
      <c r="U26" s="341">
        <v>1008.7294998062275</v>
      </c>
      <c r="V26" s="997">
        <v>218.50953977544674</v>
      </c>
      <c r="W26" s="997">
        <v>2921.9895116708449</v>
      </c>
      <c r="X26" s="341">
        <v>675.96753784403097</v>
      </c>
      <c r="Y26" s="997">
        <v>165.6953854485966</v>
      </c>
      <c r="Z26" s="997">
        <v>2718.2119847754179</v>
      </c>
      <c r="AA26" s="341">
        <v>1663.7937865540807</v>
      </c>
      <c r="AB26" s="997">
        <v>380.77748033685799</v>
      </c>
      <c r="AC26" s="997">
        <v>5511.1022892343808</v>
      </c>
    </row>
    <row r="27" spans="1:29" x14ac:dyDescent="0.25">
      <c r="A27" s="258" t="s">
        <v>84</v>
      </c>
      <c r="B27" s="236" t="s">
        <v>369</v>
      </c>
      <c r="C27" s="341">
        <v>435.08659630715613</v>
      </c>
      <c r="D27" s="997">
        <v>356.3554858198633</v>
      </c>
      <c r="E27" s="997">
        <v>608.84006968587937</v>
      </c>
      <c r="F27" s="341">
        <v>382.78338383243909</v>
      </c>
      <c r="G27" s="997">
        <v>262.81847828324862</v>
      </c>
      <c r="H27" s="997">
        <v>3224.7021164948405</v>
      </c>
      <c r="I27" s="341">
        <v>817.86998013959521</v>
      </c>
      <c r="J27" s="997">
        <v>619.17396410311198</v>
      </c>
      <c r="K27" s="997">
        <v>3833.5421861807199</v>
      </c>
      <c r="L27" s="341">
        <v>491.29924729309357</v>
      </c>
      <c r="M27" s="997">
        <v>387.28114502299616</v>
      </c>
      <c r="N27" s="997">
        <v>760.06070052244843</v>
      </c>
      <c r="O27" s="341">
        <v>2106.9933646480299</v>
      </c>
      <c r="P27" s="997">
        <v>446.39555032285807</v>
      </c>
      <c r="Q27" s="997">
        <v>2861.5688856955635</v>
      </c>
      <c r="R27" s="341">
        <v>2598.2926119411236</v>
      </c>
      <c r="S27" s="997">
        <v>833.67669534585423</v>
      </c>
      <c r="T27" s="997">
        <v>3621.6295862180123</v>
      </c>
      <c r="U27" s="341">
        <v>445.86823214779713</v>
      </c>
      <c r="V27" s="997">
        <v>362.28705442251396</v>
      </c>
      <c r="W27" s="997">
        <v>637.84431952422563</v>
      </c>
      <c r="X27" s="341">
        <v>749.63657124001168</v>
      </c>
      <c r="Y27" s="997">
        <v>301.8774297810379</v>
      </c>
      <c r="Z27" s="997">
        <v>3147.4397269630799</v>
      </c>
      <c r="AA27" s="341">
        <v>1161.7598309396167</v>
      </c>
      <c r="AB27" s="997">
        <v>660.60531356232661</v>
      </c>
      <c r="AC27" s="997">
        <v>3792.6111223523062</v>
      </c>
    </row>
    <row r="28" spans="1:29" x14ac:dyDescent="0.25">
      <c r="A28" s="258" t="s">
        <v>117</v>
      </c>
      <c r="B28" s="236" t="s">
        <v>369</v>
      </c>
      <c r="C28" s="341">
        <v>183.49859370647627</v>
      </c>
      <c r="D28" s="997">
        <v>79.523164216789468</v>
      </c>
      <c r="E28" s="997">
        <v>377.62765884732698</v>
      </c>
      <c r="F28" s="341">
        <v>190.15878670162689</v>
      </c>
      <c r="G28" s="997">
        <v>80.580479312106888</v>
      </c>
      <c r="H28" s="997">
        <v>368.42324013276675</v>
      </c>
      <c r="I28" s="341">
        <v>373.65738040810317</v>
      </c>
      <c r="J28" s="997">
        <v>160.10364352889636</v>
      </c>
      <c r="K28" s="997">
        <v>746.05089898009362</v>
      </c>
      <c r="L28" s="341">
        <v>246.83756003802645</v>
      </c>
      <c r="M28" s="997">
        <v>74.803685973799972</v>
      </c>
      <c r="N28" s="997">
        <v>673.41340664806364</v>
      </c>
      <c r="O28" s="341">
        <v>1182.393022889587</v>
      </c>
      <c r="P28" s="997">
        <v>352.67718613820108</v>
      </c>
      <c r="Q28" s="997">
        <v>99898.828735720323</v>
      </c>
      <c r="R28" s="341">
        <v>1429.2305829276133</v>
      </c>
      <c r="S28" s="997">
        <v>427.48087211200107</v>
      </c>
      <c r="T28" s="997">
        <v>100572.24214236838</v>
      </c>
      <c r="U28" s="341">
        <v>195.64706309071209</v>
      </c>
      <c r="V28" s="997">
        <v>78.617964143829539</v>
      </c>
      <c r="W28" s="997">
        <v>434.3596251165751</v>
      </c>
      <c r="X28" s="341">
        <v>401.27245397566094</v>
      </c>
      <c r="Y28" s="997">
        <v>138.47339565808437</v>
      </c>
      <c r="Z28" s="997">
        <v>21545.10526047054</v>
      </c>
      <c r="AA28" s="341">
        <v>577.54206747009073</v>
      </c>
      <c r="AB28" s="997">
        <v>211.74773836481108</v>
      </c>
      <c r="AC28" s="997">
        <v>20027.548111744134</v>
      </c>
    </row>
    <row r="29" spans="1:29" x14ac:dyDescent="0.25">
      <c r="A29" s="258" t="s">
        <v>83</v>
      </c>
      <c r="B29" s="236" t="s">
        <v>369</v>
      </c>
      <c r="C29" s="341">
        <v>303.42114020493887</v>
      </c>
      <c r="D29" s="997">
        <v>60.684228040987776</v>
      </c>
      <c r="E29" s="997">
        <v>649.8752668871573</v>
      </c>
      <c r="F29" s="341">
        <v>242.45200630780022</v>
      </c>
      <c r="G29" s="997">
        <v>78.095915387460309</v>
      </c>
      <c r="H29" s="997">
        <v>608.75357273863995</v>
      </c>
      <c r="I29" s="341">
        <v>545.87314651273914</v>
      </c>
      <c r="J29" s="997">
        <v>138.78014342844807</v>
      </c>
      <c r="K29" s="997">
        <v>1258.6288396257974</v>
      </c>
      <c r="L29" s="341">
        <v>182.79645073083407</v>
      </c>
      <c r="M29" s="997">
        <v>56.032765323471779</v>
      </c>
      <c r="N29" s="997">
        <v>534.62289860466774</v>
      </c>
      <c r="O29" s="341">
        <v>443.56568292257293</v>
      </c>
      <c r="P29" s="997">
        <v>94.223187117752119</v>
      </c>
      <c r="Q29" s="997">
        <v>874.27516681166946</v>
      </c>
      <c r="R29" s="341">
        <v>626.362133653407</v>
      </c>
      <c r="S29" s="997">
        <v>150.25595244122391</v>
      </c>
      <c r="T29" s="997">
        <v>1408.8980654163372</v>
      </c>
      <c r="U29" s="341">
        <v>280.28521879775332</v>
      </c>
      <c r="V29" s="997">
        <v>59.792073405563769</v>
      </c>
      <c r="W29" s="997">
        <v>627.76976140398563</v>
      </c>
      <c r="X29" s="341">
        <v>285.24215026839016</v>
      </c>
      <c r="Y29" s="997">
        <v>81.527249798160682</v>
      </c>
      <c r="Z29" s="997">
        <v>665.24752892439096</v>
      </c>
      <c r="AA29" s="341">
        <v>561.41964950840236</v>
      </c>
      <c r="AB29" s="997">
        <v>140.99670379940889</v>
      </c>
      <c r="AC29" s="997">
        <v>1287.6534435113674</v>
      </c>
    </row>
    <row r="30" spans="1:29" x14ac:dyDescent="0.25">
      <c r="A30" s="258" t="s">
        <v>82</v>
      </c>
      <c r="B30" s="236" t="s">
        <v>369</v>
      </c>
      <c r="C30" s="341">
        <v>288.01505799402719</v>
      </c>
      <c r="D30" s="997">
        <v>58.257184844815029</v>
      </c>
      <c r="E30" s="997">
        <v>775.67286149712106</v>
      </c>
      <c r="F30" s="341">
        <v>113.21133076149198</v>
      </c>
      <c r="G30" s="997">
        <v>29.534392468087873</v>
      </c>
      <c r="H30" s="997">
        <v>198.18565990232742</v>
      </c>
      <c r="I30" s="341">
        <v>401.22638875551917</v>
      </c>
      <c r="J30" s="997">
        <v>87.791577312902902</v>
      </c>
      <c r="K30" s="997">
        <v>973.85852139944836</v>
      </c>
      <c r="L30" s="341">
        <v>140.52879437007624</v>
      </c>
      <c r="M30" s="997">
        <v>31.881531923660642</v>
      </c>
      <c r="N30" s="997">
        <v>315.23045452210403</v>
      </c>
      <c r="O30" s="341">
        <v>290.14397652794304</v>
      </c>
      <c r="P30" s="997">
        <v>58.029855209875912</v>
      </c>
      <c r="Q30" s="997">
        <v>1895.9540406234094</v>
      </c>
      <c r="R30" s="341">
        <v>430.67277089801928</v>
      </c>
      <c r="S30" s="997">
        <v>89.911387133536564</v>
      </c>
      <c r="T30" s="997">
        <v>2211.1844951455137</v>
      </c>
      <c r="U30" s="341">
        <v>259.72706306761785</v>
      </c>
      <c r="V30" s="997">
        <v>53.198311444125096</v>
      </c>
      <c r="W30" s="997">
        <v>687.35960335110735</v>
      </c>
      <c r="X30" s="341">
        <v>150.85657454158795</v>
      </c>
      <c r="Y30" s="997">
        <v>35.597256881234259</v>
      </c>
      <c r="Z30" s="997">
        <v>559.41297494936612</v>
      </c>
      <c r="AA30" s="341">
        <v>406.91397763509798</v>
      </c>
      <c r="AB30" s="997">
        <v>88.20102003168283</v>
      </c>
      <c r="AC30" s="997">
        <v>1212.8488807120445</v>
      </c>
    </row>
    <row r="31" spans="1:29" x14ac:dyDescent="0.25">
      <c r="A31" s="258" t="s">
        <v>25</v>
      </c>
      <c r="B31" s="236" t="s">
        <v>369</v>
      </c>
      <c r="C31" s="341">
        <v>79.485021362144408</v>
      </c>
      <c r="D31" s="997">
        <v>35.274237360743555</v>
      </c>
      <c r="E31" s="997">
        <v>149.73530468246426</v>
      </c>
      <c r="F31" s="341">
        <v>113.8850479474503</v>
      </c>
      <c r="G31" s="997">
        <v>58.23427789930799</v>
      </c>
      <c r="H31" s="997">
        <v>212.82944549116516</v>
      </c>
      <c r="I31" s="341">
        <v>193.37006930959473</v>
      </c>
      <c r="J31" s="997">
        <v>93.508515260051553</v>
      </c>
      <c r="K31" s="997">
        <v>362.56475017362948</v>
      </c>
      <c r="L31" s="341">
        <v>338.97556120742803</v>
      </c>
      <c r="M31" s="997">
        <v>143.07916433029828</v>
      </c>
      <c r="N31" s="997">
        <v>616.21109321483243</v>
      </c>
      <c r="O31" s="341">
        <v>698.5845456679084</v>
      </c>
      <c r="P31" s="997">
        <v>314.01478147400724</v>
      </c>
      <c r="Q31" s="997">
        <v>2576.7191993337124</v>
      </c>
      <c r="R31" s="341">
        <v>1037.5601068753365</v>
      </c>
      <c r="S31" s="997">
        <v>457.09394580430552</v>
      </c>
      <c r="T31" s="997">
        <v>3192.9302925485449</v>
      </c>
      <c r="U31" s="341">
        <v>129.25553486102015</v>
      </c>
      <c r="V31" s="997">
        <v>55.951317057685962</v>
      </c>
      <c r="W31" s="997">
        <v>239.20577071136651</v>
      </c>
      <c r="X31" s="341">
        <v>238.28919639861164</v>
      </c>
      <c r="Y31" s="997">
        <v>112.65566163860569</v>
      </c>
      <c r="Z31" s="997">
        <v>715.78471226617512</v>
      </c>
      <c r="AA31" s="341">
        <v>356.42595327777224</v>
      </c>
      <c r="AB31" s="997">
        <v>163.73529020079098</v>
      </c>
      <c r="AC31" s="997">
        <v>909.25179328988008</v>
      </c>
    </row>
    <row r="32" spans="1:29" x14ac:dyDescent="0.25">
      <c r="A32" s="258" t="s">
        <v>85</v>
      </c>
      <c r="B32" s="236" t="s">
        <v>369</v>
      </c>
      <c r="C32" s="341">
        <v>36.54579248098554</v>
      </c>
      <c r="D32" s="997">
        <v>14.326979762580519</v>
      </c>
      <c r="E32" s="997">
        <v>83.822291226060116</v>
      </c>
      <c r="F32" s="341">
        <v>26.928108679021509</v>
      </c>
      <c r="G32" s="997">
        <v>8.2317302159324299</v>
      </c>
      <c r="H32" s="997">
        <v>112.10241630286713</v>
      </c>
      <c r="I32" s="341">
        <v>63.473901160007046</v>
      </c>
      <c r="J32" s="997">
        <v>22.558709978512947</v>
      </c>
      <c r="K32" s="997">
        <v>195.92470752892726</v>
      </c>
      <c r="L32" s="341">
        <v>60.073164819827873</v>
      </c>
      <c r="M32" s="997">
        <v>19.527671240633971</v>
      </c>
      <c r="N32" s="997">
        <v>114.00248312955645</v>
      </c>
      <c r="O32" s="341">
        <v>84.595832364306503</v>
      </c>
      <c r="P32" s="997">
        <v>35.461493317587426</v>
      </c>
      <c r="Q32" s="997">
        <v>163.3105210857259</v>
      </c>
      <c r="R32" s="341">
        <v>144.66899718413438</v>
      </c>
      <c r="S32" s="997">
        <v>54.98916455822139</v>
      </c>
      <c r="T32" s="997">
        <v>277.31300421528232</v>
      </c>
      <c r="U32" s="341">
        <v>41.058363163838166</v>
      </c>
      <c r="V32" s="997">
        <v>15.324476956760609</v>
      </c>
      <c r="W32" s="997">
        <v>89.610878545764393</v>
      </c>
      <c r="X32" s="341">
        <v>39.19783712269917</v>
      </c>
      <c r="Y32" s="997">
        <v>14.025296833305832</v>
      </c>
      <c r="Z32" s="997">
        <v>122.99775774602854</v>
      </c>
      <c r="AA32" s="341">
        <v>79.156789570146714</v>
      </c>
      <c r="AB32" s="997">
        <v>28.822674493223758</v>
      </c>
      <c r="AC32" s="997">
        <v>211.64491277930543</v>
      </c>
    </row>
    <row r="33" spans="1:29" x14ac:dyDescent="0.25">
      <c r="A33" s="258" t="s">
        <v>81</v>
      </c>
      <c r="B33" s="236" t="s">
        <v>369</v>
      </c>
      <c r="C33" s="341">
        <v>22.504130758641768</v>
      </c>
      <c r="D33" s="997">
        <v>8.6905526118895047</v>
      </c>
      <c r="E33" s="997">
        <v>34.41566486140578</v>
      </c>
      <c r="F33" s="341">
        <v>21.397383522173659</v>
      </c>
      <c r="G33" s="997">
        <v>14.834599338595515</v>
      </c>
      <c r="H33" s="997">
        <v>32.959615244332866</v>
      </c>
      <c r="I33" s="341">
        <v>43.901514280815427</v>
      </c>
      <c r="J33" s="997">
        <v>23.525151950485022</v>
      </c>
      <c r="K33" s="997">
        <v>67.375280105738639</v>
      </c>
      <c r="L33" s="341">
        <v>16.431923473485394</v>
      </c>
      <c r="M33" s="997">
        <v>6.3943330187535796</v>
      </c>
      <c r="N33" s="997">
        <v>36.532512354271546</v>
      </c>
      <c r="O33" s="341">
        <v>35.806842520838742</v>
      </c>
      <c r="P33" s="997">
        <v>22.848177014806048</v>
      </c>
      <c r="Q33" s="997">
        <v>158.80051744033796</v>
      </c>
      <c r="R33" s="341">
        <v>52.23876599432414</v>
      </c>
      <c r="S33" s="997">
        <v>29.242510033559633</v>
      </c>
      <c r="T33" s="997">
        <v>195.33302979460953</v>
      </c>
      <c r="U33" s="341">
        <v>21.339476067052477</v>
      </c>
      <c r="V33" s="997">
        <v>8.2501356767492329</v>
      </c>
      <c r="W33" s="997">
        <v>34.821678070139917</v>
      </c>
      <c r="X33" s="341">
        <v>24.463225862315163</v>
      </c>
      <c r="Y33" s="997">
        <v>16.53961586544882</v>
      </c>
      <c r="Z33" s="997">
        <v>59.734275286036073</v>
      </c>
      <c r="AA33" s="341">
        <v>45.511860159726012</v>
      </c>
      <c r="AB33" s="997">
        <v>24.629463580229569</v>
      </c>
      <c r="AC33" s="997">
        <v>92.09040710043837</v>
      </c>
    </row>
    <row r="34" spans="1:29" x14ac:dyDescent="0.25">
      <c r="A34" s="258" t="s">
        <v>86</v>
      </c>
      <c r="B34" s="236" t="s">
        <v>422</v>
      </c>
      <c r="C34" s="341">
        <v>377167.14064197743</v>
      </c>
      <c r="D34" s="997">
        <v>139023.82812839549</v>
      </c>
      <c r="E34" s="997">
        <v>872457.08222759643</v>
      </c>
      <c r="F34" s="341">
        <v>683113.36200907058</v>
      </c>
      <c r="G34" s="997">
        <v>136622.67240181411</v>
      </c>
      <c r="H34" s="997">
        <v>1198099.6994282028</v>
      </c>
      <c r="I34" s="341">
        <v>1060280.5026510479</v>
      </c>
      <c r="J34" s="997">
        <v>275646.50053020963</v>
      </c>
      <c r="K34" s="997">
        <v>2070556.7816557996</v>
      </c>
      <c r="L34" s="341">
        <v>357267.86651337566</v>
      </c>
      <c r="M34" s="997">
        <v>176108.62015002035</v>
      </c>
      <c r="N34" s="997">
        <v>508255.1267010122</v>
      </c>
      <c r="O34" s="341">
        <v>1154334.997884613</v>
      </c>
      <c r="P34" s="997">
        <v>750344.22293810034</v>
      </c>
      <c r="Q34" s="997">
        <v>1411025.9459765633</v>
      </c>
      <c r="R34" s="341">
        <v>1511602.8643979887</v>
      </c>
      <c r="S34" s="997">
        <v>926452.84308812069</v>
      </c>
      <c r="T34" s="997">
        <v>1919281.0726775753</v>
      </c>
      <c r="U34" s="341">
        <v>373350.44238305092</v>
      </c>
      <c r="V34" s="997">
        <v>146136.72381629131</v>
      </c>
      <c r="W34" s="997">
        <v>802602.82721444475</v>
      </c>
      <c r="X34" s="341">
        <v>783373.28453578183</v>
      </c>
      <c r="Y34" s="997">
        <v>267201.72570740693</v>
      </c>
      <c r="Z34" s="997">
        <v>1243403.1561406199</v>
      </c>
      <c r="AA34" s="341">
        <v>1147453.7259473747</v>
      </c>
      <c r="AB34" s="997">
        <v>401350.19135303894</v>
      </c>
      <c r="AC34" s="997">
        <v>2041337.7748531562</v>
      </c>
    </row>
    <row r="35" spans="1:29" x14ac:dyDescent="0.25">
      <c r="A35" s="258" t="s">
        <v>28</v>
      </c>
      <c r="B35" s="236" t="s">
        <v>422</v>
      </c>
      <c r="C35" s="341">
        <v>295830.84049178869</v>
      </c>
      <c r="D35" s="997">
        <v>120277.44014623045</v>
      </c>
      <c r="E35" s="997">
        <v>402265.87123027572</v>
      </c>
      <c r="F35" s="341">
        <v>343001.96468984301</v>
      </c>
      <c r="G35" s="997">
        <v>77768.217381040129</v>
      </c>
      <c r="H35" s="997">
        <v>1482864.7129379683</v>
      </c>
      <c r="I35" s="341">
        <v>638832.8051816317</v>
      </c>
      <c r="J35" s="997">
        <v>198045.65752727058</v>
      </c>
      <c r="K35" s="997">
        <v>1885130.5841682442</v>
      </c>
      <c r="L35" s="341">
        <v>183863.98687385119</v>
      </c>
      <c r="M35" s="997">
        <v>48233.419811573811</v>
      </c>
      <c r="N35" s="997">
        <v>441719.99737477017</v>
      </c>
      <c r="O35" s="341">
        <v>899514.24915536679</v>
      </c>
      <c r="P35" s="997">
        <v>266091.71956766921</v>
      </c>
      <c r="Q35" s="997">
        <v>1162942.8498310733</v>
      </c>
      <c r="R35" s="341">
        <v>1083378.236029218</v>
      </c>
      <c r="S35" s="997">
        <v>314325.13937924302</v>
      </c>
      <c r="T35" s="997">
        <v>1604662.8472058433</v>
      </c>
      <c r="U35" s="341">
        <v>274355.49960752833</v>
      </c>
      <c r="V35" s="997">
        <v>106459.3337570064</v>
      </c>
      <c r="W35" s="997">
        <v>409833.20728434419</v>
      </c>
      <c r="X35" s="341">
        <v>461408.8337250608</v>
      </c>
      <c r="Y35" s="997">
        <v>117837.04763351439</v>
      </c>
      <c r="Z35" s="997">
        <v>1414796.2314258632</v>
      </c>
      <c r="AA35" s="341">
        <v>724697.05963301484</v>
      </c>
      <c r="AB35" s="997">
        <v>220505.11909045978</v>
      </c>
      <c r="AC35" s="997">
        <v>1830958.0486727667</v>
      </c>
    </row>
    <row r="36" spans="1:29" x14ac:dyDescent="0.25">
      <c r="A36" s="258" t="s">
        <v>3</v>
      </c>
      <c r="B36" s="236" t="s">
        <v>396</v>
      </c>
      <c r="C36" s="341">
        <v>31918.781568528757</v>
      </c>
      <c r="D36" s="997">
        <v>14844.256189035614</v>
      </c>
      <c r="E36" s="997">
        <v>72093.715518799581</v>
      </c>
      <c r="F36" s="341">
        <v>59302.928237256368</v>
      </c>
      <c r="G36" s="997">
        <v>11860.585647451275</v>
      </c>
      <c r="H36" s="997">
        <v>160456.78422901157</v>
      </c>
      <c r="I36" s="341">
        <v>91221.709805785125</v>
      </c>
      <c r="J36" s="997">
        <v>26704.841836486885</v>
      </c>
      <c r="K36" s="997">
        <v>232550.49974781115</v>
      </c>
      <c r="L36" s="341">
        <v>91861.563109842726</v>
      </c>
      <c r="M36" s="997">
        <v>51080.314498092383</v>
      </c>
      <c r="N36" s="997">
        <v>162354.70375296235</v>
      </c>
      <c r="O36" s="341">
        <v>125115.34004924072</v>
      </c>
      <c r="P36" s="997">
        <v>25023.068009848146</v>
      </c>
      <c r="Q36" s="997">
        <v>735132.67794578383</v>
      </c>
      <c r="R36" s="341">
        <v>216976.90315908345</v>
      </c>
      <c r="S36" s="997">
        <v>76103.382507940521</v>
      </c>
      <c r="T36" s="997">
        <v>897487.38169874623</v>
      </c>
      <c r="U36" s="341">
        <v>43415.859726526018</v>
      </c>
      <c r="V36" s="997">
        <v>21794.364005267587</v>
      </c>
      <c r="W36" s="997">
        <v>89405.852354341783</v>
      </c>
      <c r="X36" s="341">
        <v>73305.569048316873</v>
      </c>
      <c r="Y36" s="997">
        <v>14661.113809663375</v>
      </c>
      <c r="Z36" s="997">
        <v>282728.25097726099</v>
      </c>
      <c r="AA36" s="341">
        <v>115511.41153566878</v>
      </c>
      <c r="AB36" s="997">
        <v>36246.203801795062</v>
      </c>
      <c r="AC36" s="997">
        <v>360983.51393285487</v>
      </c>
    </row>
    <row r="37" spans="1:29" x14ac:dyDescent="0.25">
      <c r="A37" s="258" t="s">
        <v>324</v>
      </c>
      <c r="B37" s="236" t="s">
        <v>423</v>
      </c>
      <c r="C37" s="341">
        <v>10.690109023584879</v>
      </c>
      <c r="D37" s="997">
        <v>3.3871446117345196</v>
      </c>
      <c r="E37" s="997">
        <v>25.346341715908459</v>
      </c>
      <c r="F37" s="998"/>
      <c r="G37" s="997">
        <v>0</v>
      </c>
      <c r="H37" s="997">
        <v>0</v>
      </c>
      <c r="I37" s="341">
        <v>10.690109023584879</v>
      </c>
      <c r="J37" s="997">
        <v>3.3871446117345196</v>
      </c>
      <c r="K37" s="997">
        <v>25.346341715908459</v>
      </c>
      <c r="L37" s="341">
        <v>7.1076022792989635</v>
      </c>
      <c r="M37" s="997">
        <v>2.7470025385585775</v>
      </c>
      <c r="N37" s="997">
        <v>9.7410304347856211</v>
      </c>
      <c r="O37" s="998"/>
      <c r="P37" s="997">
        <v>0</v>
      </c>
      <c r="Q37" s="997">
        <v>0</v>
      </c>
      <c r="R37" s="341">
        <v>7.1076022792989635</v>
      </c>
      <c r="S37" s="997">
        <v>2.7470025385585775</v>
      </c>
      <c r="T37" s="997">
        <v>9.7410304347856211</v>
      </c>
      <c r="U37" s="341">
        <v>10.002981082879966</v>
      </c>
      <c r="V37" s="997">
        <v>3.2643647997490897</v>
      </c>
      <c r="W37" s="997">
        <v>22.353229303277281</v>
      </c>
      <c r="X37" s="998"/>
      <c r="Y37" s="997">
        <v>0</v>
      </c>
      <c r="Z37" s="997">
        <v>0</v>
      </c>
      <c r="AA37" s="341">
        <v>9.9981453921543135</v>
      </c>
      <c r="AB37" s="997">
        <v>3.2635007318471119</v>
      </c>
      <c r="AC37" s="997">
        <v>22.332165153390214</v>
      </c>
    </row>
    <row r="38" spans="1:29" x14ac:dyDescent="0.25">
      <c r="A38" s="258" t="s">
        <v>373</v>
      </c>
      <c r="B38" s="236" t="s">
        <v>423</v>
      </c>
      <c r="C38" s="999">
        <v>0.44495840011230475</v>
      </c>
      <c r="D38" s="997">
        <v>0.28252570958479029</v>
      </c>
      <c r="E38" s="997">
        <v>0.79694690906029053</v>
      </c>
      <c r="F38" s="1000"/>
      <c r="G38" s="997">
        <v>0</v>
      </c>
      <c r="H38" s="997">
        <v>0</v>
      </c>
      <c r="I38" s="999">
        <v>0.44495840011230475</v>
      </c>
      <c r="J38" s="997">
        <v>0.28252570958479029</v>
      </c>
      <c r="K38" s="997">
        <v>0.79694690906029053</v>
      </c>
      <c r="L38" s="999">
        <v>1.6539842281407462</v>
      </c>
      <c r="M38" s="997">
        <v>0.59383416912544562</v>
      </c>
      <c r="N38" s="997">
        <v>3.4411968456281494</v>
      </c>
      <c r="O38" s="1000"/>
      <c r="P38" s="997">
        <v>0</v>
      </c>
      <c r="Q38" s="997">
        <v>0</v>
      </c>
      <c r="R38" s="999">
        <v>1.6539842281407462</v>
      </c>
      <c r="S38" s="997">
        <v>0.59383416912544562</v>
      </c>
      <c r="T38" s="997">
        <v>3.4411968456281494</v>
      </c>
      <c r="U38" s="999">
        <v>0.67685061602991214</v>
      </c>
      <c r="V38" s="997">
        <v>0.34223494560210488</v>
      </c>
      <c r="W38" s="997">
        <v>1.3041163698075666</v>
      </c>
      <c r="X38" s="1000"/>
      <c r="Y38" s="997">
        <v>0</v>
      </c>
      <c r="Z38" s="997">
        <v>0</v>
      </c>
      <c r="AA38" s="999">
        <v>0.67848256689588038</v>
      </c>
      <c r="AB38" s="997">
        <v>0.34265515177004013</v>
      </c>
      <c r="AC38" s="997">
        <v>1.3076855954384659</v>
      </c>
    </row>
    <row r="39" spans="1:29" x14ac:dyDescent="0.25">
      <c r="A39" s="258" t="s">
        <v>88</v>
      </c>
      <c r="B39" s="236" t="s">
        <v>397</v>
      </c>
      <c r="C39" s="341">
        <v>9584.5287297691484</v>
      </c>
      <c r="D39" s="997">
        <v>3033.23446148415</v>
      </c>
      <c r="E39" s="997">
        <v>20968.256924949503</v>
      </c>
      <c r="F39" s="341">
        <v>8464.2810107769692</v>
      </c>
      <c r="G39" s="997">
        <v>1692.8562021553939</v>
      </c>
      <c r="H39" s="997">
        <v>14787.896202155394</v>
      </c>
      <c r="I39" s="341">
        <v>18048.809740546116</v>
      </c>
      <c r="J39" s="997">
        <v>4726.090663639543</v>
      </c>
      <c r="K39" s="997">
        <v>35756.153127104903</v>
      </c>
      <c r="L39" s="341">
        <v>11869.706961417576</v>
      </c>
      <c r="M39" s="997">
        <v>3453.7852068989587</v>
      </c>
      <c r="N39" s="997">
        <v>30559.380289914992</v>
      </c>
      <c r="O39" s="341">
        <v>30363.678576413047</v>
      </c>
      <c r="P39" s="997">
        <v>6072.7357152826098</v>
      </c>
      <c r="Q39" s="997">
        <v>701352.78641161928</v>
      </c>
      <c r="R39" s="341">
        <v>42233.385537830625</v>
      </c>
      <c r="S39" s="997">
        <v>9526.5209221815694</v>
      </c>
      <c r="T39" s="997">
        <v>731912.16670153441</v>
      </c>
      <c r="U39" s="341">
        <v>10022.827922076534</v>
      </c>
      <c r="V39" s="997">
        <v>3113.8964638989964</v>
      </c>
      <c r="W39" s="997">
        <v>22807.842811934097</v>
      </c>
      <c r="X39" s="341">
        <v>13123.727301337836</v>
      </c>
      <c r="Y39" s="997">
        <v>2624.7454602675675</v>
      </c>
      <c r="Z39" s="997">
        <v>160865.53241693496</v>
      </c>
      <c r="AA39" s="341">
        <v>22720.07712056956</v>
      </c>
      <c r="AB39" s="997">
        <v>5653.2970560428657</v>
      </c>
      <c r="AC39" s="997">
        <v>170219.16396819332</v>
      </c>
    </row>
    <row r="40" spans="1:29" x14ac:dyDescent="0.25">
      <c r="A40" s="258" t="s">
        <v>89</v>
      </c>
      <c r="B40" s="236" t="s">
        <v>397</v>
      </c>
      <c r="C40" s="341">
        <v>4674.8272845630163</v>
      </c>
      <c r="D40" s="997">
        <v>1928.5654569126032</v>
      </c>
      <c r="E40" s="997">
        <v>7262.4897431482623</v>
      </c>
      <c r="F40" s="341">
        <v>5974.4455187908998</v>
      </c>
      <c r="G40" s="997">
        <v>2504.3931037581801</v>
      </c>
      <c r="H40" s="997">
        <v>9706.6651037581796</v>
      </c>
      <c r="I40" s="341">
        <v>10649.272803353917</v>
      </c>
      <c r="J40" s="997">
        <v>4432.9585606707842</v>
      </c>
      <c r="K40" s="997">
        <v>16969.154846906444</v>
      </c>
      <c r="L40" s="341">
        <v>2131.2810014187971</v>
      </c>
      <c r="M40" s="997">
        <v>960.73620028375944</v>
      </c>
      <c r="N40" s="997">
        <v>3092.6094905245054</v>
      </c>
      <c r="O40" s="341">
        <v>11472.256638066072</v>
      </c>
      <c r="P40" s="997">
        <v>2294.4513276132143</v>
      </c>
      <c r="Q40" s="997">
        <v>32735.614652404944</v>
      </c>
      <c r="R40" s="341">
        <v>13603.537639484868</v>
      </c>
      <c r="S40" s="997">
        <v>3255.1875278969737</v>
      </c>
      <c r="T40" s="997">
        <v>35828.224142929444</v>
      </c>
      <c r="U40" s="341">
        <v>4186.9728730082688</v>
      </c>
      <c r="V40" s="997">
        <v>1742.9349552751532</v>
      </c>
      <c r="W40" s="997">
        <v>6462.7030475498559</v>
      </c>
      <c r="X40" s="341">
        <v>7144.1925654451925</v>
      </c>
      <c r="Y40" s="997">
        <v>2459.7246407486132</v>
      </c>
      <c r="Z40" s="997">
        <v>14606.441603470257</v>
      </c>
      <c r="AA40" s="341">
        <v>11219.891079921676</v>
      </c>
      <c r="AB40" s="997">
        <v>4205.471278998034</v>
      </c>
      <c r="AC40" s="997">
        <v>20611.796998604037</v>
      </c>
    </row>
    <row r="41" spans="1:29" x14ac:dyDescent="0.25">
      <c r="A41" s="258" t="s">
        <v>111</v>
      </c>
      <c r="B41" s="236" t="s">
        <v>398</v>
      </c>
      <c r="C41" s="341">
        <v>643.58805311383639</v>
      </c>
      <c r="D41" s="997">
        <v>400.47196827881271</v>
      </c>
      <c r="E41" s="997">
        <v>830.43815856797301</v>
      </c>
      <c r="F41" s="341">
        <v>1102.149036332768</v>
      </c>
      <c r="G41" s="997">
        <v>529.82588796250775</v>
      </c>
      <c r="H41" s="997">
        <v>1716.6761919379981</v>
      </c>
      <c r="I41" s="341">
        <v>1745.7370894466044</v>
      </c>
      <c r="J41" s="997">
        <v>930.29785624132046</v>
      </c>
      <c r="K41" s="997">
        <v>2547.1143505059708</v>
      </c>
      <c r="L41" s="341">
        <v>336.46796551960944</v>
      </c>
      <c r="M41" s="997">
        <v>99.587602945353055</v>
      </c>
      <c r="N41" s="997">
        <v>530.51384636055548</v>
      </c>
      <c r="O41" s="341">
        <v>1922.6824470208885</v>
      </c>
      <c r="P41" s="997">
        <v>1394.5090921439037</v>
      </c>
      <c r="Q41" s="997">
        <v>2312.6054431810321</v>
      </c>
      <c r="R41" s="341">
        <v>2259.1504125404981</v>
      </c>
      <c r="S41" s="997">
        <v>1494.0966950892569</v>
      </c>
      <c r="T41" s="997">
        <v>2843.1192895415875</v>
      </c>
      <c r="U41" s="341">
        <v>584.68215051523646</v>
      </c>
      <c r="V41" s="997">
        <v>342.76208268776844</v>
      </c>
      <c r="W41" s="997">
        <v>772.9124120098885</v>
      </c>
      <c r="X41" s="341">
        <v>1276.7306130749212</v>
      </c>
      <c r="Y41" s="997">
        <v>713.80103778833677</v>
      </c>
      <c r="Z41" s="997">
        <v>1843.4696496492818</v>
      </c>
      <c r="AA41" s="341">
        <v>1844.9032244551508</v>
      </c>
      <c r="AB41" s="997">
        <v>1039.1959881283876</v>
      </c>
      <c r="AC41" s="997">
        <v>2604.2879072238093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L41"/>
  <sheetViews>
    <sheetView zoomScale="70" zoomScaleNormal="70" workbookViewId="0">
      <pane xSplit="1" ySplit="3" topLeftCell="B4" activePane="bottomRight" state="frozen"/>
      <selection pane="topRight" activeCell="C1" sqref="C1"/>
      <selection pane="bottomLeft" activeCell="A5" sqref="A5"/>
      <selection pane="bottomRight"/>
    </sheetView>
  </sheetViews>
  <sheetFormatPr defaultColWidth="0" defaultRowHeight="15" zeroHeight="1" x14ac:dyDescent="0.25"/>
  <cols>
    <col min="1" max="1" width="40.28515625" style="80" customWidth="1"/>
    <col min="2" max="2" width="86.5703125" style="80" customWidth="1"/>
    <col min="3" max="3" width="72.85546875" style="80" bestFit="1" customWidth="1"/>
    <col min="4" max="4" width="42.5703125" style="80" customWidth="1"/>
    <col min="5" max="5" width="114.5703125" style="80" customWidth="1"/>
    <col min="6" max="6" width="9.140625" style="80" customWidth="1"/>
    <col min="7" max="12" width="0" style="80" hidden="1" customWidth="1"/>
    <col min="13" max="16384" width="9.140625" style="80" hidden="1"/>
  </cols>
  <sheetData>
    <row r="1" spans="1:6" s="67" customFormat="1" ht="31.5" x14ac:dyDescent="0.45">
      <c r="A1" s="102" t="s">
        <v>348</v>
      </c>
      <c r="B1" s="102"/>
      <c r="C1" s="102"/>
      <c r="D1" s="102"/>
      <c r="E1" s="102"/>
      <c r="F1" s="102"/>
    </row>
    <row r="2" spans="1:6" s="68" customFormat="1" ht="19.5" x14ac:dyDescent="0.3">
      <c r="A2" s="112"/>
      <c r="B2" s="112"/>
      <c r="C2" s="112"/>
      <c r="D2" s="112"/>
      <c r="E2" s="112"/>
      <c r="F2" s="112"/>
    </row>
    <row r="3" spans="1:6" s="69" customFormat="1" ht="21" x14ac:dyDescent="0.3">
      <c r="A3" s="112"/>
      <c r="B3" s="112" t="s">
        <v>21</v>
      </c>
      <c r="C3" s="112" t="s">
        <v>37</v>
      </c>
      <c r="D3" s="112" t="s">
        <v>1034</v>
      </c>
      <c r="E3" s="112" t="s">
        <v>7</v>
      </c>
      <c r="F3" s="112"/>
    </row>
    <row r="4" spans="1:6" s="70" customFormat="1" ht="31.5" customHeight="1" x14ac:dyDescent="0.3">
      <c r="A4" s="112" t="s">
        <v>343</v>
      </c>
      <c r="B4" s="112"/>
      <c r="C4" s="112"/>
      <c r="D4" s="112"/>
      <c r="E4" s="112"/>
      <c r="F4" s="112"/>
    </row>
    <row r="5" spans="1:6" s="73" customFormat="1" ht="39.75" customHeight="1" x14ac:dyDescent="0.25">
      <c r="A5" s="71" t="s">
        <v>345</v>
      </c>
      <c r="B5" s="72" t="s">
        <v>299</v>
      </c>
      <c r="C5" s="72" t="s">
        <v>66</v>
      </c>
      <c r="D5" s="1010" t="s">
        <v>1042</v>
      </c>
      <c r="E5" s="72" t="s">
        <v>295</v>
      </c>
    </row>
    <row r="6" spans="1:6" s="73" customFormat="1" ht="30" x14ac:dyDescent="0.25">
      <c r="A6" s="71"/>
      <c r="B6" s="72" t="s">
        <v>300</v>
      </c>
      <c r="C6" s="77" t="s">
        <v>67</v>
      </c>
      <c r="D6" s="1010"/>
      <c r="E6" s="72" t="s">
        <v>296</v>
      </c>
    </row>
    <row r="7" spans="1:6" s="73" customFormat="1" x14ac:dyDescent="0.25">
      <c r="A7" s="71"/>
      <c r="B7" s="72" t="s">
        <v>298</v>
      </c>
      <c r="C7" s="77" t="s">
        <v>122</v>
      </c>
      <c r="D7" s="1010"/>
      <c r="E7" s="72"/>
    </row>
    <row r="8" spans="1:6" s="73" customFormat="1" x14ac:dyDescent="0.25">
      <c r="A8" s="71"/>
      <c r="B8" s="72" t="s">
        <v>301</v>
      </c>
      <c r="C8" s="77" t="s">
        <v>78</v>
      </c>
      <c r="D8" s="1010"/>
      <c r="E8" s="72"/>
    </row>
    <row r="9" spans="1:6" s="76" customFormat="1" x14ac:dyDescent="0.25">
      <c r="A9" s="74"/>
      <c r="B9" s="75"/>
      <c r="C9" s="75"/>
      <c r="D9" s="75"/>
      <c r="E9" s="75"/>
    </row>
    <row r="10" spans="1:6" s="73" customFormat="1" x14ac:dyDescent="0.25">
      <c r="A10" s="71" t="s">
        <v>119</v>
      </c>
      <c r="B10" s="72" t="s">
        <v>303</v>
      </c>
      <c r="C10" s="72" t="s">
        <v>68</v>
      </c>
      <c r="D10" s="1011" t="s">
        <v>245</v>
      </c>
      <c r="E10" s="72" t="s">
        <v>302</v>
      </c>
    </row>
    <row r="11" spans="1:6" s="73" customFormat="1" ht="45" x14ac:dyDescent="0.25">
      <c r="A11" s="71"/>
      <c r="B11" s="72"/>
      <c r="C11" s="72" t="s">
        <v>69</v>
      </c>
      <c r="D11" s="1011"/>
      <c r="E11" s="72" t="s">
        <v>304</v>
      </c>
    </row>
    <row r="12" spans="1:6" s="73" customFormat="1" x14ac:dyDescent="0.25">
      <c r="A12" s="71"/>
      <c r="B12" s="72"/>
      <c r="C12" s="72" t="s">
        <v>70</v>
      </c>
      <c r="D12" s="1011"/>
      <c r="E12" s="72"/>
    </row>
    <row r="13" spans="1:6" s="76" customFormat="1" x14ac:dyDescent="0.25">
      <c r="A13" s="74"/>
      <c r="B13" s="75"/>
      <c r="C13" s="75"/>
      <c r="D13" s="75"/>
      <c r="E13" s="75"/>
    </row>
    <row r="14" spans="1:6" s="73" customFormat="1" ht="30" customHeight="1" x14ac:dyDescent="0.25">
      <c r="A14" s="71" t="s">
        <v>347</v>
      </c>
      <c r="B14" s="72" t="s">
        <v>291</v>
      </c>
      <c r="C14" s="72" t="s">
        <v>65</v>
      </c>
      <c r="D14" s="1011" t="s">
        <v>1043</v>
      </c>
      <c r="E14" s="72" t="s">
        <v>293</v>
      </c>
    </row>
    <row r="15" spans="1:6" s="73" customFormat="1" x14ac:dyDescent="0.25">
      <c r="A15" s="72"/>
      <c r="B15" s="72" t="s">
        <v>292</v>
      </c>
      <c r="C15" s="72" t="s">
        <v>290</v>
      </c>
      <c r="D15" s="1011"/>
      <c r="E15" s="72" t="s">
        <v>294</v>
      </c>
    </row>
    <row r="16" spans="1:6" s="73" customFormat="1" ht="30" x14ac:dyDescent="0.25">
      <c r="A16" s="72"/>
      <c r="B16" s="72"/>
      <c r="C16" s="72" t="s">
        <v>221</v>
      </c>
      <c r="D16" s="1011"/>
      <c r="E16" s="72" t="s">
        <v>352</v>
      </c>
    </row>
    <row r="17" spans="1:6" s="73" customFormat="1" x14ac:dyDescent="0.25">
      <c r="A17" s="72"/>
      <c r="B17" s="72"/>
      <c r="C17" s="72" t="s">
        <v>114</v>
      </c>
      <c r="D17" s="1011"/>
      <c r="E17" s="72" t="s">
        <v>1008</v>
      </c>
    </row>
    <row r="18" spans="1:6" s="73" customFormat="1" x14ac:dyDescent="0.25">
      <c r="A18" s="72"/>
      <c r="B18" s="72"/>
      <c r="C18" s="72" t="s">
        <v>1006</v>
      </c>
      <c r="D18" s="1011"/>
      <c r="E18" s="72" t="s">
        <v>1007</v>
      </c>
    </row>
    <row r="19" spans="1:6" s="76" customFormat="1" x14ac:dyDescent="0.25">
      <c r="A19" s="74"/>
      <c r="B19" s="75"/>
      <c r="C19" s="75"/>
      <c r="D19" s="75"/>
      <c r="E19" s="75"/>
    </row>
    <row r="20" spans="1:6" s="73" customFormat="1" ht="30" x14ac:dyDescent="0.25">
      <c r="A20" s="71" t="s">
        <v>120</v>
      </c>
      <c r="B20" s="72" t="s">
        <v>491</v>
      </c>
      <c r="C20" s="72" t="s">
        <v>490</v>
      </c>
      <c r="D20" s="897" t="s">
        <v>447</v>
      </c>
      <c r="E20" s="72" t="s">
        <v>489</v>
      </c>
    </row>
    <row r="21" spans="1:6" s="76" customFormat="1" x14ac:dyDescent="0.25">
      <c r="A21" s="74"/>
      <c r="B21" s="75"/>
      <c r="C21" s="75"/>
      <c r="D21" s="75"/>
      <c r="E21" s="75"/>
    </row>
    <row r="22" spans="1:6" s="73" customFormat="1" x14ac:dyDescent="0.25">
      <c r="A22" s="71" t="s">
        <v>121</v>
      </c>
      <c r="B22" s="72" t="s">
        <v>80</v>
      </c>
      <c r="C22" s="72" t="s">
        <v>305</v>
      </c>
      <c r="D22" s="1011" t="s">
        <v>445</v>
      </c>
      <c r="E22" s="72" t="s">
        <v>79</v>
      </c>
    </row>
    <row r="23" spans="1:6" s="73" customFormat="1" x14ac:dyDescent="0.25">
      <c r="A23" s="71"/>
      <c r="B23" s="72"/>
      <c r="C23" s="77" t="s">
        <v>306</v>
      </c>
      <c r="D23" s="1011"/>
      <c r="E23" s="72"/>
    </row>
    <row r="24" spans="1:6" s="899" customFormat="1" x14ac:dyDescent="0.25">
      <c r="A24" s="898"/>
      <c r="D24" s="76"/>
    </row>
    <row r="25" spans="1:6" s="68" customFormat="1" x14ac:dyDescent="0.25">
      <c r="A25" s="78"/>
      <c r="C25" s="77" t="s">
        <v>1035</v>
      </c>
      <c r="D25" s="1012" t="s">
        <v>964</v>
      </c>
    </row>
    <row r="26" spans="1:6" s="68" customFormat="1" x14ac:dyDescent="0.25">
      <c r="A26" s="71" t="s">
        <v>964</v>
      </c>
      <c r="B26" s="77" t="s">
        <v>1038</v>
      </c>
      <c r="C26" s="77" t="s">
        <v>1036</v>
      </c>
      <c r="D26" s="1012"/>
      <c r="E26" s="77" t="s">
        <v>1041</v>
      </c>
    </row>
    <row r="27" spans="1:6" s="68" customFormat="1" x14ac:dyDescent="0.25">
      <c r="A27" s="78"/>
      <c r="C27" s="77" t="s">
        <v>1037</v>
      </c>
      <c r="D27" s="1012"/>
    </row>
    <row r="28" spans="1:6" s="68" customFormat="1" x14ac:dyDescent="0.25">
      <c r="A28" s="78"/>
      <c r="D28" s="1012"/>
    </row>
    <row r="29" spans="1:6" s="70" customFormat="1" ht="31.5" customHeight="1" x14ac:dyDescent="0.3">
      <c r="A29" s="112" t="s">
        <v>344</v>
      </c>
      <c r="B29" s="112"/>
      <c r="C29" s="112"/>
      <c r="D29" s="112"/>
      <c r="E29" s="112"/>
      <c r="F29" s="112"/>
    </row>
    <row r="30" spans="1:6" s="73" customFormat="1" ht="47.25" customHeight="1" x14ac:dyDescent="0.25">
      <c r="A30" s="71" t="s">
        <v>346</v>
      </c>
      <c r="B30" s="72" t="s">
        <v>38</v>
      </c>
      <c r="C30" s="72" t="s">
        <v>64</v>
      </c>
      <c r="D30" s="897" t="s">
        <v>1039</v>
      </c>
      <c r="E30" s="72" t="s">
        <v>297</v>
      </c>
    </row>
    <row r="31" spans="1:6" s="73" customFormat="1" ht="36.75" customHeight="1" x14ac:dyDescent="0.25">
      <c r="A31" s="71" t="s">
        <v>680</v>
      </c>
      <c r="B31" s="72" t="s">
        <v>681</v>
      </c>
      <c r="C31" s="72" t="s">
        <v>682</v>
      </c>
      <c r="D31" s="897" t="s">
        <v>1040</v>
      </c>
      <c r="E31" s="72" t="s">
        <v>683</v>
      </c>
    </row>
    <row r="32" spans="1:6" s="73" customFormat="1" x14ac:dyDescent="0.25">
      <c r="A32" s="71"/>
      <c r="B32" s="72"/>
      <c r="C32" s="72"/>
      <c r="D32" s="72"/>
      <c r="E32" s="72"/>
    </row>
    <row r="33" spans="1:5" s="76" customFormat="1" x14ac:dyDescent="0.25">
      <c r="A33" s="74"/>
      <c r="B33" s="75"/>
      <c r="C33" s="75"/>
      <c r="D33" s="75"/>
      <c r="E33" s="75"/>
    </row>
    <row r="34" spans="1:5" s="73" customFormat="1" x14ac:dyDescent="0.25">
      <c r="A34" s="79"/>
    </row>
    <row r="35" spans="1:5" s="68" customFormat="1" x14ac:dyDescent="0.25">
      <c r="A35" s="78"/>
    </row>
    <row r="36" spans="1:5" x14ac:dyDescent="0.25"/>
    <row r="37" spans="1:5" x14ac:dyDescent="0.25"/>
    <row r="38" spans="1:5" x14ac:dyDescent="0.25"/>
    <row r="39" spans="1:5" x14ac:dyDescent="0.25"/>
    <row r="40" spans="1:5" x14ac:dyDescent="0.25"/>
    <row r="41" spans="1:5" x14ac:dyDescent="0.25"/>
  </sheetData>
  <mergeCells count="5">
    <mergeCell ref="D5:D8"/>
    <mergeCell ref="D10:D12"/>
    <mergeCell ref="D22:D23"/>
    <mergeCell ref="D25:D28"/>
    <mergeCell ref="D14:D18"/>
  </mergeCells>
  <pageMargins left="0.7" right="0.7" top="0.75" bottom="0.75" header="0.3" footer="0.3"/>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I29"/>
  <sheetViews>
    <sheetView zoomScale="70" zoomScaleNormal="70" workbookViewId="0"/>
  </sheetViews>
  <sheetFormatPr defaultRowHeight="15" x14ac:dyDescent="0.25"/>
  <cols>
    <col min="1" max="1" width="61.7109375" customWidth="1"/>
    <col min="2" max="2" width="16.85546875" customWidth="1"/>
    <col min="3" max="3" width="14.7109375" customWidth="1"/>
    <col min="12" max="12" width="10.7109375" customWidth="1"/>
    <col min="14" max="14" width="12.85546875" customWidth="1"/>
    <col min="29" max="29" width="12" bestFit="1" customWidth="1"/>
    <col min="31" max="31" width="10.85546875" bestFit="1" customWidth="1"/>
  </cols>
  <sheetData>
    <row r="1" spans="1:31" ht="28.5" x14ac:dyDescent="0.45">
      <c r="A1" s="102" t="s">
        <v>379</v>
      </c>
      <c r="B1" s="103"/>
      <c r="C1" s="103"/>
      <c r="D1" s="103"/>
      <c r="E1" s="103"/>
      <c r="F1" s="103"/>
      <c r="G1" s="103"/>
      <c r="H1" s="103"/>
      <c r="I1" s="103"/>
      <c r="J1" s="103"/>
      <c r="K1" s="103"/>
      <c r="L1" s="103"/>
      <c r="M1" s="102"/>
      <c r="N1" s="102"/>
      <c r="O1" s="102"/>
      <c r="P1" s="102"/>
      <c r="Q1" s="102"/>
      <c r="R1" s="102"/>
      <c r="S1" s="102"/>
      <c r="T1" s="102"/>
      <c r="U1" s="102"/>
      <c r="V1" s="102"/>
      <c r="W1" s="103"/>
      <c r="X1" s="102"/>
      <c r="Y1" s="102"/>
      <c r="Z1" s="102"/>
      <c r="AA1" s="102"/>
      <c r="AB1" s="103"/>
      <c r="AC1" s="103"/>
      <c r="AD1" s="103"/>
      <c r="AE1" s="103"/>
    </row>
    <row r="2" spans="1:31" ht="19.5" customHeight="1" x14ac:dyDescent="0.3">
      <c r="A2" s="112"/>
      <c r="B2" s="112"/>
      <c r="C2" s="166" t="s">
        <v>75</v>
      </c>
      <c r="D2" s="166"/>
      <c r="E2" s="166"/>
      <c r="F2" s="166"/>
      <c r="G2" s="166"/>
      <c r="H2" s="166"/>
      <c r="I2" s="166"/>
      <c r="J2" s="166"/>
      <c r="K2" s="166"/>
      <c r="L2" s="166"/>
      <c r="M2" s="166"/>
      <c r="N2" s="166"/>
      <c r="O2" s="166"/>
      <c r="P2" s="166"/>
      <c r="Q2" s="166"/>
      <c r="R2" s="166"/>
      <c r="S2" s="166"/>
      <c r="T2" s="173" t="s">
        <v>76</v>
      </c>
      <c r="U2" s="173"/>
      <c r="V2" s="173"/>
      <c r="W2" s="173"/>
      <c r="X2" s="173"/>
      <c r="Y2" s="173"/>
      <c r="Z2" s="173"/>
      <c r="AA2" s="173"/>
      <c r="AB2" s="173"/>
      <c r="AC2" s="173"/>
      <c r="AD2" s="173"/>
      <c r="AE2" s="173"/>
    </row>
    <row r="3" spans="1:31" ht="20.25" thickBot="1" x14ac:dyDescent="0.35">
      <c r="A3" s="112" t="s">
        <v>392</v>
      </c>
      <c r="B3" s="112"/>
      <c r="C3" s="108" t="s">
        <v>133</v>
      </c>
      <c r="D3" s="230"/>
      <c r="E3" s="230"/>
      <c r="F3" s="230"/>
      <c r="G3" s="230"/>
      <c r="H3" s="60"/>
      <c r="I3" s="60"/>
      <c r="J3" s="60"/>
      <c r="K3" s="60"/>
      <c r="L3" s="60"/>
      <c r="M3" s="60"/>
      <c r="N3" s="60"/>
      <c r="O3" s="60"/>
      <c r="P3" s="60"/>
      <c r="Q3" s="60"/>
      <c r="R3" s="60"/>
      <c r="S3" s="60"/>
      <c r="T3" s="108" t="s">
        <v>134</v>
      </c>
      <c r="U3" s="60"/>
      <c r="V3" s="60"/>
      <c r="W3" s="60"/>
      <c r="X3" s="230"/>
      <c r="Y3" s="60"/>
      <c r="Z3" s="60"/>
      <c r="AA3" s="60"/>
      <c r="AB3" s="60"/>
      <c r="AC3" s="60"/>
      <c r="AD3" s="60"/>
      <c r="AE3" s="60"/>
    </row>
    <row r="4" spans="1:31" ht="60" x14ac:dyDescent="0.25">
      <c r="A4" s="231" t="s">
        <v>325</v>
      </c>
      <c r="B4" s="231"/>
      <c r="C4" s="131" t="s">
        <v>123</v>
      </c>
      <c r="D4" s="131" t="s">
        <v>430</v>
      </c>
      <c r="E4" s="131" t="s">
        <v>431</v>
      </c>
      <c r="F4" s="232" t="s">
        <v>124</v>
      </c>
      <c r="G4" s="232" t="s">
        <v>427</v>
      </c>
      <c r="H4" s="131" t="s">
        <v>125</v>
      </c>
      <c r="I4" s="131" t="s">
        <v>126</v>
      </c>
      <c r="J4" s="131" t="s">
        <v>386</v>
      </c>
      <c r="K4" s="131" t="s">
        <v>428</v>
      </c>
      <c r="L4" s="131" t="s">
        <v>429</v>
      </c>
      <c r="M4" s="411" t="s">
        <v>426</v>
      </c>
      <c r="T4" s="131" t="s">
        <v>123</v>
      </c>
      <c r="U4" s="131" t="s">
        <v>430</v>
      </c>
      <c r="V4" s="131" t="s">
        <v>431</v>
      </c>
      <c r="W4" s="232" t="s">
        <v>124</v>
      </c>
      <c r="X4" s="232" t="s">
        <v>427</v>
      </c>
      <c r="Y4" s="131" t="s">
        <v>125</v>
      </c>
      <c r="Z4" s="131" t="s">
        <v>126</v>
      </c>
      <c r="AA4" s="131" t="s">
        <v>386</v>
      </c>
      <c r="AB4" s="131" t="s">
        <v>428</v>
      </c>
      <c r="AC4" s="131" t="s">
        <v>429</v>
      </c>
      <c r="AD4" s="411" t="s">
        <v>426</v>
      </c>
      <c r="AE4" s="30"/>
    </row>
    <row r="5" spans="1:31" x14ac:dyDescent="0.25">
      <c r="A5" s="9" t="s">
        <v>71</v>
      </c>
      <c r="B5" s="9"/>
      <c r="C5" s="276">
        <v>0.59</v>
      </c>
      <c r="D5" s="277">
        <f>(C5+2)/5</f>
        <v>0.51800000000000002</v>
      </c>
      <c r="E5" s="278">
        <f>(D5*100)/D$14</f>
        <v>16.698903932946486</v>
      </c>
      <c r="F5" s="279">
        <v>0.56000000000000005</v>
      </c>
      <c r="G5" s="278">
        <f>(F5*100)/F$14</f>
        <v>19.444444444444446</v>
      </c>
      <c r="H5" s="280">
        <v>0.28999999999999998</v>
      </c>
      <c r="I5" s="280">
        <v>7.0000000000000007E-2</v>
      </c>
      <c r="J5" s="212">
        <f>H5-I5</f>
        <v>0.21999999999999997</v>
      </c>
      <c r="K5" s="285">
        <f>(J5+1/2)</f>
        <v>0.72</v>
      </c>
      <c r="L5" s="286">
        <f>(K5*100)/K$14</f>
        <v>20.512820512820515</v>
      </c>
      <c r="M5" s="408">
        <f>AVERAGE(E5,G5,L5)</f>
        <v>18.885389630070481</v>
      </c>
      <c r="T5" s="9">
        <v>0.48</v>
      </c>
      <c r="U5" s="277">
        <f>(T5+2)/5</f>
        <v>0.496</v>
      </c>
      <c r="V5" s="278">
        <f>(U5*100)/U$14</f>
        <v>18.902439024390247</v>
      </c>
      <c r="W5" s="233">
        <v>0.54</v>
      </c>
      <c r="X5" s="278">
        <f>(W5*100)/W$14</f>
        <v>20.769230769230774</v>
      </c>
      <c r="Y5" s="234">
        <v>0.28999999999999998</v>
      </c>
      <c r="Z5" s="234">
        <v>0.05</v>
      </c>
      <c r="AA5" s="290">
        <f>Y5-Z5</f>
        <v>0.24</v>
      </c>
      <c r="AB5" s="285">
        <f>(AA5+1/2)</f>
        <v>0.74</v>
      </c>
      <c r="AC5" s="286">
        <f>(AB5*100)/AB$14</f>
        <v>24.503311258278142</v>
      </c>
      <c r="AD5" s="408">
        <f>AVERAGE(V5,X5,AC5)</f>
        <v>21.391660350633057</v>
      </c>
      <c r="AE5" s="5"/>
    </row>
    <row r="6" spans="1:31" x14ac:dyDescent="0.25">
      <c r="A6" s="9" t="s">
        <v>74</v>
      </c>
      <c r="B6" s="9"/>
      <c r="C6" s="276">
        <v>0.22</v>
      </c>
      <c r="D6" s="277">
        <f t="shared" ref="D6:D12" si="0">(C6+2)/5</f>
        <v>0.44400000000000006</v>
      </c>
      <c r="E6" s="278">
        <f t="shared" ref="E6:E12" si="1">(D6*100)/D$14</f>
        <v>14.313346228239846</v>
      </c>
      <c r="F6" s="279">
        <v>0.43</v>
      </c>
      <c r="G6" s="278">
        <f>(F6*100)/F$14</f>
        <v>14.930555555555555</v>
      </c>
      <c r="H6" s="280">
        <v>0.27</v>
      </c>
      <c r="I6" s="280">
        <v>0.19</v>
      </c>
      <c r="J6" s="212">
        <f t="shared" ref="J6:J12" si="2">H6-I6</f>
        <v>8.0000000000000016E-2</v>
      </c>
      <c r="K6" s="285">
        <f>(J6+1/2)</f>
        <v>0.58000000000000007</v>
      </c>
      <c r="L6" s="286">
        <f>(K6*100)/K$14</f>
        <v>16.524216524216527</v>
      </c>
      <c r="M6" s="408">
        <f t="shared" ref="M6:M12" si="3">AVERAGE(E6,G6,L6)</f>
        <v>15.256039436003975</v>
      </c>
      <c r="T6" s="9">
        <v>0.34</v>
      </c>
      <c r="U6" s="277">
        <f t="shared" ref="U6:U12" si="4">(T6+2)/5</f>
        <v>0.46799999999999997</v>
      </c>
      <c r="V6" s="278">
        <f>(U6*100)/U$14</f>
        <v>17.835365853658537</v>
      </c>
      <c r="W6" s="233">
        <v>0.51</v>
      </c>
      <c r="X6" s="278">
        <f>(W6*100)/W$14</f>
        <v>19.615384615384617</v>
      </c>
      <c r="Y6" s="234">
        <v>0.27</v>
      </c>
      <c r="Z6" s="234">
        <v>0.2</v>
      </c>
      <c r="AA6" s="290">
        <f t="shared" ref="AA6:AA12" si="5">Y6-Z6</f>
        <v>7.0000000000000007E-2</v>
      </c>
      <c r="AB6" s="285">
        <f>(AA6+1/2)</f>
        <v>0.57000000000000006</v>
      </c>
      <c r="AC6" s="286">
        <f>(AB6*100)/AB$14</f>
        <v>18.874172185430464</v>
      </c>
      <c r="AD6" s="408">
        <f t="shared" ref="AD6:AD12" si="6">AVERAGE(V6,X6,AC6)</f>
        <v>18.774974218157876</v>
      </c>
      <c r="AE6" s="5"/>
    </row>
    <row r="7" spans="1:31" x14ac:dyDescent="0.25">
      <c r="A7" s="9" t="s">
        <v>230</v>
      </c>
      <c r="B7" s="9"/>
      <c r="C7" s="276">
        <v>0.46</v>
      </c>
      <c r="D7" s="277">
        <f t="shared" si="0"/>
        <v>0.49199999999999999</v>
      </c>
      <c r="E7" s="278">
        <f t="shared" si="1"/>
        <v>15.860735009671179</v>
      </c>
      <c r="F7" s="279">
        <v>0.51</v>
      </c>
      <c r="G7" s="278">
        <f>(F7*100)/F$14</f>
        <v>17.708333333333336</v>
      </c>
      <c r="H7" s="280">
        <v>0.1</v>
      </c>
      <c r="I7" s="280">
        <v>0.12</v>
      </c>
      <c r="J7" s="212">
        <f t="shared" si="2"/>
        <v>-1.999999999999999E-2</v>
      </c>
      <c r="K7" s="285">
        <f>(J7+1/2)</f>
        <v>0.48</v>
      </c>
      <c r="L7" s="286">
        <f>(K7*100)/K$14</f>
        <v>13.675213675213676</v>
      </c>
      <c r="M7" s="408">
        <f t="shared" si="3"/>
        <v>15.748094006072732</v>
      </c>
      <c r="T7" s="9">
        <v>0.28000000000000003</v>
      </c>
      <c r="U7" s="277">
        <f t="shared" si="4"/>
        <v>0.45600000000000007</v>
      </c>
      <c r="V7" s="278">
        <f>(U7*100)/U$14</f>
        <v>17.378048780487809</v>
      </c>
      <c r="W7" s="233">
        <v>0.48</v>
      </c>
      <c r="X7" s="278">
        <f>(W7*100)/W$14</f>
        <v>18.461538461538463</v>
      </c>
      <c r="Y7" s="234">
        <v>0.11</v>
      </c>
      <c r="Z7" s="234">
        <v>0.17</v>
      </c>
      <c r="AA7" s="290">
        <f t="shared" si="5"/>
        <v>-6.0000000000000012E-2</v>
      </c>
      <c r="AB7" s="285">
        <f>(AA7+1/2)</f>
        <v>0.44</v>
      </c>
      <c r="AC7" s="286">
        <f>(AB7*100)/AB$14</f>
        <v>14.569536423841058</v>
      </c>
      <c r="AD7" s="408">
        <f t="shared" si="6"/>
        <v>16.803041221955777</v>
      </c>
      <c r="AE7" s="5"/>
    </row>
    <row r="8" spans="1:31" x14ac:dyDescent="0.25">
      <c r="A8" s="9" t="s">
        <v>233</v>
      </c>
      <c r="B8" s="9"/>
      <c r="C8" s="276">
        <v>0.18</v>
      </c>
      <c r="D8" s="277">
        <f t="shared" si="0"/>
        <v>0.43600000000000005</v>
      </c>
      <c r="E8" s="278">
        <f t="shared" si="1"/>
        <v>14.055448098001291</v>
      </c>
      <c r="F8" s="279">
        <v>0.39</v>
      </c>
      <c r="G8" s="278">
        <f>(F8*100)/F$14</f>
        <v>13.541666666666668</v>
      </c>
      <c r="H8" s="280">
        <v>0.1</v>
      </c>
      <c r="I8" s="280">
        <v>0.06</v>
      </c>
      <c r="J8" s="212">
        <f t="shared" si="2"/>
        <v>4.0000000000000008E-2</v>
      </c>
      <c r="K8" s="285">
        <f>(J8+1/2)</f>
        <v>0.54</v>
      </c>
      <c r="L8" s="286">
        <f>(K8*100)/K$14</f>
        <v>15.384615384615385</v>
      </c>
      <c r="M8" s="408">
        <f t="shared" si="3"/>
        <v>14.327243383094448</v>
      </c>
      <c r="T8" s="60"/>
      <c r="U8" s="60"/>
      <c r="V8" s="60"/>
      <c r="W8" s="235"/>
      <c r="X8" s="235"/>
      <c r="Y8" s="60"/>
      <c r="Z8" s="60"/>
      <c r="AA8" s="291"/>
      <c r="AB8" s="291"/>
      <c r="AC8" s="291"/>
      <c r="AD8" s="538"/>
      <c r="AE8" s="5"/>
    </row>
    <row r="9" spans="1:31" x14ac:dyDescent="0.25">
      <c r="A9" s="64" t="s">
        <v>232</v>
      </c>
      <c r="B9" s="64"/>
      <c r="C9" s="109"/>
      <c r="D9" s="18"/>
      <c r="E9" s="281"/>
      <c r="F9" s="282"/>
      <c r="G9" s="19"/>
      <c r="H9" s="109"/>
      <c r="I9" s="109"/>
      <c r="J9" s="199"/>
      <c r="K9" s="209"/>
      <c r="L9" s="208"/>
      <c r="M9" s="537"/>
      <c r="T9" s="9">
        <v>0.34</v>
      </c>
      <c r="U9" s="277">
        <f t="shared" si="4"/>
        <v>0.46799999999999997</v>
      </c>
      <c r="V9" s="278">
        <f>(U9*100)/U$14</f>
        <v>17.835365853658537</v>
      </c>
      <c r="W9" s="233">
        <v>0.52</v>
      </c>
      <c r="X9" s="278">
        <f>(W9*100)/W$14</f>
        <v>20.000000000000004</v>
      </c>
      <c r="Y9" s="234">
        <v>0.19</v>
      </c>
      <c r="Z9" s="234">
        <v>0.16</v>
      </c>
      <c r="AA9" s="290">
        <f>Y9-Z9</f>
        <v>0.03</v>
      </c>
      <c r="AB9" s="285">
        <f>(AA9+1/2)</f>
        <v>0.53</v>
      </c>
      <c r="AC9" s="286">
        <f>(AB9*100)/AB$14</f>
        <v>17.549668874172184</v>
      </c>
      <c r="AD9" s="408">
        <f t="shared" si="6"/>
        <v>18.461678242610244</v>
      </c>
      <c r="AE9" s="5"/>
    </row>
    <row r="10" spans="1:31" x14ac:dyDescent="0.25">
      <c r="A10" s="9" t="s">
        <v>72</v>
      </c>
      <c r="B10" s="9"/>
      <c r="C10" s="276">
        <v>0.01</v>
      </c>
      <c r="D10" s="277">
        <f t="shared" si="0"/>
        <v>0.40199999999999997</v>
      </c>
      <c r="E10" s="278">
        <f t="shared" si="1"/>
        <v>12.959381044487424</v>
      </c>
      <c r="F10" s="279">
        <v>0.34</v>
      </c>
      <c r="G10" s="278">
        <f>(F10*100)/F$14</f>
        <v>11.805555555555555</v>
      </c>
      <c r="H10" s="280">
        <v>0.13</v>
      </c>
      <c r="I10" s="280">
        <v>0.16</v>
      </c>
      <c r="J10" s="212">
        <f t="shared" si="2"/>
        <v>-0.03</v>
      </c>
      <c r="K10" s="285">
        <f>(J10+1/2)</f>
        <v>0.47</v>
      </c>
      <c r="L10" s="286">
        <f>(K10*100)/K$14</f>
        <v>13.390313390313391</v>
      </c>
      <c r="M10" s="408">
        <f t="shared" si="3"/>
        <v>12.718416663452123</v>
      </c>
      <c r="T10" s="60"/>
      <c r="U10" s="60"/>
      <c r="V10" s="60"/>
      <c r="W10" s="235"/>
      <c r="X10" s="235"/>
      <c r="Y10" s="60"/>
      <c r="Z10" s="60"/>
      <c r="AA10" s="291"/>
      <c r="AB10" s="291"/>
      <c r="AC10" s="291"/>
      <c r="AD10" s="538"/>
      <c r="AE10" s="5"/>
    </row>
    <row r="11" spans="1:31" x14ac:dyDescent="0.25">
      <c r="A11" s="9" t="s">
        <v>73</v>
      </c>
      <c r="B11" s="9"/>
      <c r="C11" s="276">
        <v>-0.03</v>
      </c>
      <c r="D11" s="277">
        <f t="shared" si="0"/>
        <v>0.39400000000000002</v>
      </c>
      <c r="E11" s="278">
        <f t="shared" si="1"/>
        <v>12.701482914248871</v>
      </c>
      <c r="F11" s="279">
        <v>0.35</v>
      </c>
      <c r="G11" s="278">
        <f>(F11*100)/F$14</f>
        <v>12.152777777777779</v>
      </c>
      <c r="H11" s="280">
        <v>7.0000000000000007E-2</v>
      </c>
      <c r="I11" s="280">
        <v>0.25</v>
      </c>
      <c r="J11" s="212">
        <f t="shared" si="2"/>
        <v>-0.18</v>
      </c>
      <c r="K11" s="285">
        <f>(J11+1/2)</f>
        <v>0.32</v>
      </c>
      <c r="L11" s="286">
        <f>(K11*100)/K$14</f>
        <v>9.116809116809117</v>
      </c>
      <c r="M11" s="408">
        <f t="shared" si="3"/>
        <v>11.323689936278589</v>
      </c>
      <c r="T11" s="9">
        <v>-0.3</v>
      </c>
      <c r="U11" s="277">
        <f t="shared" si="4"/>
        <v>0.33999999999999997</v>
      </c>
      <c r="V11" s="278">
        <f>(U11*100)/U$14</f>
        <v>12.957317073170733</v>
      </c>
      <c r="W11" s="233">
        <v>0.26</v>
      </c>
      <c r="X11" s="278">
        <f>(W11*100)/W$14</f>
        <v>10.000000000000002</v>
      </c>
      <c r="Y11" s="234">
        <v>0.08</v>
      </c>
      <c r="Z11" s="234">
        <v>0.25</v>
      </c>
      <c r="AA11" s="290">
        <f t="shared" si="5"/>
        <v>-0.16999999999999998</v>
      </c>
      <c r="AB11" s="285">
        <f>(AA11+1/2)</f>
        <v>0.33</v>
      </c>
      <c r="AC11" s="286">
        <f>(AB11*100)/AB$14</f>
        <v>10.927152317880793</v>
      </c>
      <c r="AD11" s="408">
        <f t="shared" si="6"/>
        <v>11.294823130350508</v>
      </c>
      <c r="AE11" s="5"/>
    </row>
    <row r="12" spans="1:31" x14ac:dyDescent="0.25">
      <c r="A12" s="9" t="s">
        <v>129</v>
      </c>
      <c r="B12" s="9"/>
      <c r="C12" s="276">
        <v>0.08</v>
      </c>
      <c r="D12" s="277">
        <f t="shared" si="0"/>
        <v>0.41600000000000004</v>
      </c>
      <c r="E12" s="278">
        <f t="shared" si="1"/>
        <v>13.4107027724049</v>
      </c>
      <c r="F12" s="279">
        <v>0.3</v>
      </c>
      <c r="G12" s="278">
        <f>(F12*100)/F$14</f>
        <v>10.416666666666668</v>
      </c>
      <c r="H12" s="280">
        <v>0.05</v>
      </c>
      <c r="I12" s="280">
        <v>0.15</v>
      </c>
      <c r="J12" s="212">
        <f t="shared" si="2"/>
        <v>-9.9999999999999992E-2</v>
      </c>
      <c r="K12" s="285">
        <f>(J12+1/2)</f>
        <v>0.4</v>
      </c>
      <c r="L12" s="286">
        <f>(K12*100)/K$14</f>
        <v>11.396011396011398</v>
      </c>
      <c r="M12" s="408">
        <f t="shared" si="3"/>
        <v>11.741126945027654</v>
      </c>
      <c r="T12" s="9">
        <v>-0.02</v>
      </c>
      <c r="U12" s="277">
        <f t="shared" si="4"/>
        <v>0.39600000000000002</v>
      </c>
      <c r="V12" s="278">
        <f>(U12*100)/U$14</f>
        <v>15.091463414634148</v>
      </c>
      <c r="W12" s="233">
        <v>0.28999999999999998</v>
      </c>
      <c r="X12" s="278">
        <f>(W12*100)/W$14</f>
        <v>11.153846153846153</v>
      </c>
      <c r="Y12" s="234">
        <v>7.0000000000000007E-2</v>
      </c>
      <c r="Z12" s="234">
        <v>0.16</v>
      </c>
      <c r="AA12" s="290">
        <f t="shared" si="5"/>
        <v>-0.09</v>
      </c>
      <c r="AB12" s="285">
        <f>(AA12+1/2)</f>
        <v>0.41000000000000003</v>
      </c>
      <c r="AC12" s="286">
        <f>(AB12*100)/AB$14</f>
        <v>13.576158940397349</v>
      </c>
      <c r="AD12" s="408">
        <f t="shared" si="6"/>
        <v>13.273822836292551</v>
      </c>
      <c r="AE12" s="5"/>
    </row>
    <row r="13" spans="1:31" x14ac:dyDescent="0.25">
      <c r="A13" s="9"/>
      <c r="B13" s="9"/>
      <c r="C13" s="276"/>
      <c r="D13" s="277"/>
      <c r="E13" s="278"/>
      <c r="F13" s="279"/>
      <c r="G13" s="278"/>
      <c r="H13" s="280"/>
      <c r="I13" s="280"/>
      <c r="J13" s="212"/>
      <c r="K13" s="285"/>
      <c r="L13" s="286"/>
      <c r="M13" s="408"/>
      <c r="T13" s="9"/>
      <c r="U13" s="277"/>
      <c r="V13" s="278"/>
      <c r="W13" s="233"/>
      <c r="X13" s="278"/>
      <c r="Y13" s="234"/>
      <c r="Z13" s="234"/>
      <c r="AA13" s="290"/>
      <c r="AB13" s="285"/>
      <c r="AC13" s="286"/>
      <c r="AD13" s="408"/>
      <c r="AE13" s="5"/>
    </row>
    <row r="14" spans="1:31" ht="15.75" thickBot="1" x14ac:dyDescent="0.3">
      <c r="A14" s="5"/>
      <c r="B14" s="5"/>
      <c r="C14" s="5"/>
      <c r="D14" s="283">
        <f>SUM(D5:D12)</f>
        <v>3.1020000000000003</v>
      </c>
      <c r="E14" s="284">
        <f>SUM(E5:E12)</f>
        <v>100</v>
      </c>
      <c r="F14" s="283">
        <f>SUM(F5:F12)</f>
        <v>2.88</v>
      </c>
      <c r="G14" s="284">
        <f>SUM(G5:G12)</f>
        <v>100.00000000000001</v>
      </c>
      <c r="H14" s="5"/>
      <c r="I14" s="5"/>
      <c r="J14" s="176"/>
      <c r="K14" s="287">
        <f>SUM(K5:K12)</f>
        <v>3.51</v>
      </c>
      <c r="L14" s="275">
        <f>SUM(L5:L12)</f>
        <v>100.00000000000001</v>
      </c>
      <c r="M14" s="410">
        <f>SUM(M5:M12)</f>
        <v>100</v>
      </c>
      <c r="T14" s="5"/>
      <c r="U14" s="283">
        <f>SUM(U5:U12)</f>
        <v>2.6239999999999997</v>
      </c>
      <c r="V14" s="284">
        <f>SUM(V5:V12)</f>
        <v>100.00000000000001</v>
      </c>
      <c r="W14" s="289">
        <f>SUM(W5:W12)</f>
        <v>2.5999999999999996</v>
      </c>
      <c r="X14" s="284">
        <f>SUM(X5:X12)</f>
        <v>100</v>
      </c>
      <c r="Y14" s="5"/>
      <c r="Z14" s="5"/>
      <c r="AA14" s="176"/>
      <c r="AB14" s="287">
        <f>SUM(AB5:AB12)</f>
        <v>3.0200000000000005</v>
      </c>
      <c r="AC14" s="275">
        <f>SUM(AC5:AC12)</f>
        <v>99.999999999999986</v>
      </c>
      <c r="AD14" s="410">
        <f>SUM(AD5:AD12)</f>
        <v>100.00000000000001</v>
      </c>
      <c r="AE14" s="5"/>
    </row>
    <row r="15" spans="1:31" x14ac:dyDescent="0.25">
      <c r="A15" s="10"/>
      <c r="B15" s="163"/>
      <c r="C15" s="175"/>
      <c r="D15" s="175"/>
      <c r="E15" s="175"/>
      <c r="F15" s="163"/>
      <c r="G15" s="163"/>
      <c r="H15" s="163"/>
      <c r="I15" s="163"/>
      <c r="J15" s="10"/>
      <c r="K15" s="10"/>
      <c r="L15" s="10"/>
      <c r="M15" s="10"/>
      <c r="T15" s="175"/>
      <c r="U15" s="175"/>
      <c r="V15" s="10"/>
      <c r="W15" s="163"/>
      <c r="X15" s="10"/>
      <c r="Y15" s="10"/>
      <c r="Z15" s="10"/>
      <c r="AA15" s="10"/>
      <c r="AB15" s="10"/>
      <c r="AC15" s="10"/>
      <c r="AD15" s="175"/>
    </row>
    <row r="16" spans="1:31" x14ac:dyDescent="0.25">
      <c r="A16" s="60"/>
      <c r="B16" s="60"/>
      <c r="C16" s="60"/>
      <c r="D16" s="110"/>
      <c r="E16" s="110"/>
      <c r="F16" s="110"/>
      <c r="G16" s="110"/>
      <c r="H16" s="110"/>
      <c r="I16" s="110"/>
      <c r="J16" s="111"/>
      <c r="K16" s="110"/>
      <c r="L16" s="110"/>
      <c r="M16" s="110"/>
      <c r="N16" s="110"/>
      <c r="O16" s="110"/>
      <c r="P16" s="110"/>
      <c r="Q16" s="110"/>
      <c r="R16" s="110"/>
      <c r="S16" s="110"/>
      <c r="T16" s="38"/>
      <c r="U16" s="111"/>
      <c r="V16" s="110"/>
      <c r="W16" s="110"/>
      <c r="X16" s="110"/>
      <c r="Y16" s="110"/>
      <c r="Z16" s="110"/>
      <c r="AA16" s="110"/>
      <c r="AB16" s="110"/>
      <c r="AC16" s="110"/>
      <c r="AD16" s="110"/>
      <c r="AE16" s="9"/>
    </row>
    <row r="17" spans="1:35" ht="19.5" x14ac:dyDescent="0.3">
      <c r="A17" s="112" t="s">
        <v>362</v>
      </c>
      <c r="B17" s="60"/>
      <c r="C17" s="60"/>
      <c r="D17" s="242"/>
      <c r="E17" s="241"/>
      <c r="F17" s="241"/>
      <c r="G17" s="241"/>
      <c r="H17" s="241"/>
      <c r="I17" s="241"/>
      <c r="J17" s="243"/>
      <c r="K17" s="110"/>
      <c r="L17" s="110"/>
      <c r="M17" s="110"/>
      <c r="N17" s="110"/>
      <c r="O17" s="110"/>
      <c r="P17" s="110"/>
      <c r="Q17" s="110"/>
      <c r="R17" s="110"/>
      <c r="S17" s="110"/>
      <c r="T17" s="38"/>
      <c r="U17" s="111"/>
      <c r="V17" s="110"/>
      <c r="W17" s="110"/>
      <c r="X17" s="110"/>
      <c r="Y17" s="110"/>
      <c r="Z17" s="110"/>
      <c r="AA17" s="110"/>
      <c r="AB17" s="110"/>
      <c r="AC17" s="110"/>
      <c r="AD17" s="110"/>
      <c r="AE17" s="60"/>
      <c r="AF17" s="648"/>
      <c r="AG17" s="648"/>
      <c r="AH17" s="648"/>
      <c r="AI17" s="648"/>
    </row>
    <row r="18" spans="1:35" ht="15.75" customHeight="1" thickBot="1" x14ac:dyDescent="0.3">
      <c r="A18" s="60"/>
      <c r="B18" s="63"/>
      <c r="C18" s="129" t="s">
        <v>988</v>
      </c>
      <c r="D18" s="648"/>
      <c r="E18" s="193"/>
      <c r="F18" s="193"/>
      <c r="G18" s="129" t="s">
        <v>987</v>
      </c>
      <c r="H18" s="129"/>
      <c r="I18" s="130"/>
      <c r="J18" s="1014" t="s">
        <v>393</v>
      </c>
      <c r="K18" s="1014" t="s">
        <v>500</v>
      </c>
      <c r="L18" s="648"/>
      <c r="M18" s="648"/>
      <c r="N18" s="648"/>
      <c r="O18" s="60"/>
      <c r="P18" s="1013" t="s">
        <v>333</v>
      </c>
      <c r="Q18" s="60"/>
      <c r="R18" s="60"/>
      <c r="S18" s="60"/>
      <c r="T18" s="129" t="s">
        <v>988</v>
      </c>
      <c r="U18" s="648"/>
      <c r="V18" s="193"/>
      <c r="W18" s="193"/>
      <c r="X18" s="129" t="s">
        <v>987</v>
      </c>
      <c r="Y18" s="129"/>
      <c r="Z18" s="130"/>
      <c r="AA18" s="1014" t="s">
        <v>393</v>
      </c>
      <c r="AB18" s="1014" t="s">
        <v>500</v>
      </c>
      <c r="AC18" s="648"/>
      <c r="AD18" s="648"/>
      <c r="AE18" s="648"/>
      <c r="AF18" s="648"/>
      <c r="AG18" s="1013" t="s">
        <v>333</v>
      </c>
      <c r="AH18" s="60"/>
      <c r="AI18" s="60"/>
    </row>
    <row r="19" spans="1:35" ht="90" x14ac:dyDescent="0.25">
      <c r="A19" s="66" t="s">
        <v>382</v>
      </c>
      <c r="B19" s="66" t="s">
        <v>425</v>
      </c>
      <c r="C19" s="246" t="s">
        <v>264</v>
      </c>
      <c r="D19" s="810" t="s">
        <v>259</v>
      </c>
      <c r="E19" s="810" t="s">
        <v>260</v>
      </c>
      <c r="F19" s="810" t="s">
        <v>261</v>
      </c>
      <c r="G19" s="810" t="s">
        <v>313</v>
      </c>
      <c r="H19" s="810" t="s">
        <v>312</v>
      </c>
      <c r="I19" s="810" t="s">
        <v>311</v>
      </c>
      <c r="J19" s="1014"/>
      <c r="K19" s="1014"/>
      <c r="L19" s="859" t="s">
        <v>989</v>
      </c>
      <c r="M19" s="859" t="s">
        <v>990</v>
      </c>
      <c r="N19" s="859" t="s">
        <v>991</v>
      </c>
      <c r="O19" s="808" t="s">
        <v>992</v>
      </c>
      <c r="P19" s="1013"/>
      <c r="Q19" s="810" t="s">
        <v>368</v>
      </c>
      <c r="R19" s="372" t="s">
        <v>367</v>
      </c>
      <c r="S19" s="316"/>
      <c r="T19" s="38"/>
      <c r="U19" s="810" t="s">
        <v>259</v>
      </c>
      <c r="V19" s="810" t="s">
        <v>260</v>
      </c>
      <c r="W19" s="810" t="s">
        <v>261</v>
      </c>
      <c r="X19" s="810" t="s">
        <v>313</v>
      </c>
      <c r="Y19" s="810" t="s">
        <v>312</v>
      </c>
      <c r="Z19" s="810" t="s">
        <v>311</v>
      </c>
      <c r="AA19" s="1014"/>
      <c r="AB19" s="1014"/>
      <c r="AC19" s="862" t="s">
        <v>989</v>
      </c>
      <c r="AD19" s="862" t="s">
        <v>990</v>
      </c>
      <c r="AE19" s="862" t="s">
        <v>991</v>
      </c>
      <c r="AF19" s="808" t="s">
        <v>992</v>
      </c>
      <c r="AG19" s="1013"/>
      <c r="AH19" s="861" t="s">
        <v>368</v>
      </c>
      <c r="AI19" s="372" t="s">
        <v>367</v>
      </c>
    </row>
    <row r="20" spans="1:35" x14ac:dyDescent="0.25">
      <c r="A20" s="9" t="str">
        <f>A5</f>
        <v>Reducing leakage</v>
      </c>
      <c r="B20" s="64" t="s">
        <v>3</v>
      </c>
      <c r="C20" s="9" t="s">
        <v>3</v>
      </c>
      <c r="D20" s="192">
        <f ca="1">INDEX(INDIRECT("SSW_WTPCore2_"&amp;$C20&amp;"_Levels"),1, MATCH(D$19,WTPCore2_AttLevels,0))</f>
        <v>70.5</v>
      </c>
      <c r="E20" s="192"/>
      <c r="F20" s="192">
        <f ca="1">INDEX(INDIRECT("SSW_WTPCore2_"&amp;$C20&amp;"_Levels"),1, MATCH(F$19,WTPCore2_AttLevels,0))</f>
        <v>35.25</v>
      </c>
      <c r="G20" s="117">
        <f ca="1">INDEX(INDIRECT("SSW_WTPCore2_"&amp;$C20&amp;"_LevelValues"),1,MATCH("S1 MEAN",WTPCore2_LevelValues,0))</f>
        <v>1.2301339708448666</v>
      </c>
      <c r="H20" s="117">
        <f ca="1">INDEX(INDIRECT("SSW_WTPCore2_"&amp;$C20&amp;"_LevelValues"),1,MATCH("S2 MEAN",WTPCore2_LevelValues,0))</f>
        <v>0.44133293088857806</v>
      </c>
      <c r="I20" s="117">
        <f ca="1">SUM(G20:H20)</f>
        <v>1.6714669017334447</v>
      </c>
      <c r="J20" s="192">
        <f>VLOOKUP($A20,$A$5:$AF$21,COLUMN($M$4),0)</f>
        <v>18.885389630070481</v>
      </c>
      <c r="K20" s="370">
        <f>J20*SSW_bill_impact_leakage</f>
        <v>384.76175816781966</v>
      </c>
      <c r="L20" s="579">
        <f ca="1">INDEX(INDIRECT("SSW_WTPCore_DCE_"&amp;$C20&amp;"_UnitValues"),MATCH("COMBINED-HH",WTPCore_Group,0),MATCH("MEAN",LMH,0))</f>
        <v>31319.148936170212</v>
      </c>
      <c r="M20" s="579">
        <f ca="1">L20*(D20-$F20)/HHProps_SSW</f>
        <v>2</v>
      </c>
      <c r="N20" s="117">
        <f t="shared" ref="N20" ca="1" si="7">INDEX(INDIRECT("SSW_WTPCore2_"&amp;$C20&amp;"_UnitValues"),1,MATCH("MEAN",LMH,0))</f>
        <v>26174.460418634368</v>
      </c>
      <c r="O20" s="848">
        <f ca="1">N20*(D20-$F20)/HHProps_SSW</f>
        <v>1.6714669017334447</v>
      </c>
      <c r="P20" s="118">
        <f ca="1">((K20*N$23)/K$22)</f>
        <v>1.8548453601713941</v>
      </c>
      <c r="Q20" s="29" t="s">
        <v>396</v>
      </c>
      <c r="R20" s="375">
        <f ca="1">(P20*HHProps_SSW)/((D20-F20))</f>
        <v>29046.089044386084</v>
      </c>
      <c r="S20" s="846"/>
      <c r="T20" s="176"/>
      <c r="U20" s="192">
        <f ca="1">INDEX(INDIRECT("CAM_WTPCore2_"&amp;$C20&amp;"_Levels"),1,MATCH(U$19,WTPCore2_AttLevels,0))</f>
        <v>13.5</v>
      </c>
      <c r="V20" s="192"/>
      <c r="W20" s="192">
        <f ca="1">INDEX(INDIRECT("CAM_WTPCore2_"&amp;$C20&amp;"_Levels"),1,MATCH(W$19,WTPCore2_AttLevels,0))</f>
        <v>6.75</v>
      </c>
      <c r="X20" s="117">
        <f ca="1">INDEX(INDIRECT("CAM_WTPCore2_"&amp;$C20&amp;"_LevelValues"),1,MATCH("S1 MEAN",WTPCore2_LevelValues,0))</f>
        <v>3.1349723048319831</v>
      </c>
      <c r="Y20" s="117">
        <f ca="1">INDEX(INDIRECT("CAM_WTPCore2_"&amp;$C20&amp;"_LevelValues"),1,MATCH("S2 MEAN",WTPCore2_LevelValues,0))</f>
        <v>5.1405797633106154E-3</v>
      </c>
      <c r="Z20" s="117">
        <f ca="1">SUM(X20:Y20)</f>
        <v>3.1401128845952937</v>
      </c>
      <c r="AA20" s="192">
        <f>VLOOKUP($A20,$A$5:$AF$21,COLUMN($AD$4),0)</f>
        <v>21.391660350633057</v>
      </c>
      <c r="AB20" s="370">
        <f>AA20*CAM_bill_impact_leakage</f>
        <v>265.49933059296347</v>
      </c>
      <c r="AC20" s="579">
        <f ca="1">INDEX(INDIRECT("CAM_WTPCore_"&amp;$C20&amp;"_UnitValues"),MATCH("COMBINED-HH",WTPCore_Group,0),MATCH("MEAN",LMH,0))</f>
        <v>140121.48148148149</v>
      </c>
      <c r="AD20" s="579">
        <f ca="1">AC20*(U20-$W20)/HHProps_CAM</f>
        <v>7.22</v>
      </c>
      <c r="AE20" s="117">
        <f ca="1">INDEX(INDIRECT("CAM_WTPCore2_"&amp;$C20&amp;"_UnitValues"),1,MATCH("MEAN",LMH,0))</f>
        <v>60941.450056590147</v>
      </c>
      <c r="AF20" s="848">
        <f ca="1">AE20*(U20-$W20)/HHProps_CAM</f>
        <v>3.1401128845952937</v>
      </c>
      <c r="AG20" s="118">
        <f ca="1">((AB20*AE$23)/AB$22)</f>
        <v>7.7492597879260252</v>
      </c>
      <c r="AH20" s="9" t="str">
        <f>Q20</f>
        <v>ML/D</v>
      </c>
      <c r="AI20" s="375">
        <f ca="1">(AG20*HHProps_CAM)/((U20-W20))</f>
        <v>150393.0418101199</v>
      </c>
    </row>
    <row r="21" spans="1:35" x14ac:dyDescent="0.25">
      <c r="A21" s="9" t="str">
        <f>A6</f>
        <v>Installing smart meters</v>
      </c>
      <c r="B21" s="9" t="s">
        <v>373</v>
      </c>
      <c r="C21" s="9" t="s">
        <v>402</v>
      </c>
      <c r="D21" s="119">
        <f ca="1">INDEX(INDIRECT("SSW_WTPCore_DCE_"&amp;$C21&amp;"_Levels"),MATCH("COMBINED-HH",WTPCore_Group,0),MATCH(D$19,WTPCore_AttLevels,0))</f>
        <v>0</v>
      </c>
      <c r="E21" s="119"/>
      <c r="F21" s="119">
        <f ca="1">INDEX(INDIRECT("SSW_WTPCore_DCE_"&amp;$C21&amp;"_Levels"),MATCH("COMBINED-HH",WTPCore_Group,0),MATCH(F$19,WTPCore_AttLevels,0))</f>
        <v>1</v>
      </c>
      <c r="G21" s="117">
        <f ca="1">INDEX(INDIRECT("SSW_WTPCore_DCE_"&amp;$C21&amp;"_LevelValues"),MATCH("COMBINED-HH",WTPCore_Group,0),MATCH("S1 MEAN",WTPCore_LevelValues,0))</f>
        <v>8.5999999999999993E-2</v>
      </c>
      <c r="H21" s="117">
        <f ca="1">INDEX(INDIRECT("SSW_WTPCore_DCE_"&amp;$C21&amp;"_LevelValues"),MATCH("COMBINED-HH",WTPCore_Group,0),MATCH("S2 MEAN",WTPCore_LevelValues,0))</f>
        <v>0.35599999999999998</v>
      </c>
      <c r="I21" s="117">
        <f ca="1">SUM(G21:H21)</f>
        <v>0.44199999999999995</v>
      </c>
      <c r="J21" s="192">
        <f>VLOOKUP($A21,$A$5:$AF$21,COLUMN($M$4),0)</f>
        <v>15.256039436003975</v>
      </c>
      <c r="K21" s="370">
        <f>J21*SSW_bill_impact_metering</f>
        <v>87.722226757022852</v>
      </c>
      <c r="L21" s="579">
        <f ca="1">INDEX(INDIRECT("SSW_WTPCore_DCE_"&amp;$C21&amp;"_UnitValues"),MATCH("COMBINED-HH",WTPCore_Group,0),MATCH("MEAN",LMH,0))</f>
        <v>0.44199999999999995</v>
      </c>
      <c r="M21" s="579">
        <f ca="1">-L21*(D21-$F21)</f>
        <v>0.44199999999999995</v>
      </c>
      <c r="N21" s="117">
        <f ca="1">L21</f>
        <v>0.44199999999999995</v>
      </c>
      <c r="O21" s="579">
        <f ca="1">-N21*(D21-$F21)</f>
        <v>0.44199999999999995</v>
      </c>
      <c r="P21" s="118">
        <f ca="1">((K21*N$23)/K$22)</f>
        <v>0.42288809069532801</v>
      </c>
      <c r="Q21" s="29" t="s">
        <v>423</v>
      </c>
      <c r="R21" s="373">
        <f ca="1">(-P21/(D21-F21))</f>
        <v>0.42288809069532801</v>
      </c>
      <c r="S21" s="863"/>
      <c r="T21" s="176"/>
      <c r="U21" s="42">
        <f ca="1">INDEX(INDIRECT("CAM_WTPCore_"&amp;$C21&amp;"_Levels"),MATCH("COMBINED-HH",WTPCore_Group,0),MATCH(U$19,WTPCore_AttLevels,0))</f>
        <v>0</v>
      </c>
      <c r="V21" s="42"/>
      <c r="W21" s="42">
        <f ca="1">INDEX(INDIRECT("CAM_WTPCore_"&amp;$C21&amp;"_Levels"),MATCH("COMBINED-HH",WTPCore_Group,0),MATCH(W$19,WTPCore_AttLevels,0))</f>
        <v>1</v>
      </c>
      <c r="X21" s="117">
        <f ca="1">INDEX(INDIRECT("CAM_WTPCore_"&amp;$C21&amp;"_LevelValues"),MATCH("COMBINED-HH",WTPCore_Group,0),MATCH("S1 MEAN",WTPCore_LevelValues,0))</f>
        <v>1.133</v>
      </c>
      <c r="Y21" s="117">
        <f ca="1">INDEX(INDIRECT("CAM_WTPCore_"&amp;$C21&amp;"_LevelValues"),MATCH("COMBINED-HH",WTPCore_Group,0),MATCH("S2 MEAN",WTPCore_LevelValues,0))</f>
        <v>1.7649999999999999</v>
      </c>
      <c r="Z21" s="117">
        <f ca="1">SUM(X21:Y21)</f>
        <v>2.8979999999999997</v>
      </c>
      <c r="AA21" s="192">
        <f>VLOOKUP($A21,$A$5:$AF$21,COLUMN($AD$4),0)</f>
        <v>18.774974218157876</v>
      </c>
      <c r="AB21" s="370">
        <f>AA21*CAM_bill_impact_metering</f>
        <v>11.264984530894726</v>
      </c>
      <c r="AC21" s="579">
        <f ca="1">INDEX(INDIRECT("CAM_WTPCore_"&amp;$C21&amp;"_UnitValues"),MATCH("COMBINED-HH",WTPCore_Group,0),MATCH("MEAN",LMH,0))</f>
        <v>2.8979999999999997</v>
      </c>
      <c r="AD21" s="579">
        <f ca="1">-AC21*(U21-$W21)</f>
        <v>2.8979999999999997</v>
      </c>
      <c r="AE21" s="117">
        <f ca="1">AC21</f>
        <v>2.8979999999999997</v>
      </c>
      <c r="AF21" s="579">
        <f ca="1">-AE21*(U21-$W21)</f>
        <v>2.8979999999999997</v>
      </c>
      <c r="AG21" s="118">
        <f ca="1">((AB21*AE$23)/AB$22)</f>
        <v>0.32879665437162053</v>
      </c>
      <c r="AH21" s="9" t="str">
        <f>Q21</f>
        <v>Household</v>
      </c>
      <c r="AI21" s="373">
        <f ca="1">(-AG21/(U21-W21))</f>
        <v>0.32879665437162053</v>
      </c>
    </row>
    <row r="22" spans="1:35" ht="15.75" thickBot="1" x14ac:dyDescent="0.3">
      <c r="A22" s="175"/>
      <c r="B22" s="175"/>
      <c r="C22" s="175"/>
      <c r="D22" s="297"/>
      <c r="E22" s="297"/>
      <c r="F22" s="297"/>
      <c r="G22" s="298"/>
      <c r="H22" s="298"/>
      <c r="I22" s="297">
        <f ca="1">SUM(I20:I21)</f>
        <v>2.1134669017334446</v>
      </c>
      <c r="J22" s="299">
        <f>SUM(J20:J21)</f>
        <v>34.141429066074458</v>
      </c>
      <c r="K22" s="299">
        <f>SUM(K20:K21)</f>
        <v>472.4839849248425</v>
      </c>
      <c r="M22" s="251">
        <f ca="1">SUM(M20:M21)</f>
        <v>2.4420000000000002</v>
      </c>
      <c r="O22" s="864">
        <f ca="1">SUM(O20:O21)</f>
        <v>2.1134669017334446</v>
      </c>
      <c r="P22" s="297">
        <f ca="1">SUM(P20:P21)</f>
        <v>2.2777334508667222</v>
      </c>
      <c r="Q22" s="49"/>
      <c r="R22" s="406"/>
      <c r="S22" s="807"/>
      <c r="T22" s="47"/>
      <c r="U22" s="47"/>
      <c r="V22" s="49"/>
      <c r="W22" s="49"/>
      <c r="X22" s="49"/>
      <c r="Y22" s="50"/>
      <c r="Z22" s="297">
        <f ca="1">SUM(Z20:Z21)</f>
        <v>6.0381128845952929</v>
      </c>
      <c r="AA22" s="299">
        <f>SUM(AA20:AA21)</f>
        <v>40.166634568790933</v>
      </c>
      <c r="AB22" s="299">
        <f>SUM(AB20:AB21)</f>
        <v>276.76431512385818</v>
      </c>
      <c r="AD22" s="299">
        <f ca="1">SUM(AD20:AD21)</f>
        <v>10.117999999999999</v>
      </c>
      <c r="AF22" s="866">
        <f ca="1">SUM(AF20:AF21)</f>
        <v>6.0381128845952929</v>
      </c>
      <c r="AG22" s="297">
        <f ca="1">SUM(AG20:AG21)</f>
        <v>8.0780564422976457</v>
      </c>
      <c r="AH22" s="50"/>
      <c r="AI22" s="406"/>
    </row>
    <row r="23" spans="1:35" x14ac:dyDescent="0.25">
      <c r="A23" s="175"/>
      <c r="B23" s="175"/>
      <c r="C23" s="175"/>
      <c r="D23" s="297"/>
      <c r="E23" s="297"/>
      <c r="F23" s="297"/>
      <c r="G23" s="298"/>
      <c r="H23" s="298"/>
      <c r="I23" s="297"/>
      <c r="J23" s="299"/>
      <c r="K23" s="299"/>
      <c r="L23" s="297"/>
      <c r="M23" s="867" t="s">
        <v>997</v>
      </c>
      <c r="N23" s="864">
        <f ca="1">AVERAGE(M22,O22)</f>
        <v>2.2777334508667222</v>
      </c>
      <c r="O23" s="807"/>
      <c r="P23" s="807"/>
      <c r="Q23" s="807"/>
      <c r="R23" s="807"/>
      <c r="S23" s="807"/>
      <c r="T23" s="47"/>
      <c r="U23" s="47"/>
      <c r="V23" s="49"/>
      <c r="W23" s="49"/>
      <c r="X23" s="49"/>
      <c r="Y23" s="50"/>
      <c r="Z23" s="297"/>
      <c r="AA23" s="299"/>
      <c r="AB23" s="299"/>
      <c r="AC23" s="297"/>
      <c r="AD23" s="50" t="s">
        <v>997</v>
      </c>
      <c r="AE23" s="865">
        <f ca="1">AVERAGE(AD22,AF22)</f>
        <v>8.0780564422976457</v>
      </c>
    </row>
    <row r="24" spans="1:35" x14ac:dyDescent="0.25">
      <c r="A24" s="175"/>
      <c r="B24" s="175"/>
      <c r="C24" s="175"/>
      <c r="D24" s="297"/>
      <c r="E24" s="297"/>
      <c r="F24" s="297"/>
      <c r="G24" s="298"/>
      <c r="H24" s="298"/>
      <c r="I24" s="297"/>
      <c r="J24" s="299"/>
      <c r="K24" s="299"/>
      <c r="L24" s="297"/>
      <c r="M24" s="49"/>
      <c r="N24" s="807"/>
      <c r="O24" s="807"/>
      <c r="P24" s="807"/>
      <c r="Q24" s="807"/>
      <c r="R24" s="807"/>
      <c r="S24" s="807"/>
      <c r="T24" s="47"/>
      <c r="U24" s="47"/>
      <c r="V24" s="49"/>
      <c r="W24" s="49"/>
      <c r="X24" s="49"/>
      <c r="Y24" s="50"/>
      <c r="Z24" s="297"/>
      <c r="AA24" s="299"/>
      <c r="AB24" s="299"/>
      <c r="AC24" s="297"/>
      <c r="AD24" s="50"/>
      <c r="AE24" s="807"/>
    </row>
    <row r="25" spans="1:35" x14ac:dyDescent="0.25">
      <c r="A25" s="175"/>
      <c r="B25" s="175"/>
      <c r="C25" s="175"/>
      <c r="D25" s="297"/>
      <c r="E25" s="297"/>
      <c r="F25" s="297"/>
      <c r="G25" s="298"/>
      <c r="H25" s="298"/>
      <c r="I25" s="297"/>
      <c r="J25" s="299"/>
      <c r="K25" s="299"/>
      <c r="L25" s="297"/>
      <c r="M25" s="49"/>
      <c r="N25" s="807"/>
      <c r="O25" s="807"/>
      <c r="P25" s="807"/>
      <c r="Q25" s="807"/>
      <c r="R25" s="807"/>
      <c r="S25" s="807"/>
      <c r="T25" s="47"/>
      <c r="U25" s="47"/>
      <c r="V25" s="49"/>
      <c r="W25" s="49"/>
      <c r="X25" s="49"/>
      <c r="Y25" s="50"/>
      <c r="Z25" s="297"/>
      <c r="AA25" s="299"/>
      <c r="AB25" s="299"/>
      <c r="AC25" s="297"/>
      <c r="AD25" s="50"/>
      <c r="AE25" s="807"/>
    </row>
    <row r="26" spans="1:35" x14ac:dyDescent="0.25">
      <c r="A26" s="175"/>
      <c r="B26" s="175"/>
      <c r="C26" s="175"/>
      <c r="D26" s="297"/>
      <c r="E26" s="297"/>
      <c r="F26" s="297"/>
      <c r="G26" s="298"/>
      <c r="H26" s="298"/>
      <c r="I26" s="297"/>
      <c r="J26" s="299"/>
      <c r="K26" s="299"/>
      <c r="L26" s="297"/>
      <c r="M26" s="49"/>
      <c r="N26" s="807"/>
      <c r="O26" s="807"/>
      <c r="P26" s="807"/>
      <c r="Q26" s="807"/>
      <c r="R26" s="807"/>
      <c r="S26" s="807"/>
      <c r="T26" s="47"/>
      <c r="U26" s="47"/>
      <c r="V26" s="49"/>
      <c r="W26" s="49"/>
      <c r="X26" s="49"/>
      <c r="Y26" s="50"/>
      <c r="Z26" s="297"/>
      <c r="AA26" s="299"/>
      <c r="AB26" s="299"/>
      <c r="AC26" s="297"/>
      <c r="AD26" s="50"/>
      <c r="AE26" s="807"/>
    </row>
    <row r="27" spans="1:35" x14ac:dyDescent="0.25">
      <c r="A27" s="63" t="s">
        <v>488</v>
      </c>
      <c r="B27" s="60"/>
      <c r="C27" s="60"/>
      <c r="D27" s="110"/>
      <c r="E27" s="110"/>
      <c r="F27" s="110"/>
      <c r="G27" s="110"/>
      <c r="H27" s="110"/>
      <c r="I27" s="110"/>
      <c r="J27" s="111"/>
      <c r="K27" s="110"/>
      <c r="L27" s="110"/>
      <c r="M27" s="110"/>
      <c r="N27" s="110"/>
      <c r="O27" s="110"/>
      <c r="P27" s="110"/>
      <c r="Q27" s="110"/>
      <c r="R27" s="110"/>
      <c r="S27" s="110"/>
      <c r="T27" s="38"/>
      <c r="U27" s="111"/>
      <c r="V27" s="110"/>
      <c r="W27" s="110"/>
      <c r="X27" s="110"/>
      <c r="Y27" s="110"/>
      <c r="Z27" s="110"/>
      <c r="AA27" s="110"/>
      <c r="AB27" s="110"/>
      <c r="AC27" s="110"/>
      <c r="AD27" s="110"/>
      <c r="AE27" s="648"/>
      <c r="AF27" s="648"/>
      <c r="AG27" s="648"/>
      <c r="AH27" s="648"/>
      <c r="AI27" s="648"/>
    </row>
    <row r="28" spans="1:35" x14ac:dyDescent="0.25">
      <c r="A28" s="9" t="s">
        <v>498</v>
      </c>
    </row>
    <row r="29" spans="1:35" x14ac:dyDescent="0.25">
      <c r="A29" s="9" t="s">
        <v>1011</v>
      </c>
    </row>
  </sheetData>
  <mergeCells count="6">
    <mergeCell ref="AG18:AG19"/>
    <mergeCell ref="J18:J19"/>
    <mergeCell ref="K18:K19"/>
    <mergeCell ref="P18:P19"/>
    <mergeCell ref="AA18:AA19"/>
    <mergeCell ref="AB18:AB1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53"/>
  <sheetViews>
    <sheetView zoomScale="70" zoomScaleNormal="70" workbookViewId="0">
      <pane xSplit="1" ySplit="2" topLeftCell="B3" activePane="bottomRight" state="frozen"/>
      <selection pane="topRight"/>
      <selection pane="bottomLeft"/>
      <selection pane="bottomRight" activeCell="I14" sqref="I5:I14"/>
    </sheetView>
  </sheetViews>
  <sheetFormatPr defaultColWidth="0" defaultRowHeight="15" zeroHeight="1" x14ac:dyDescent="0.25"/>
  <cols>
    <col min="1" max="1" width="56.85546875" style="176" customWidth="1"/>
    <col min="2" max="2" width="39.140625" style="176" customWidth="1"/>
    <col min="3" max="3" width="15.7109375" style="176" customWidth="1"/>
    <col min="4" max="10" width="12.28515625" style="176" customWidth="1"/>
    <col min="11" max="16" width="12.85546875" style="176" customWidth="1"/>
    <col min="17" max="18" width="13.7109375" style="176" customWidth="1"/>
    <col min="19" max="19" width="34.42578125" style="176" customWidth="1"/>
    <col min="20" max="27" width="13" style="176" customWidth="1"/>
    <col min="28" max="32" width="13" style="175" customWidth="1"/>
    <col min="33" max="34" width="13.42578125" style="175" customWidth="1"/>
    <col min="35" max="35" width="9.140625" style="175" customWidth="1"/>
    <col min="36" max="36" width="0" style="175" hidden="1" customWidth="1"/>
    <col min="37" max="16384" width="9.140625" style="175" hidden="1"/>
  </cols>
  <sheetData>
    <row r="1" spans="1:34" ht="28.5" x14ac:dyDescent="0.45">
      <c r="A1" s="102" t="s">
        <v>380</v>
      </c>
      <c r="B1" s="103"/>
      <c r="C1" s="103"/>
      <c r="D1" s="103"/>
      <c r="E1" s="103"/>
      <c r="F1" s="103"/>
      <c r="G1" s="103"/>
      <c r="H1" s="103"/>
      <c r="I1" s="103"/>
      <c r="J1" s="103"/>
      <c r="K1" s="103"/>
      <c r="L1" s="103"/>
      <c r="M1" s="103"/>
      <c r="N1" s="103"/>
      <c r="O1" s="103"/>
      <c r="P1" s="103"/>
      <c r="Q1" s="102"/>
      <c r="R1" s="102"/>
      <c r="S1" s="102"/>
      <c r="T1" s="102"/>
      <c r="U1" s="102"/>
      <c r="V1" s="102"/>
      <c r="W1" s="102"/>
      <c r="X1" s="102"/>
      <c r="Y1" s="102"/>
      <c r="Z1" s="102"/>
      <c r="AA1" s="102"/>
      <c r="AB1" s="102"/>
      <c r="AC1" s="102"/>
      <c r="AD1" s="102"/>
      <c r="AE1" s="102"/>
      <c r="AF1" s="102"/>
      <c r="AG1" s="102"/>
      <c r="AH1" s="102"/>
    </row>
    <row r="2" spans="1:34" ht="19.5" x14ac:dyDescent="0.3">
      <c r="A2" s="112"/>
      <c r="B2" s="166" t="s">
        <v>228</v>
      </c>
      <c r="C2" s="166"/>
      <c r="D2" s="166"/>
      <c r="E2" s="166"/>
      <c r="F2" s="166"/>
      <c r="G2" s="166"/>
      <c r="H2" s="166"/>
      <c r="I2" s="166"/>
      <c r="J2" s="166"/>
      <c r="K2" s="166"/>
      <c r="L2" s="166"/>
      <c r="M2" s="166"/>
      <c r="N2" s="166"/>
      <c r="O2" s="166"/>
      <c r="P2" s="166"/>
      <c r="Q2" s="166"/>
      <c r="R2" s="166"/>
      <c r="S2" s="173" t="s">
        <v>229</v>
      </c>
      <c r="T2" s="173"/>
      <c r="U2" s="173"/>
      <c r="V2" s="173"/>
      <c r="W2" s="173"/>
      <c r="X2" s="173"/>
      <c r="Y2" s="173"/>
      <c r="Z2" s="173"/>
      <c r="AA2" s="173"/>
      <c r="AB2" s="173"/>
      <c r="AC2" s="173"/>
      <c r="AD2" s="173"/>
      <c r="AE2" s="173"/>
      <c r="AF2" s="173"/>
      <c r="AG2" s="173"/>
      <c r="AH2" s="173"/>
    </row>
    <row r="3" spans="1:34" ht="19.5" x14ac:dyDescent="0.3">
      <c r="A3" s="112" t="s">
        <v>381</v>
      </c>
      <c r="B3" s="178"/>
      <c r="C3" s="228" t="s">
        <v>135</v>
      </c>
      <c r="D3" s="177"/>
      <c r="E3" s="177"/>
      <c r="F3" s="60"/>
      <c r="G3" s="60"/>
      <c r="H3" s="60"/>
      <c r="I3" s="177"/>
      <c r="J3" s="177"/>
      <c r="K3" s="60"/>
      <c r="L3" s="60"/>
      <c r="M3" s="60"/>
      <c r="N3" s="60"/>
      <c r="O3" s="60"/>
      <c r="P3" s="60"/>
      <c r="Q3" s="60"/>
      <c r="R3" s="60"/>
      <c r="S3" s="228" t="s">
        <v>136</v>
      </c>
      <c r="T3" s="60"/>
      <c r="U3" s="177"/>
      <c r="V3" s="177"/>
      <c r="W3" s="177"/>
      <c r="X3" s="177"/>
      <c r="Y3" s="177"/>
      <c r="Z3" s="177"/>
      <c r="AA3" s="177"/>
      <c r="AB3" s="177"/>
      <c r="AC3" s="177"/>
      <c r="AD3" s="177"/>
      <c r="AE3" s="177"/>
      <c r="AF3" s="177"/>
      <c r="AG3" s="177"/>
    </row>
    <row r="4" spans="1:34" s="292" customFormat="1" ht="30" x14ac:dyDescent="0.25">
      <c r="A4" s="218"/>
      <c r="B4" s="231" t="s">
        <v>142</v>
      </c>
      <c r="C4" s="231" t="s">
        <v>140</v>
      </c>
      <c r="D4" s="229"/>
      <c r="E4" s="229"/>
      <c r="F4" s="231" t="s">
        <v>141</v>
      </c>
      <c r="G4" s="231" t="s">
        <v>126</v>
      </c>
      <c r="H4" s="231"/>
      <c r="I4" s="229"/>
      <c r="J4" s="229"/>
      <c r="K4" s="229"/>
      <c r="L4" s="229"/>
      <c r="M4" s="229"/>
      <c r="N4" s="229"/>
      <c r="O4" s="229"/>
      <c r="P4" s="229"/>
      <c r="Q4" s="229"/>
      <c r="R4" s="229"/>
      <c r="S4" s="231" t="s">
        <v>142</v>
      </c>
      <c r="T4" s="231" t="s">
        <v>140</v>
      </c>
      <c r="U4" s="229"/>
      <c r="V4" s="229"/>
      <c r="W4" s="231" t="s">
        <v>141</v>
      </c>
      <c r="X4" s="231" t="s">
        <v>126</v>
      </c>
      <c r="Y4" s="65"/>
      <c r="Z4" s="229"/>
      <c r="AA4" s="229"/>
      <c r="AB4" s="229"/>
      <c r="AC4" s="229"/>
      <c r="AD4" s="229"/>
      <c r="AE4" s="229"/>
      <c r="AF4" s="229"/>
      <c r="AG4" s="229"/>
      <c r="AH4" s="296"/>
    </row>
    <row r="5" spans="1:34" ht="15.75" x14ac:dyDescent="0.25">
      <c r="A5" s="5"/>
      <c r="B5" s="9" t="s">
        <v>137</v>
      </c>
      <c r="C5" s="9">
        <v>1</v>
      </c>
      <c r="D5" s="179"/>
      <c r="E5" s="179"/>
      <c r="F5" s="9">
        <v>21</v>
      </c>
      <c r="G5" s="9">
        <v>0</v>
      </c>
      <c r="H5" s="9"/>
      <c r="I5" s="179"/>
      <c r="J5" s="179"/>
      <c r="K5" s="179"/>
      <c r="L5" s="179"/>
      <c r="M5" s="179"/>
      <c r="N5" s="179"/>
      <c r="O5" s="179"/>
      <c r="P5" s="179"/>
      <c r="Q5" s="179"/>
      <c r="R5" s="179"/>
      <c r="S5" s="9" t="s">
        <v>137</v>
      </c>
      <c r="T5" s="9">
        <v>1</v>
      </c>
      <c r="U5" s="179"/>
      <c r="V5" s="179"/>
      <c r="W5" s="9">
        <v>4</v>
      </c>
      <c r="X5" s="9">
        <v>0</v>
      </c>
      <c r="Y5" s="9"/>
      <c r="Z5" s="179"/>
      <c r="AA5" s="179"/>
      <c r="AB5" s="179"/>
      <c r="AC5" s="179"/>
      <c r="AD5" s="179"/>
      <c r="AE5" s="179"/>
      <c r="AF5" s="179"/>
      <c r="AG5" s="179"/>
      <c r="AH5" s="183"/>
    </row>
    <row r="6" spans="1:34" ht="15.75" x14ac:dyDescent="0.25">
      <c r="A6" s="5"/>
      <c r="B6" s="9" t="s">
        <v>149</v>
      </c>
      <c r="C6" s="9">
        <v>1</v>
      </c>
      <c r="D6" s="179"/>
      <c r="E6" s="179"/>
      <c r="F6" s="9">
        <v>43</v>
      </c>
      <c r="G6" s="9">
        <v>1</v>
      </c>
      <c r="H6" s="9"/>
      <c r="I6" s="179"/>
      <c r="J6" s="179"/>
      <c r="K6" s="179"/>
      <c r="L6" s="179"/>
      <c r="M6" s="179"/>
      <c r="N6" s="179"/>
      <c r="O6" s="179"/>
      <c r="P6" s="179"/>
      <c r="Q6" s="179"/>
      <c r="R6" s="179"/>
      <c r="S6" s="9" t="s">
        <v>143</v>
      </c>
      <c r="T6" s="9">
        <v>1</v>
      </c>
      <c r="U6" s="179"/>
      <c r="V6" s="179"/>
      <c r="W6" s="9">
        <v>2</v>
      </c>
      <c r="X6" s="9">
        <v>4</v>
      </c>
      <c r="Y6" s="9"/>
      <c r="Z6" s="179"/>
      <c r="AA6" s="179"/>
      <c r="AB6" s="179"/>
      <c r="AC6" s="179"/>
      <c r="AD6" s="179"/>
      <c r="AE6" s="179"/>
      <c r="AF6" s="179"/>
      <c r="AG6" s="179"/>
      <c r="AH6" s="183"/>
    </row>
    <row r="7" spans="1:34" ht="15.75" x14ac:dyDescent="0.25">
      <c r="A7" s="5"/>
      <c r="B7" s="9" t="s">
        <v>127</v>
      </c>
      <c r="C7" s="9">
        <v>1</v>
      </c>
      <c r="D7" s="179"/>
      <c r="E7" s="179"/>
      <c r="F7" s="9">
        <v>34</v>
      </c>
      <c r="G7" s="9">
        <v>1</v>
      </c>
      <c r="H7" s="9"/>
      <c r="I7" s="179"/>
      <c r="J7" s="179"/>
      <c r="K7" s="179"/>
      <c r="L7" s="179"/>
      <c r="M7" s="179"/>
      <c r="N7" s="179"/>
      <c r="O7" s="179"/>
      <c r="P7" s="179"/>
      <c r="Q7" s="179"/>
      <c r="R7" s="179"/>
      <c r="S7" s="9" t="s">
        <v>127</v>
      </c>
      <c r="T7" s="9">
        <v>1</v>
      </c>
      <c r="U7" s="179"/>
      <c r="V7" s="179"/>
      <c r="W7" s="9">
        <v>42</v>
      </c>
      <c r="X7" s="9">
        <v>3</v>
      </c>
      <c r="Y7" s="9"/>
      <c r="Z7" s="179"/>
      <c r="AA7" s="179"/>
      <c r="AB7" s="179"/>
      <c r="AC7" s="179"/>
      <c r="AD7" s="179"/>
      <c r="AE7" s="179"/>
      <c r="AF7" s="179"/>
      <c r="AG7" s="179"/>
      <c r="AH7" s="183"/>
    </row>
    <row r="8" spans="1:34" ht="15.75" x14ac:dyDescent="0.25">
      <c r="A8" s="5"/>
      <c r="B8" s="9" t="s">
        <v>138</v>
      </c>
      <c r="C8" s="9">
        <v>2</v>
      </c>
      <c r="D8" s="179"/>
      <c r="E8" s="179"/>
      <c r="F8" s="9">
        <v>17</v>
      </c>
      <c r="G8" s="9">
        <v>1</v>
      </c>
      <c r="H8" s="9"/>
      <c r="I8" s="179"/>
      <c r="J8" s="179"/>
      <c r="K8" s="179"/>
      <c r="L8" s="179"/>
      <c r="M8" s="179"/>
      <c r="N8" s="179"/>
      <c r="O8" s="179"/>
      <c r="P8" s="179"/>
      <c r="Q8" s="179"/>
      <c r="R8" s="179"/>
      <c r="S8" s="9" t="s">
        <v>138</v>
      </c>
      <c r="T8" s="9">
        <v>2</v>
      </c>
      <c r="U8" s="179"/>
      <c r="V8" s="179"/>
      <c r="W8" s="9">
        <v>13</v>
      </c>
      <c r="X8" s="9">
        <v>1</v>
      </c>
      <c r="Y8" s="9"/>
      <c r="Z8" s="179"/>
      <c r="AA8" s="179"/>
      <c r="AB8" s="179"/>
      <c r="AC8" s="179"/>
      <c r="AD8" s="179"/>
      <c r="AE8" s="179"/>
      <c r="AF8" s="179"/>
      <c r="AG8" s="179"/>
      <c r="AH8" s="183"/>
    </row>
    <row r="9" spans="1:34" x14ac:dyDescent="0.25">
      <c r="A9" s="5"/>
      <c r="B9" s="9" t="s">
        <v>129</v>
      </c>
      <c r="C9" s="9">
        <v>2</v>
      </c>
      <c r="D9" s="24"/>
      <c r="E9" s="24"/>
      <c r="F9" s="9">
        <v>31</v>
      </c>
      <c r="G9" s="9">
        <v>3</v>
      </c>
      <c r="H9" s="9"/>
      <c r="I9" s="24"/>
      <c r="J9" s="24"/>
      <c r="K9" s="24"/>
      <c r="L9" s="24"/>
      <c r="M9" s="24"/>
      <c r="N9" s="24"/>
      <c r="O9" s="24"/>
      <c r="P9" s="24"/>
      <c r="Q9" s="24"/>
      <c r="R9" s="24"/>
      <c r="S9" s="9" t="s">
        <v>146</v>
      </c>
      <c r="T9" s="9">
        <v>2.5</v>
      </c>
      <c r="U9" s="24"/>
      <c r="V9" s="24"/>
      <c r="W9" s="9">
        <v>12</v>
      </c>
      <c r="X9" s="9">
        <v>0</v>
      </c>
      <c r="Y9" s="9"/>
      <c r="Z9" s="24"/>
      <c r="AA9" s="24"/>
      <c r="AB9" s="24"/>
      <c r="AC9" s="24"/>
      <c r="AD9" s="24"/>
      <c r="AE9" s="24"/>
      <c r="AF9" s="24"/>
      <c r="AG9" s="24"/>
      <c r="AH9" s="288"/>
    </row>
    <row r="10" spans="1:34" x14ac:dyDescent="0.25">
      <c r="A10" s="5"/>
      <c r="B10" s="174"/>
      <c r="C10" s="174"/>
      <c r="D10" s="24"/>
      <c r="E10" s="24"/>
      <c r="F10" s="174"/>
      <c r="G10" s="174"/>
      <c r="H10" s="174"/>
      <c r="I10" s="24"/>
      <c r="J10" s="24"/>
      <c r="K10" s="24"/>
      <c r="L10" s="24"/>
      <c r="M10" s="24"/>
      <c r="N10" s="24"/>
      <c r="O10" s="24"/>
      <c r="P10" s="24"/>
      <c r="Q10" s="24"/>
      <c r="R10" s="24"/>
      <c r="S10" s="9" t="s">
        <v>147</v>
      </c>
      <c r="T10" s="9">
        <v>3</v>
      </c>
      <c r="U10" s="24"/>
      <c r="V10" s="24"/>
      <c r="W10" s="9">
        <v>6</v>
      </c>
      <c r="X10" s="9">
        <v>3</v>
      </c>
      <c r="Y10" s="9"/>
      <c r="Z10" s="24"/>
      <c r="AA10" s="24"/>
      <c r="AB10" s="24"/>
      <c r="AC10" s="24"/>
      <c r="AD10" s="24"/>
      <c r="AE10" s="24"/>
      <c r="AF10" s="24"/>
      <c r="AG10" s="24"/>
      <c r="AH10" s="288"/>
    </row>
    <row r="11" spans="1:34" ht="15.75" x14ac:dyDescent="0.25">
      <c r="A11" s="5"/>
      <c r="B11" s="9" t="s">
        <v>139</v>
      </c>
      <c r="C11" s="9">
        <v>3</v>
      </c>
      <c r="D11" s="179"/>
      <c r="E11" s="179"/>
      <c r="F11" s="9">
        <v>10</v>
      </c>
      <c r="G11" s="9">
        <v>3</v>
      </c>
      <c r="H11" s="9"/>
      <c r="I11" s="179"/>
      <c r="J11" s="179"/>
      <c r="K11" s="179"/>
      <c r="L11" s="179"/>
      <c r="M11" s="179"/>
      <c r="N11" s="179"/>
      <c r="O11" s="179"/>
      <c r="P11" s="179"/>
      <c r="Q11" s="179"/>
      <c r="R11" s="179"/>
      <c r="S11" s="9" t="s">
        <v>139</v>
      </c>
      <c r="T11" s="9">
        <v>2</v>
      </c>
      <c r="U11" s="179"/>
      <c r="V11" s="179"/>
      <c r="W11" s="9">
        <v>13</v>
      </c>
      <c r="X11" s="9">
        <v>2</v>
      </c>
      <c r="Y11" s="9"/>
      <c r="Z11" s="179"/>
      <c r="AA11" s="179"/>
      <c r="AB11" s="179"/>
      <c r="AC11" s="179"/>
      <c r="AD11" s="179"/>
      <c r="AE11" s="179"/>
      <c r="AF11" s="179"/>
      <c r="AG11" s="179"/>
      <c r="AH11" s="183"/>
    </row>
    <row r="12" spans="1:34" ht="15.75" x14ac:dyDescent="0.25">
      <c r="A12" s="5"/>
      <c r="B12" s="9" t="s">
        <v>128</v>
      </c>
      <c r="C12" s="9">
        <v>3.5</v>
      </c>
      <c r="D12" s="179"/>
      <c r="E12" s="179"/>
      <c r="F12" s="9">
        <v>9</v>
      </c>
      <c r="G12" s="9">
        <v>3</v>
      </c>
      <c r="H12" s="9"/>
      <c r="I12" s="179"/>
      <c r="J12" s="179"/>
      <c r="K12" s="179"/>
      <c r="L12" s="179"/>
      <c r="M12" s="179"/>
      <c r="N12" s="179"/>
      <c r="O12" s="179"/>
      <c r="P12" s="179"/>
      <c r="Q12" s="179"/>
      <c r="R12" s="179"/>
      <c r="S12" s="9" t="s">
        <v>144</v>
      </c>
      <c r="T12" s="9">
        <v>1</v>
      </c>
      <c r="U12" s="179"/>
      <c r="V12" s="179"/>
      <c r="W12" s="9">
        <v>30</v>
      </c>
      <c r="X12" s="9">
        <v>0</v>
      </c>
      <c r="Y12" s="9"/>
      <c r="Z12" s="179"/>
      <c r="AA12" s="179"/>
      <c r="AB12" s="179"/>
      <c r="AC12" s="179"/>
      <c r="AD12" s="179"/>
      <c r="AE12" s="179"/>
      <c r="AF12" s="179"/>
      <c r="AG12" s="179"/>
      <c r="AH12" s="183"/>
    </row>
    <row r="13" spans="1:34" ht="15.75" x14ac:dyDescent="0.25">
      <c r="A13" s="5"/>
      <c r="B13" s="9" t="s">
        <v>130</v>
      </c>
      <c r="C13" s="9">
        <v>3.5</v>
      </c>
      <c r="F13" s="9">
        <v>16</v>
      </c>
      <c r="G13" s="9">
        <v>14</v>
      </c>
      <c r="H13" s="9"/>
      <c r="S13" s="9" t="s">
        <v>145</v>
      </c>
      <c r="T13" s="9">
        <v>1</v>
      </c>
      <c r="W13" s="9">
        <v>38</v>
      </c>
      <c r="X13" s="9">
        <v>0</v>
      </c>
      <c r="Y13" s="9"/>
      <c r="AB13" s="176"/>
      <c r="AC13" s="176"/>
      <c r="AD13" s="176"/>
      <c r="AE13" s="176"/>
      <c r="AF13" s="176"/>
      <c r="AG13" s="176"/>
      <c r="AH13" s="183"/>
    </row>
    <row r="14" spans="1:34" ht="15.75" x14ac:dyDescent="0.25">
      <c r="A14" s="5"/>
      <c r="B14" s="9" t="s">
        <v>131</v>
      </c>
      <c r="C14" s="9">
        <v>5</v>
      </c>
      <c r="F14" s="9">
        <v>7</v>
      </c>
      <c r="G14" s="9">
        <v>10</v>
      </c>
      <c r="H14" s="9"/>
      <c r="S14" s="64" t="s">
        <v>148</v>
      </c>
      <c r="T14" s="64">
        <v>5</v>
      </c>
      <c r="W14" s="64">
        <v>2</v>
      </c>
      <c r="X14" s="64">
        <v>15</v>
      </c>
      <c r="Y14" s="9"/>
      <c r="AB14" s="176"/>
      <c r="AC14" s="176"/>
      <c r="AD14" s="176"/>
      <c r="AE14" s="176"/>
      <c r="AF14" s="176"/>
      <c r="AG14" s="176"/>
      <c r="AH14" s="183"/>
    </row>
    <row r="15" spans="1:34" ht="15.75" x14ac:dyDescent="0.25">
      <c r="A15" s="60"/>
      <c r="B15" s="60"/>
      <c r="C15" s="60"/>
      <c r="D15" s="33"/>
      <c r="E15" s="33"/>
      <c r="F15" s="60"/>
      <c r="G15" s="60"/>
      <c r="H15" s="60"/>
      <c r="I15" s="33"/>
      <c r="J15" s="33"/>
      <c r="K15" s="60"/>
      <c r="L15" s="60"/>
      <c r="M15" s="60"/>
      <c r="N15" s="60"/>
      <c r="O15" s="60"/>
      <c r="P15" s="60"/>
      <c r="Q15" s="60"/>
      <c r="R15" s="60"/>
      <c r="S15" s="60"/>
      <c r="T15" s="60"/>
      <c r="U15" s="33"/>
      <c r="V15" s="33"/>
      <c r="W15" s="60"/>
      <c r="X15" s="60"/>
      <c r="Y15" s="60"/>
      <c r="Z15" s="33"/>
      <c r="AA15" s="33"/>
      <c r="AB15" s="33"/>
      <c r="AC15" s="33"/>
      <c r="AD15" s="33"/>
      <c r="AE15" s="33"/>
      <c r="AF15" s="33"/>
      <c r="AG15" s="33"/>
      <c r="AH15" s="183"/>
    </row>
    <row r="16" spans="1:34" x14ac:dyDescent="0.25">
      <c r="A16" s="237" t="s">
        <v>227</v>
      </c>
      <c r="B16" s="9"/>
      <c r="C16" s="9"/>
      <c r="F16" s="9"/>
      <c r="G16" s="9"/>
      <c r="H16" s="9"/>
      <c r="K16" s="9"/>
      <c r="S16" s="9"/>
      <c r="T16" s="9"/>
      <c r="W16" s="9"/>
      <c r="X16" s="9"/>
      <c r="Y16" s="9"/>
      <c r="AB16" s="176"/>
      <c r="AC16" s="176"/>
      <c r="AD16" s="176"/>
      <c r="AE16" s="176"/>
      <c r="AF16" s="176"/>
      <c r="AG16" s="176"/>
    </row>
    <row r="17" spans="1:33" x14ac:dyDescent="0.25">
      <c r="A17" s="240" t="s">
        <v>226</v>
      </c>
      <c r="B17" s="9"/>
      <c r="C17" s="9"/>
      <c r="F17" s="9"/>
      <c r="G17" s="9"/>
      <c r="H17" s="9"/>
      <c r="K17" s="9"/>
      <c r="S17" s="239" t="s">
        <v>391</v>
      </c>
      <c r="T17" s="9"/>
      <c r="W17" s="9"/>
      <c r="X17" s="9"/>
      <c r="Y17" s="9"/>
      <c r="AB17" s="176"/>
      <c r="AC17" s="176"/>
      <c r="AD17" s="176"/>
      <c r="AE17" s="176"/>
      <c r="AF17" s="176"/>
      <c r="AG17" s="176"/>
    </row>
    <row r="18" spans="1:33" x14ac:dyDescent="0.25">
      <c r="A18" s="9" t="s">
        <v>388</v>
      </c>
      <c r="B18" s="9"/>
      <c r="C18" s="9"/>
      <c r="F18" s="9"/>
      <c r="G18" s="9"/>
      <c r="H18" s="9"/>
      <c r="K18" s="9"/>
      <c r="S18" s="9"/>
      <c r="T18" s="9"/>
      <c r="W18" s="9"/>
      <c r="X18" s="9"/>
      <c r="Y18" s="9"/>
      <c r="AB18" s="176"/>
      <c r="AC18" s="176"/>
      <c r="AD18" s="176"/>
      <c r="AE18" s="176"/>
      <c r="AF18" s="176"/>
      <c r="AG18" s="176"/>
    </row>
    <row r="19" spans="1:33" x14ac:dyDescent="0.25">
      <c r="A19" s="9" t="s">
        <v>389</v>
      </c>
      <c r="B19" s="9"/>
      <c r="C19" s="9"/>
      <c r="F19" s="9"/>
      <c r="G19" s="9"/>
      <c r="H19" s="9"/>
      <c r="K19" s="9"/>
      <c r="S19" s="9"/>
      <c r="T19" s="9"/>
      <c r="W19" s="9"/>
      <c r="X19" s="9"/>
      <c r="Y19" s="9"/>
      <c r="AB19" s="176"/>
      <c r="AC19" s="176"/>
      <c r="AD19" s="176"/>
      <c r="AE19" s="176"/>
      <c r="AF19" s="176"/>
      <c r="AG19" s="176"/>
    </row>
    <row r="20" spans="1:33" x14ac:dyDescent="0.25">
      <c r="A20" s="9" t="s">
        <v>390</v>
      </c>
      <c r="B20" s="9"/>
      <c r="C20" s="9"/>
      <c r="F20" s="9"/>
      <c r="G20" s="9"/>
      <c r="H20" s="9"/>
      <c r="K20" s="9"/>
      <c r="S20" s="9"/>
      <c r="T20" s="9"/>
      <c r="W20" s="9"/>
      <c r="X20" s="9"/>
      <c r="Y20" s="9"/>
      <c r="AB20" s="176"/>
      <c r="AC20" s="176"/>
      <c r="AD20" s="176"/>
      <c r="AE20" s="176"/>
      <c r="AF20" s="176"/>
      <c r="AG20" s="176"/>
    </row>
    <row r="21" spans="1:33" x14ac:dyDescent="0.25">
      <c r="A21" s="62" t="s">
        <v>225</v>
      </c>
      <c r="B21" s="9"/>
      <c r="C21" s="9"/>
      <c r="F21" s="9"/>
      <c r="G21" s="9"/>
      <c r="H21" s="9"/>
      <c r="K21" s="9"/>
      <c r="S21" s="9"/>
      <c r="T21" s="9"/>
      <c r="W21" s="9"/>
      <c r="X21" s="9"/>
      <c r="Y21" s="9"/>
      <c r="AB21" s="176"/>
      <c r="AC21" s="176"/>
      <c r="AD21" s="176"/>
      <c r="AE21" s="176"/>
      <c r="AF21" s="176"/>
      <c r="AG21" s="176"/>
    </row>
    <row r="22" spans="1:33" x14ac:dyDescent="0.25">
      <c r="A22" s="62"/>
      <c r="B22" s="9"/>
      <c r="C22" s="9"/>
      <c r="F22" s="9"/>
      <c r="G22" s="9"/>
      <c r="H22" s="9"/>
      <c r="K22" s="9"/>
      <c r="S22" s="9"/>
      <c r="T22" s="9"/>
      <c r="W22" s="9"/>
      <c r="X22" s="9"/>
      <c r="Y22" s="9"/>
      <c r="AB22" s="176"/>
      <c r="AC22" s="176"/>
      <c r="AD22" s="176"/>
      <c r="AE22" s="176"/>
      <c r="AF22" s="176"/>
      <c r="AG22" s="176"/>
    </row>
    <row r="23" spans="1:33" s="64" customFormat="1" ht="19.5" x14ac:dyDescent="0.3">
      <c r="A23" s="112"/>
      <c r="B23" s="63"/>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row>
    <row r="24" spans="1:33" s="64" customFormat="1" ht="20.25" thickBot="1" x14ac:dyDescent="0.35">
      <c r="A24" s="112" t="s">
        <v>361</v>
      </c>
      <c r="B24" s="63"/>
      <c r="C24" s="60"/>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row>
    <row r="25" spans="1:33" s="293" customFormat="1" ht="45" x14ac:dyDescent="0.25">
      <c r="A25" s="231" t="s">
        <v>251</v>
      </c>
      <c r="B25" s="238" t="s">
        <v>382</v>
      </c>
      <c r="C25" s="131" t="s">
        <v>140</v>
      </c>
      <c r="D25" s="131" t="s">
        <v>432</v>
      </c>
      <c r="E25" s="131" t="s">
        <v>433</v>
      </c>
      <c r="F25" s="131" t="s">
        <v>141</v>
      </c>
      <c r="G25" s="131" t="s">
        <v>126</v>
      </c>
      <c r="H25" s="131" t="s">
        <v>385</v>
      </c>
      <c r="I25" s="231" t="s">
        <v>434</v>
      </c>
      <c r="J25" s="231" t="s">
        <v>435</v>
      </c>
      <c r="K25" s="407" t="s">
        <v>426</v>
      </c>
      <c r="S25" s="238" t="s">
        <v>382</v>
      </c>
      <c r="T25" s="131" t="s">
        <v>140</v>
      </c>
      <c r="U25" s="131" t="s">
        <v>432</v>
      </c>
      <c r="V25" s="131" t="s">
        <v>433</v>
      </c>
      <c r="W25" s="131" t="s">
        <v>141</v>
      </c>
      <c r="X25" s="131" t="s">
        <v>126</v>
      </c>
      <c r="Y25" s="131" t="s">
        <v>385</v>
      </c>
      <c r="Z25" s="131" t="s">
        <v>434</v>
      </c>
      <c r="AA25" s="131" t="s">
        <v>435</v>
      </c>
      <c r="AB25" s="411" t="s">
        <v>426</v>
      </c>
      <c r="AC25" s="869"/>
      <c r="AD25" s="869"/>
      <c r="AE25" s="869"/>
      <c r="AF25" s="869"/>
      <c r="AG25" s="300"/>
    </row>
    <row r="26" spans="1:33" s="10" customFormat="1" x14ac:dyDescent="0.25">
      <c r="A26" s="9" t="s">
        <v>71</v>
      </c>
      <c r="B26" s="9" t="str">
        <f t="shared" ref="B26:C29" si="0">B5</f>
        <v>Leakage 1* </v>
      </c>
      <c r="C26" s="5">
        <f t="shared" si="0"/>
        <v>1</v>
      </c>
      <c r="D26" s="278">
        <f>6-C26</f>
        <v>5</v>
      </c>
      <c r="E26" s="278">
        <f>(D26*100)/D$35</f>
        <v>17.241379310344829</v>
      </c>
      <c r="F26" s="5">
        <f t="shared" ref="F26:G29" si="1">F5</f>
        <v>21</v>
      </c>
      <c r="G26" s="5">
        <f t="shared" si="1"/>
        <v>0</v>
      </c>
      <c r="H26" s="5">
        <f>F26-G26</f>
        <v>21</v>
      </c>
      <c r="I26" s="294">
        <f>(H26+31)/(7*31)</f>
        <v>0.23963133640552994</v>
      </c>
      <c r="J26" s="286">
        <f>(I26*100)/I$35</f>
        <v>13.231552162849873</v>
      </c>
      <c r="K26" s="408">
        <f>AVERAGE(E26,J26)</f>
        <v>15.236465736597351</v>
      </c>
      <c r="S26" s="9" t="str">
        <f t="shared" ref="S26:T29" si="2">S5</f>
        <v>Leakage 1* </v>
      </c>
      <c r="T26" s="277">
        <f t="shared" si="2"/>
        <v>1</v>
      </c>
      <c r="U26" s="278">
        <f>6-T26</f>
        <v>5</v>
      </c>
      <c r="V26" s="278">
        <f>(U26*100)/U$35</f>
        <v>17.699115044247787</v>
      </c>
      <c r="W26" s="277">
        <f t="shared" ref="W26:X28" si="3">W5</f>
        <v>4</v>
      </c>
      <c r="X26" s="277">
        <f t="shared" si="3"/>
        <v>0</v>
      </c>
      <c r="Y26" s="277">
        <f>W26-X26</f>
        <v>4</v>
      </c>
      <c r="Z26" s="301">
        <f>(Y26+27)/(7*27)</f>
        <v>0.16402116402116401</v>
      </c>
      <c r="AA26" s="302">
        <f>(Z26*100)/Z$35</f>
        <v>11.460258780036966</v>
      </c>
      <c r="AB26" s="412">
        <f>AVERAGE(V26,AA26)</f>
        <v>14.579686912142376</v>
      </c>
      <c r="AC26" s="870"/>
      <c r="AD26" s="870"/>
      <c r="AE26" s="870"/>
      <c r="AF26" s="870"/>
      <c r="AG26" s="163"/>
    </row>
    <row r="27" spans="1:33" s="10" customFormat="1" x14ac:dyDescent="0.25">
      <c r="A27" s="9" t="s">
        <v>246</v>
      </c>
      <c r="B27" s="9" t="str">
        <f t="shared" si="0"/>
        <v>Increased metering (not smart meters)**</v>
      </c>
      <c r="C27" s="5">
        <f t="shared" si="0"/>
        <v>1</v>
      </c>
      <c r="D27" s="278">
        <f>6-C27</f>
        <v>5</v>
      </c>
      <c r="E27" s="278">
        <f t="shared" ref="E27:E34" si="4">(D27*100)/D$35</f>
        <v>17.241379310344829</v>
      </c>
      <c r="F27" s="5">
        <f t="shared" si="1"/>
        <v>43</v>
      </c>
      <c r="G27" s="5">
        <f t="shared" si="1"/>
        <v>1</v>
      </c>
      <c r="H27" s="5">
        <f>F27-G27</f>
        <v>42</v>
      </c>
      <c r="I27" s="294">
        <f>(H27+31)/(7*31)</f>
        <v>0.33640552995391704</v>
      </c>
      <c r="J27" s="286">
        <f t="shared" ref="J27:J34" si="5">(I27*100)/I$35</f>
        <v>18.575063613231553</v>
      </c>
      <c r="K27" s="408">
        <f>AVERAGE(E27,J27)</f>
        <v>17.908221461788191</v>
      </c>
      <c r="S27" s="9" t="str">
        <f t="shared" si="2"/>
        <v>Increased metering**</v>
      </c>
      <c r="T27" s="277">
        <f t="shared" si="2"/>
        <v>1</v>
      </c>
      <c r="U27" s="278">
        <f t="shared" ref="U27:U34" si="6">6-T27</f>
        <v>5</v>
      </c>
      <c r="V27" s="278">
        <f>(U27*100)/U$35</f>
        <v>17.699115044247787</v>
      </c>
      <c r="W27" s="277">
        <f t="shared" si="3"/>
        <v>2</v>
      </c>
      <c r="X27" s="277">
        <f t="shared" si="3"/>
        <v>4</v>
      </c>
      <c r="Y27" s="277">
        <f>W27-X27</f>
        <v>-2</v>
      </c>
      <c r="Z27" s="301">
        <f t="shared" ref="Z27:Z34" si="7">(Y27+27)/(7*27)</f>
        <v>0.13227513227513227</v>
      </c>
      <c r="AA27" s="302">
        <f>(Z27*100)/Z$35</f>
        <v>9.2421441774491662</v>
      </c>
      <c r="AB27" s="412">
        <f>AVERAGE(V27,AA27)</f>
        <v>13.470629610848476</v>
      </c>
      <c r="AC27" s="870"/>
      <c r="AD27" s="870"/>
      <c r="AE27" s="870"/>
      <c r="AF27" s="870"/>
      <c r="AG27" s="163"/>
    </row>
    <row r="28" spans="1:33" s="10" customFormat="1" x14ac:dyDescent="0.25">
      <c r="A28" s="9" t="s">
        <v>74</v>
      </c>
      <c r="B28" s="9" t="str">
        <f t="shared" si="0"/>
        <v>Smart metering</v>
      </c>
      <c r="C28" s="5">
        <f t="shared" si="0"/>
        <v>1</v>
      </c>
      <c r="D28" s="278">
        <f>6-C28</f>
        <v>5</v>
      </c>
      <c r="E28" s="278">
        <f t="shared" si="4"/>
        <v>17.241379310344829</v>
      </c>
      <c r="F28" s="5">
        <f t="shared" si="1"/>
        <v>34</v>
      </c>
      <c r="G28" s="5">
        <f t="shared" si="1"/>
        <v>1</v>
      </c>
      <c r="H28" s="5">
        <f>F28-G28</f>
        <v>33</v>
      </c>
      <c r="I28" s="294">
        <f>(H28+31)/(7*31)</f>
        <v>0.29493087557603687</v>
      </c>
      <c r="J28" s="286">
        <f t="shared" si="5"/>
        <v>16.284987277353693</v>
      </c>
      <c r="K28" s="408">
        <f>AVERAGE(E28,J28)</f>
        <v>16.763183293849259</v>
      </c>
      <c r="S28" s="9" t="str">
        <f t="shared" si="2"/>
        <v>Smart metering</v>
      </c>
      <c r="T28" s="277">
        <f t="shared" si="2"/>
        <v>1</v>
      </c>
      <c r="U28" s="278">
        <f t="shared" si="6"/>
        <v>5</v>
      </c>
      <c r="V28" s="278">
        <f>(U28*100)/U$35</f>
        <v>17.699115044247787</v>
      </c>
      <c r="W28" s="277">
        <f t="shared" si="3"/>
        <v>42</v>
      </c>
      <c r="X28" s="277">
        <f t="shared" si="3"/>
        <v>3</v>
      </c>
      <c r="Y28" s="277">
        <f>W28-X28</f>
        <v>39</v>
      </c>
      <c r="Z28" s="301">
        <f t="shared" si="7"/>
        <v>0.34920634920634919</v>
      </c>
      <c r="AA28" s="302">
        <f>(Z28*100)/Z$35</f>
        <v>24.3992606284658</v>
      </c>
      <c r="AB28" s="412">
        <f>AVERAGE(V28,AA28)</f>
        <v>21.049187836356793</v>
      </c>
      <c r="AC28" s="870"/>
      <c r="AD28" s="870"/>
      <c r="AE28" s="870"/>
      <c r="AF28" s="870"/>
      <c r="AG28" s="163"/>
    </row>
    <row r="29" spans="1:33" s="10" customFormat="1" x14ac:dyDescent="0.25">
      <c r="A29" s="9" t="s">
        <v>230</v>
      </c>
      <c r="B29" s="9" t="str">
        <f t="shared" si="0"/>
        <v>Reducing customer water usage </v>
      </c>
      <c r="C29" s="5">
        <f t="shared" si="0"/>
        <v>2</v>
      </c>
      <c r="D29" s="278">
        <f>6-C29</f>
        <v>4</v>
      </c>
      <c r="E29" s="278">
        <f t="shared" si="4"/>
        <v>13.793103448275861</v>
      </c>
      <c r="F29" s="5">
        <f t="shared" si="1"/>
        <v>17</v>
      </c>
      <c r="G29" s="5">
        <f t="shared" si="1"/>
        <v>1</v>
      </c>
      <c r="H29" s="5">
        <f>F29-G29</f>
        <v>16</v>
      </c>
      <c r="I29" s="294">
        <f>(H29+31)/(7*31)</f>
        <v>0.21658986175115208</v>
      </c>
      <c r="J29" s="286">
        <f t="shared" si="5"/>
        <v>11.959287531806616</v>
      </c>
      <c r="K29" s="408">
        <f>AVERAGE(E29,J29)</f>
        <v>12.876195490041239</v>
      </c>
      <c r="S29" s="9" t="str">
        <f t="shared" si="2"/>
        <v>Reducing customer water usage </v>
      </c>
      <c r="T29" s="277">
        <f t="shared" si="2"/>
        <v>2</v>
      </c>
      <c r="U29" s="278">
        <f t="shared" si="6"/>
        <v>4</v>
      </c>
      <c r="V29" s="278">
        <f>(U29*100)/U$35</f>
        <v>14.159292035398231</v>
      </c>
      <c r="W29" s="277">
        <f>W8</f>
        <v>13</v>
      </c>
      <c r="X29" s="277">
        <f>X8</f>
        <v>1</v>
      </c>
      <c r="Y29" s="277">
        <f>W29-X29</f>
        <v>12</v>
      </c>
      <c r="Z29" s="301">
        <f t="shared" si="7"/>
        <v>0.20634920634920634</v>
      </c>
      <c r="AA29" s="302">
        <f>(Z29*100)/Z$35</f>
        <v>14.417744916820698</v>
      </c>
      <c r="AB29" s="412">
        <f>AVERAGE(V29,AA29)</f>
        <v>14.288518476109465</v>
      </c>
      <c r="AC29" s="870"/>
      <c r="AD29" s="870"/>
      <c r="AE29" s="870"/>
      <c r="AF29" s="870"/>
      <c r="AG29" s="163"/>
    </row>
    <row r="30" spans="1:33" s="10" customFormat="1" x14ac:dyDescent="0.25">
      <c r="A30" s="9" t="s">
        <v>233</v>
      </c>
      <c r="B30" s="9" t="str">
        <f>B12</f>
        <v>Increasing Blithfield</v>
      </c>
      <c r="C30" s="5">
        <f>C12</f>
        <v>3.5</v>
      </c>
      <c r="D30" s="278">
        <f>6-C30</f>
        <v>2.5</v>
      </c>
      <c r="E30" s="278">
        <f t="shared" si="4"/>
        <v>8.6206896551724146</v>
      </c>
      <c r="F30" s="5">
        <f>F12</f>
        <v>9</v>
      </c>
      <c r="G30" s="5">
        <f>G12</f>
        <v>3</v>
      </c>
      <c r="H30" s="5">
        <f>F30-G30</f>
        <v>6</v>
      </c>
      <c r="I30" s="294">
        <f>(H30+31)/(7*31)</f>
        <v>0.17050691244239632</v>
      </c>
      <c r="J30" s="286">
        <f t="shared" si="5"/>
        <v>9.4147582697201031</v>
      </c>
      <c r="K30" s="408">
        <f>AVERAGE(E30,J30)</f>
        <v>9.017723962446258</v>
      </c>
      <c r="S30" s="60"/>
      <c r="T30" s="18"/>
      <c r="U30" s="18"/>
      <c r="V30" s="18"/>
      <c r="W30" s="18"/>
      <c r="X30" s="18"/>
      <c r="Y30" s="18"/>
      <c r="Z30" s="18"/>
      <c r="AA30" s="18"/>
      <c r="AB30" s="413"/>
      <c r="AC30" s="871"/>
      <c r="AD30" s="871"/>
      <c r="AE30" s="871"/>
      <c r="AF30" s="871"/>
      <c r="AG30" s="18"/>
    </row>
    <row r="31" spans="1:33" s="10" customFormat="1" x14ac:dyDescent="0.25">
      <c r="A31" s="9" t="s">
        <v>232</v>
      </c>
      <c r="B31" s="18"/>
      <c r="C31" s="18"/>
      <c r="D31" s="18"/>
      <c r="E31" s="18"/>
      <c r="F31" s="18"/>
      <c r="G31" s="18"/>
      <c r="H31" s="18"/>
      <c r="I31" s="182"/>
      <c r="J31" s="182"/>
      <c r="K31" s="409"/>
      <c r="S31" s="7" t="s">
        <v>383</v>
      </c>
      <c r="T31" s="277">
        <f>AVERAGE(T12,T13)</f>
        <v>1</v>
      </c>
      <c r="U31" s="278">
        <f t="shared" si="6"/>
        <v>5</v>
      </c>
      <c r="V31" s="278">
        <f>(U31*100)/U$35</f>
        <v>17.699115044247787</v>
      </c>
      <c r="W31" s="277">
        <f>AVERAGE(W12,W13)</f>
        <v>34</v>
      </c>
      <c r="X31" s="277">
        <f>AVERAGE(X12,X13)</f>
        <v>0</v>
      </c>
      <c r="Y31" s="277">
        <f>W31-X31</f>
        <v>34</v>
      </c>
      <c r="Z31" s="301">
        <f t="shared" si="7"/>
        <v>0.32275132275132273</v>
      </c>
      <c r="AA31" s="302">
        <f>(Z31*100)/Z$35</f>
        <v>22.550831792975966</v>
      </c>
      <c r="AB31" s="412">
        <f>AVERAGE(V31,AA31)</f>
        <v>20.124973418611876</v>
      </c>
      <c r="AC31" s="870"/>
      <c r="AD31" s="870"/>
      <c r="AE31" s="870"/>
      <c r="AF31" s="870"/>
      <c r="AG31" s="163"/>
    </row>
    <row r="32" spans="1:33" s="10" customFormat="1" x14ac:dyDescent="0.25">
      <c r="A32" s="9" t="s">
        <v>72</v>
      </c>
      <c r="B32" s="9" t="str">
        <f>B13</f>
        <v>Taking water from River Trent</v>
      </c>
      <c r="C32" s="5">
        <f>C13</f>
        <v>3.5</v>
      </c>
      <c r="D32" s="278">
        <f>6-C32</f>
        <v>2.5</v>
      </c>
      <c r="E32" s="278">
        <f t="shared" si="4"/>
        <v>8.6206896551724146</v>
      </c>
      <c r="F32" s="5">
        <f>F13</f>
        <v>16</v>
      </c>
      <c r="G32" s="5">
        <f>G13</f>
        <v>14</v>
      </c>
      <c r="H32" s="5">
        <f>F32-G32</f>
        <v>2</v>
      </c>
      <c r="I32" s="294">
        <f>(H32+31)/(7*31)</f>
        <v>0.15207373271889402</v>
      </c>
      <c r="J32" s="286">
        <f t="shared" si="5"/>
        <v>8.3969465648854982</v>
      </c>
      <c r="K32" s="408">
        <f>AVERAGE(E32,J32)</f>
        <v>8.5088181100289564</v>
      </c>
      <c r="S32" s="60"/>
      <c r="T32" s="18"/>
      <c r="U32" s="18"/>
      <c r="V32" s="18"/>
      <c r="W32" s="18"/>
      <c r="X32" s="18"/>
      <c r="Y32" s="18"/>
      <c r="Z32" s="18"/>
      <c r="AA32" s="18"/>
      <c r="AB32" s="413"/>
      <c r="AC32" s="871"/>
      <c r="AD32" s="871"/>
      <c r="AE32" s="871"/>
      <c r="AF32" s="871"/>
      <c r="AG32" s="18"/>
    </row>
    <row r="33" spans="1:34" s="10" customFormat="1" x14ac:dyDescent="0.25">
      <c r="A33" s="9" t="s">
        <v>73</v>
      </c>
      <c r="B33" s="9" t="str">
        <f>B14</f>
        <v>Abstracting groundwater</v>
      </c>
      <c r="C33" s="5">
        <f>C14</f>
        <v>5</v>
      </c>
      <c r="D33" s="278">
        <f>6-C33</f>
        <v>1</v>
      </c>
      <c r="E33" s="278">
        <f t="shared" si="4"/>
        <v>3.4482758620689653</v>
      </c>
      <c r="F33" s="5">
        <f>F14</f>
        <v>7</v>
      </c>
      <c r="G33" s="5">
        <f>G14</f>
        <v>10</v>
      </c>
      <c r="H33" s="5">
        <f>F33-G33</f>
        <v>-3</v>
      </c>
      <c r="I33" s="294">
        <f>(H33+31)/(7*31)</f>
        <v>0.12903225806451613</v>
      </c>
      <c r="J33" s="286">
        <f t="shared" si="5"/>
        <v>7.1246819338422398</v>
      </c>
      <c r="K33" s="408">
        <f>AVERAGE(E33,J33)</f>
        <v>5.2864788979556021</v>
      </c>
      <c r="S33" s="9" t="str">
        <f>S14</f>
        <v>Abstracting groundwater </v>
      </c>
      <c r="T33" s="277">
        <f>T14</f>
        <v>5</v>
      </c>
      <c r="U33" s="278">
        <f t="shared" si="6"/>
        <v>1</v>
      </c>
      <c r="V33" s="278">
        <f>(U33*100)/U$35</f>
        <v>3.5398230088495577</v>
      </c>
      <c r="W33" s="277">
        <f>W14</f>
        <v>2</v>
      </c>
      <c r="X33" s="277">
        <f>X14</f>
        <v>15</v>
      </c>
      <c r="Y33" s="277">
        <f>W33-X33</f>
        <v>-13</v>
      </c>
      <c r="Z33" s="301">
        <f t="shared" si="7"/>
        <v>7.407407407407407E-2</v>
      </c>
      <c r="AA33" s="302">
        <f>(Z33*100)/Z$35</f>
        <v>5.1756007393715331</v>
      </c>
      <c r="AB33" s="412">
        <f>AVERAGE(V33,AA33)</f>
        <v>4.3577118741105458</v>
      </c>
      <c r="AC33" s="870"/>
      <c r="AD33" s="870"/>
      <c r="AE33" s="870"/>
      <c r="AF33" s="870"/>
      <c r="AG33" s="163"/>
    </row>
    <row r="34" spans="1:34" s="10" customFormat="1" x14ac:dyDescent="0.25">
      <c r="A34" s="9" t="s">
        <v>129</v>
      </c>
      <c r="B34" s="9" t="str">
        <f>B9</f>
        <v>Trading with another water company</v>
      </c>
      <c r="C34" s="5">
        <f>C9</f>
        <v>2</v>
      </c>
      <c r="D34" s="278">
        <f>6-C34</f>
        <v>4</v>
      </c>
      <c r="E34" s="278">
        <f t="shared" si="4"/>
        <v>13.793103448275861</v>
      </c>
      <c r="F34" s="5">
        <f>F9</f>
        <v>31</v>
      </c>
      <c r="G34" s="5">
        <f>G9</f>
        <v>3</v>
      </c>
      <c r="H34" s="5">
        <f>F34-G34</f>
        <v>28</v>
      </c>
      <c r="I34" s="294">
        <f>(H34+31)/(7*31)</f>
        <v>0.27188940092165897</v>
      </c>
      <c r="J34" s="286">
        <f t="shared" si="5"/>
        <v>15.012722646310433</v>
      </c>
      <c r="K34" s="408">
        <f>AVERAGE(E34,J34)</f>
        <v>14.402913047293147</v>
      </c>
      <c r="S34" s="7" t="s">
        <v>384</v>
      </c>
      <c r="T34" s="277">
        <f>AVERAGE(T9,T10)</f>
        <v>2.75</v>
      </c>
      <c r="U34" s="278">
        <f t="shared" si="6"/>
        <v>3.25</v>
      </c>
      <c r="V34" s="278">
        <f>(U34*100)/U$35</f>
        <v>11.504424778761061</v>
      </c>
      <c r="W34" s="277">
        <f>AVERAGE(W9,W10)</f>
        <v>9</v>
      </c>
      <c r="X34" s="277">
        <f>AVERAGE(X9,X10)</f>
        <v>1.5</v>
      </c>
      <c r="Y34" s="277">
        <f>W34-X34</f>
        <v>7.5</v>
      </c>
      <c r="Z34" s="301">
        <f t="shared" si="7"/>
        <v>0.18253968253968253</v>
      </c>
      <c r="AA34" s="302">
        <f>(Z34*100)/Z$35</f>
        <v>12.754158964879849</v>
      </c>
      <c r="AB34" s="412">
        <f>AVERAGE(V34,AA34)</f>
        <v>12.129291871820456</v>
      </c>
      <c r="AC34" s="870"/>
      <c r="AD34" s="870"/>
      <c r="AE34" s="870"/>
      <c r="AF34" s="870"/>
      <c r="AG34" s="163"/>
    </row>
    <row r="35" spans="1:34" ht="15.75" thickBot="1" x14ac:dyDescent="0.3">
      <c r="C35" s="4">
        <f t="shared" ref="C35:K35" si="8">SUM(C26:C34)</f>
        <v>19</v>
      </c>
      <c r="D35" s="283">
        <f t="shared" si="8"/>
        <v>29</v>
      </c>
      <c r="E35" s="284">
        <f t="shared" si="8"/>
        <v>100</v>
      </c>
      <c r="F35" s="284">
        <f t="shared" si="8"/>
        <v>178</v>
      </c>
      <c r="G35" s="284">
        <f t="shared" si="8"/>
        <v>33</v>
      </c>
      <c r="H35" s="284">
        <f t="shared" si="8"/>
        <v>145</v>
      </c>
      <c r="I35" s="287">
        <f t="shared" si="8"/>
        <v>1.8110599078341012</v>
      </c>
      <c r="J35" s="275">
        <f t="shared" si="8"/>
        <v>100.00000000000001</v>
      </c>
      <c r="K35" s="410">
        <f t="shared" si="8"/>
        <v>100</v>
      </c>
      <c r="T35" s="283">
        <f t="shared" ref="T35:AB35" si="9">SUM(T26:T34)</f>
        <v>13.75</v>
      </c>
      <c r="U35" s="283">
        <f t="shared" si="9"/>
        <v>28.25</v>
      </c>
      <c r="V35" s="284">
        <f t="shared" si="9"/>
        <v>100</v>
      </c>
      <c r="W35" s="284">
        <f t="shared" si="9"/>
        <v>106</v>
      </c>
      <c r="X35" s="284">
        <f t="shared" si="9"/>
        <v>24.5</v>
      </c>
      <c r="Y35" s="284">
        <f t="shared" si="9"/>
        <v>81.5</v>
      </c>
      <c r="Z35" s="289">
        <f t="shared" si="9"/>
        <v>1.4312169312169314</v>
      </c>
      <c r="AA35" s="284">
        <f t="shared" si="9"/>
        <v>99.999999999999986</v>
      </c>
      <c r="AB35" s="414">
        <f t="shared" si="9"/>
        <v>100</v>
      </c>
      <c r="AC35" s="872"/>
      <c r="AD35" s="872"/>
      <c r="AE35" s="872"/>
      <c r="AF35" s="872"/>
      <c r="AG35" s="181"/>
    </row>
    <row r="36" spans="1:34" s="10" customFormat="1" x14ac:dyDescent="0.25">
      <c r="A36" s="15"/>
      <c r="B36" s="15"/>
      <c r="C36" s="15"/>
      <c r="D36" s="15"/>
      <c r="E36" s="15"/>
      <c r="F36" s="15"/>
      <c r="G36" s="15"/>
      <c r="H36" s="15"/>
      <c r="I36" s="15"/>
      <c r="J36" s="15"/>
      <c r="K36" s="15"/>
      <c r="S36" s="15"/>
      <c r="T36" s="18"/>
      <c r="U36" s="18"/>
      <c r="V36" s="18"/>
      <c r="W36" s="18"/>
      <c r="X36" s="18"/>
      <c r="Y36" s="18"/>
      <c r="Z36" s="18"/>
      <c r="AA36" s="18"/>
      <c r="AB36" s="18"/>
      <c r="AC36" s="18"/>
      <c r="AD36" s="18"/>
      <c r="AE36" s="18"/>
      <c r="AF36" s="18"/>
      <c r="AG36" s="18"/>
    </row>
    <row r="37" spans="1:34" s="10" customFormat="1" x14ac:dyDescent="0.25">
      <c r="A37" s="61" t="s">
        <v>387</v>
      </c>
      <c r="B37" s="5"/>
      <c r="C37" s="5"/>
      <c r="D37" s="5"/>
      <c r="E37" s="5"/>
      <c r="F37" s="5"/>
      <c r="G37" s="5"/>
      <c r="I37" s="5"/>
      <c r="J37" s="5"/>
      <c r="L37" s="5"/>
      <c r="M37" s="5"/>
      <c r="N37" s="5"/>
      <c r="O37" s="5"/>
      <c r="P37" s="5"/>
      <c r="Q37" s="5"/>
      <c r="R37" s="5"/>
      <c r="S37" s="5"/>
      <c r="T37" s="5"/>
      <c r="U37" s="5"/>
      <c r="V37" s="5"/>
      <c r="W37" s="5"/>
      <c r="X37" s="5"/>
      <c r="Y37" s="5"/>
      <c r="Z37" s="5"/>
      <c r="AA37" s="5"/>
    </row>
    <row r="38" spans="1:34" x14ac:dyDescent="0.25">
      <c r="H38" s="175"/>
      <c r="K38" s="175"/>
    </row>
    <row r="39" spans="1:34" x14ac:dyDescent="0.25"/>
    <row r="40" spans="1:34" x14ac:dyDescent="0.25"/>
    <row r="41" spans="1:34" x14ac:dyDescent="0.25"/>
    <row r="42" spans="1:34" s="9" customFormat="1" x14ac:dyDescent="0.25">
      <c r="A42" s="60"/>
      <c r="B42" s="60"/>
      <c r="C42" s="60"/>
      <c r="D42" s="110"/>
      <c r="E42" s="110"/>
      <c r="F42" s="110"/>
      <c r="G42" s="110"/>
      <c r="H42" s="110"/>
      <c r="I42" s="110"/>
      <c r="J42" s="111"/>
      <c r="K42" s="110"/>
      <c r="L42" s="110"/>
      <c r="M42" s="110"/>
      <c r="N42" s="110"/>
      <c r="O42" s="110"/>
      <c r="P42" s="110"/>
      <c r="Q42" s="110"/>
      <c r="R42" s="110"/>
      <c r="S42" s="38"/>
      <c r="T42" s="111"/>
      <c r="U42" s="110"/>
      <c r="V42" s="110"/>
      <c r="W42" s="110"/>
      <c r="X42" s="110"/>
      <c r="Y42" s="110"/>
      <c r="Z42" s="110"/>
      <c r="AA42" s="110"/>
      <c r="AB42" s="110"/>
      <c r="AC42" s="110"/>
      <c r="AD42" s="110"/>
      <c r="AE42" s="110"/>
      <c r="AF42" s="110"/>
      <c r="AG42" s="110"/>
      <c r="AH42" s="110"/>
    </row>
    <row r="43" spans="1:34" s="9" customFormat="1" ht="19.5" x14ac:dyDescent="0.3">
      <c r="A43" s="112" t="s">
        <v>362</v>
      </c>
      <c r="B43" s="60"/>
      <c r="C43" s="60"/>
      <c r="D43" s="242"/>
      <c r="E43" s="241"/>
      <c r="F43" s="241"/>
      <c r="G43" s="241"/>
      <c r="H43" s="241"/>
      <c r="I43" s="241"/>
      <c r="J43" s="243"/>
      <c r="K43" s="110"/>
      <c r="L43" s="110"/>
      <c r="M43" s="110"/>
      <c r="N43" s="110"/>
      <c r="O43" s="110"/>
      <c r="P43" s="110"/>
      <c r="Q43" s="110"/>
      <c r="R43" s="110"/>
      <c r="S43" s="38"/>
      <c r="T43" s="111"/>
      <c r="U43" s="110"/>
      <c r="V43" s="110"/>
      <c r="W43" s="110"/>
      <c r="X43" s="110"/>
      <c r="Y43" s="110"/>
      <c r="Z43" s="110"/>
      <c r="AA43" s="110"/>
      <c r="AB43" s="110"/>
      <c r="AC43" s="110"/>
      <c r="AD43" s="110"/>
      <c r="AE43" s="110"/>
      <c r="AF43" s="110"/>
      <c r="AG43" s="110"/>
      <c r="AH43" s="110"/>
    </row>
    <row r="44" spans="1:34" s="9" customFormat="1" ht="15" customHeight="1" thickBot="1" x14ac:dyDescent="0.3">
      <c r="A44" s="60"/>
      <c r="B44" s="63"/>
      <c r="C44" s="245"/>
      <c r="D44" s="129" t="s">
        <v>394</v>
      </c>
      <c r="E44" s="193"/>
      <c r="F44" s="193"/>
      <c r="G44" s="129" t="s">
        <v>395</v>
      </c>
      <c r="H44" s="129"/>
      <c r="I44" s="130"/>
      <c r="J44" s="244"/>
      <c r="K44" s="1014" t="s">
        <v>500</v>
      </c>
      <c r="L44" s="60"/>
      <c r="M44" s="60"/>
      <c r="N44" s="60"/>
      <c r="O44" s="60"/>
      <c r="P44" s="60"/>
      <c r="Q44" s="60"/>
      <c r="R44" s="60"/>
      <c r="S44" s="38"/>
      <c r="T44" s="129" t="s">
        <v>394</v>
      </c>
      <c r="U44" s="193"/>
      <c r="V44" s="193"/>
      <c r="W44" s="129" t="s">
        <v>395</v>
      </c>
      <c r="X44" s="129"/>
      <c r="Y44" s="130"/>
      <c r="Z44" s="244"/>
      <c r="AA44" s="1014" t="s">
        <v>500</v>
      </c>
      <c r="AB44" s="60"/>
      <c r="AC44" s="60"/>
      <c r="AD44" s="60"/>
      <c r="AE44" s="60"/>
      <c r="AF44" s="60"/>
      <c r="AG44" s="60"/>
      <c r="AH44" s="60"/>
    </row>
    <row r="45" spans="1:34" s="65" customFormat="1" ht="33" customHeight="1" x14ac:dyDescent="0.25">
      <c r="A45" s="66" t="s">
        <v>382</v>
      </c>
      <c r="B45" s="66" t="s">
        <v>425</v>
      </c>
      <c r="C45" s="246" t="s">
        <v>264</v>
      </c>
      <c r="D45" s="116" t="s">
        <v>259</v>
      </c>
      <c r="E45" s="116" t="s">
        <v>260</v>
      </c>
      <c r="F45" s="116" t="s">
        <v>261</v>
      </c>
      <c r="G45" s="116" t="s">
        <v>313</v>
      </c>
      <c r="H45" s="116" t="s">
        <v>312</v>
      </c>
      <c r="I45" s="116" t="s">
        <v>311</v>
      </c>
      <c r="J45" s="244" t="s">
        <v>426</v>
      </c>
      <c r="K45" s="1014"/>
      <c r="L45" s="868" t="s">
        <v>989</v>
      </c>
      <c r="M45" s="868" t="s">
        <v>990</v>
      </c>
      <c r="N45" s="868" t="s">
        <v>991</v>
      </c>
      <c r="O45" s="868" t="s">
        <v>992</v>
      </c>
      <c r="P45" s="66" t="s">
        <v>333</v>
      </c>
      <c r="Q45" s="116" t="s">
        <v>368</v>
      </c>
      <c r="R45" s="372" t="s">
        <v>367</v>
      </c>
      <c r="S45" s="38"/>
      <c r="T45" s="116" t="s">
        <v>259</v>
      </c>
      <c r="U45" s="116" t="s">
        <v>260</v>
      </c>
      <c r="V45" s="116" t="s">
        <v>261</v>
      </c>
      <c r="W45" s="116" t="s">
        <v>313</v>
      </c>
      <c r="X45" s="116" t="s">
        <v>312</v>
      </c>
      <c r="Y45" s="116" t="s">
        <v>311</v>
      </c>
      <c r="Z45" s="244" t="s">
        <v>426</v>
      </c>
      <c r="AA45" s="1014"/>
      <c r="AB45" s="868" t="s">
        <v>989</v>
      </c>
      <c r="AC45" s="868" t="s">
        <v>990</v>
      </c>
      <c r="AD45" s="868" t="s">
        <v>991</v>
      </c>
      <c r="AE45" s="868" t="s">
        <v>992</v>
      </c>
      <c r="AF45" s="66" t="s">
        <v>333</v>
      </c>
      <c r="AG45" s="116" t="s">
        <v>368</v>
      </c>
      <c r="AH45" s="372" t="s">
        <v>367</v>
      </c>
    </row>
    <row r="46" spans="1:34" s="176" customFormat="1" x14ac:dyDescent="0.25">
      <c r="A46" s="9" t="str">
        <f>A26</f>
        <v>Reducing leakage</v>
      </c>
      <c r="B46" s="64" t="s">
        <v>3</v>
      </c>
      <c r="C46" s="9" t="s">
        <v>3</v>
      </c>
      <c r="D46" s="192">
        <f ca="1">INDEX(INDIRECT("SSW_WTPCore2_"&amp;$C46&amp;"_Levels"),1,MATCH(D$45,WTPCore2_AttLevels,0))</f>
        <v>70.5</v>
      </c>
      <c r="E46" s="192"/>
      <c r="F46" s="192">
        <f ca="1">INDEX(INDIRECT("SSW_WTPCore2_"&amp;$C46&amp;"_Levels"),1,MATCH(F$45,WTPCore2_AttLevels,0))</f>
        <v>35.25</v>
      </c>
      <c r="G46" s="117">
        <f ca="1">INDEX(INDIRECT("SSW_WTPCore2_"&amp;$C46&amp;"_LevelValues"),1,MATCH("S1 MEAN",WTPCore2_LevelValues,0))</f>
        <v>1.2301339708448666</v>
      </c>
      <c r="H46" s="117">
        <f ca="1">INDEX(INDIRECT("SSW_WTPCore2_"&amp;$C46&amp;"_LevelValues"),1,MATCH("S2 MEAN",WTPCore2_LevelValues,0))</f>
        <v>0.44133293088857806</v>
      </c>
      <c r="I46" s="117">
        <f ca="1">SUM(G46:H46)</f>
        <v>1.6714669017334447</v>
      </c>
      <c r="J46" s="192">
        <f>VLOOKUP($A46,$A$26:$AI$34,COLUMN($K$25),0)</f>
        <v>15.236465736597351</v>
      </c>
      <c r="K46" s="370">
        <f>J46*SSW_bill_impact_leakage</f>
        <v>310.4203545656506</v>
      </c>
      <c r="L46" s="579">
        <f ca="1">INDEX(INDIRECT("SSW_WTPCore_DCE_"&amp;$C46&amp;"_UnitValues"),MATCH("COMBINED-HH",WTPCore_Group,0),MATCH("MEAN",LMH,0))</f>
        <v>31319.148936170212</v>
      </c>
      <c r="M46" s="579">
        <f ca="1">L46*(D46-$F46)/HHProps_SSW</f>
        <v>2</v>
      </c>
      <c r="N46" s="117">
        <f t="shared" ref="N46:N47" ca="1" si="10">INDEX(INDIRECT("SSW_WTPCore2_"&amp;$C46&amp;"_UnitValues"),1,MATCH("MEAN",LMH,0))</f>
        <v>26174.460418634368</v>
      </c>
      <c r="O46" s="848">
        <f ca="1">N46*(D46-$F46)/HHProps_SSW</f>
        <v>1.6714669017334447</v>
      </c>
      <c r="P46" s="118">
        <f ca="1">((K46*N$50)/K$49)</f>
        <v>2.8499789942377838</v>
      </c>
      <c r="Q46" s="29" t="s">
        <v>396</v>
      </c>
      <c r="R46" s="375">
        <f ca="1">(P46*HHProps_SSW)/((D46-F46))</f>
        <v>44629.458292744872</v>
      </c>
      <c r="T46" s="192">
        <f ca="1">INDEX(INDIRECT("CAM_WTPCore2_"&amp;$C46&amp;"_Levels"),1,MATCH(T$45,WTPCore2_AttLevels,0))</f>
        <v>13.5</v>
      </c>
      <c r="U46" s="192"/>
      <c r="V46" s="192">
        <f ca="1">INDEX(INDIRECT("CAM_WTPCore2_"&amp;$C46&amp;"_Levels"),1,MATCH(V$45,WTPCore2_AttLevels,0))</f>
        <v>6.75</v>
      </c>
      <c r="W46" s="117">
        <f ca="1">INDEX(INDIRECT("CAM_WTPCore2_"&amp;$C46&amp;"_LevelValues"),1,MATCH("S1 MEAN",WTPCore2_LevelValues,0))</f>
        <v>3.1349723048319831</v>
      </c>
      <c r="X46" s="117">
        <f ca="1">INDEX(INDIRECT("CAM_WTPCore2_"&amp;$C46&amp;"_LevelValues"),1,MATCH("S2 MEAN",WTPCore2_LevelValues,0))</f>
        <v>5.1405797633106154E-3</v>
      </c>
      <c r="Y46" s="117">
        <f ca="1">SUM(W46:X46)</f>
        <v>3.1401128845952937</v>
      </c>
      <c r="Z46" s="192">
        <f>VLOOKUP($A46,$A$26:$AI$34,COLUMN($AB$25),0)</f>
        <v>14.579686912142376</v>
      </c>
      <c r="AA46" s="370">
        <f>Z46*CAM_bill_impact_leakage</f>
        <v>180.95356096630607</v>
      </c>
      <c r="AB46" s="579">
        <f ca="1">INDEX(INDIRECT("CAM_WTPCore_"&amp;$C46&amp;"_UnitValues"),MATCH("COMBINED-HH",WTPCore_Group,0),MATCH("MEAN",LMH,0))</f>
        <v>140121.48148148149</v>
      </c>
      <c r="AC46" s="579">
        <f ca="1">AB46*(T46-V46)/HHProps_CAM</f>
        <v>7.22</v>
      </c>
      <c r="AD46" s="117">
        <f ca="1">INDEX(INDIRECT("CAM_WTPCore2_"&amp;$C46&amp;"_UnitValues"),1,MATCH("MEAN",LMH,0))</f>
        <v>60941.450056590147</v>
      </c>
      <c r="AE46" s="848">
        <f ca="1">AD46*(T46-$V46)/HHProps_CAM</f>
        <v>3.1401128845952937</v>
      </c>
      <c r="AF46" s="118">
        <f ca="1">AA46*AD$50/AA$49</f>
        <v>9.273675001280612</v>
      </c>
      <c r="AG46" s="29" t="s">
        <v>396</v>
      </c>
      <c r="AH46" s="375">
        <f ca="1">(AF46*HHProps_CAM)/((T46-V46))</f>
        <v>179977.98891374224</v>
      </c>
    </row>
    <row r="47" spans="1:34" s="176" customFormat="1" x14ac:dyDescent="0.25">
      <c r="A47" s="9" t="str">
        <f>A27</f>
        <v>Increased metering (not smart meters)</v>
      </c>
      <c r="B47" s="9" t="s">
        <v>324</v>
      </c>
      <c r="C47" s="9" t="s">
        <v>318</v>
      </c>
      <c r="D47" s="119">
        <f ca="1">INDEX(INDIRECT("SSW_WTPCore2_"&amp;$C47&amp;"_Levels"),1,MATCH(D$45,WTPCore2_AttLevels,0))</f>
        <v>0.33</v>
      </c>
      <c r="E47" s="119"/>
      <c r="F47" s="119">
        <f ca="1">INDEX(INDIRECT("SSW_WTPCore2_"&amp;$C47&amp;"_Levels"),1,MATCH(F$45,WTPCore2_AttLevels,0))</f>
        <v>0.5</v>
      </c>
      <c r="G47" s="117">
        <f ca="1">INDEX(INDIRECT("SSW_WTPCore2_"&amp;$C47&amp;"_LevelValues"),1,MATCH("S1 MEAN",WTPCore2_LevelValues,0))</f>
        <v>3.9796847923577343</v>
      </c>
      <c r="H47" s="117">
        <f ca="1">INDEX(INDIRECT("SSW_WTPCore2_"&amp;$C47&amp;"_LevelValues"),1,MATCH("S2 MEAN",WTPCore2_LevelValues,0))</f>
        <v>0.52424962900217631</v>
      </c>
      <c r="I47" s="117">
        <f ca="1">SUM(G47:H47)</f>
        <v>4.5039344213599106</v>
      </c>
      <c r="J47" s="192">
        <f>VLOOKUP($A47,$A$26:$AI$34,COLUMN($K$25),0)</f>
        <v>17.908221461788191</v>
      </c>
      <c r="K47" s="370">
        <f>J47*SSW_bill_impact_metering</f>
        <v>102.9722734052821</v>
      </c>
      <c r="L47" s="579">
        <f ca="1">INDEX(INDIRECT("SSW_WTPCore_DCE_"&amp;$C47&amp;"_UnitValues"),MATCH("COMBINED-HH",WTPCore_Group,0),MATCH("MEAN",LMH,0))</f>
        <v>1.7719298245614032</v>
      </c>
      <c r="M47" s="579">
        <f ca="1">-L47*(D47-$F47)</f>
        <v>0.30122807017543851</v>
      </c>
      <c r="N47" s="117">
        <f t="shared" ca="1" si="10"/>
        <v>26.493731890352418</v>
      </c>
      <c r="O47" s="579">
        <f ca="1">-N47*(D47-$F47)</f>
        <v>4.5039344213599106</v>
      </c>
      <c r="P47" s="118">
        <f t="shared" ref="P47:P48" ca="1" si="11">((K47*N$50)/K$49)</f>
        <v>0.94539166609932612</v>
      </c>
      <c r="Q47" s="29" t="s">
        <v>423</v>
      </c>
      <c r="R47" s="373">
        <f ca="1">(-P47/(D47-F47))</f>
        <v>5.561127447643095</v>
      </c>
      <c r="T47" s="119">
        <f ca="1">INDEX(INDIRECT("CAM_WTPCore2_"&amp;$C47&amp;"_Levels"),1,MATCH(T$45,WTPCore2_AttLevels,0))</f>
        <v>0.7</v>
      </c>
      <c r="U47" s="119"/>
      <c r="V47" s="119">
        <f ca="1">INDEX(INDIRECT("CAM_WTPCore2_"&amp;$C47&amp;"_Levels"),1,MATCH(V$45,WTPCore2_AttLevels,0))</f>
        <v>0.95</v>
      </c>
      <c r="W47" s="117">
        <f ca="1">INDEX(INDIRECT("CAM_WTPCore2_"&amp;$C47&amp;"_LevelValues"),1,MATCH("S1 MEAN",WTPCore2_LevelValues,0))</f>
        <v>1.4360208416640492</v>
      </c>
      <c r="X47" s="117">
        <f ca="1">INDEX(INDIRECT("CAM_WTPCore2_"&amp;$C47&amp;"_LevelValues"),1,MATCH("S2 MEAN",WTPCore2_LevelValues,0))</f>
        <v>0.918140410423955</v>
      </c>
      <c r="Y47" s="117">
        <f ca="1">SUM(W47:X47)</f>
        <v>2.3541612520880042</v>
      </c>
      <c r="Z47" s="192">
        <f>VLOOKUP($A47,$A$26:$AI$34,COLUMN($AB$25),0)</f>
        <v>13.470629610848476</v>
      </c>
      <c r="AA47" s="370">
        <f>Z47*CAM_bill_impact_metering</f>
        <v>8.0823777665090848</v>
      </c>
      <c r="AB47" s="579">
        <f ca="1">INDEX(INDIRECT("CAM_WTPCore_"&amp;$C47&amp;"_UnitValues"),MATCH("COMBINED-HH",WTPCore_Group,0),MATCH("MEAN",LMH,0))</f>
        <v>8.64</v>
      </c>
      <c r="AC47" s="579">
        <f ca="1">-AB47*(T47-$V47)</f>
        <v>2.16</v>
      </c>
      <c r="AD47" s="117">
        <f ca="1">INDEX(INDIRECT("CAM_WTPCore2_"&amp;$C47&amp;"_UnitValues"),1,MATCH("MEAN",LMH,0))</f>
        <v>9.4166450083520168</v>
      </c>
      <c r="AE47" s="579">
        <f ca="1">-AD47*(T47-$V47)</f>
        <v>2.3541612520880042</v>
      </c>
      <c r="AF47" s="118">
        <f t="shared" ref="AF47:AF48" ca="1" si="12">AA47*AD$50/AA$49</f>
        <v>0.41421315084337018</v>
      </c>
      <c r="AG47" s="29" t="s">
        <v>423</v>
      </c>
      <c r="AH47" s="373">
        <f ca="1">(-AF47/(T47-V47))</f>
        <v>1.6568526033734807</v>
      </c>
    </row>
    <row r="48" spans="1:34" x14ac:dyDescent="0.25">
      <c r="A48" s="9" t="str">
        <f>A28</f>
        <v>Installing smart meters</v>
      </c>
      <c r="B48" s="9" t="s">
        <v>373</v>
      </c>
      <c r="C48" s="9" t="s">
        <v>402</v>
      </c>
      <c r="D48" s="119">
        <f ca="1">INDEX(INDIRECT("SSW_WTPCore_DCE_"&amp;$C48&amp;"_Levels"),MATCH("COMBINED-HH",WTPCore_Group,0),MATCH(D$45,WTPCore_AttLevels,0))</f>
        <v>0</v>
      </c>
      <c r="E48" s="119"/>
      <c r="F48" s="119">
        <f ca="1">INDEX(INDIRECT("SSW_WTPCore_DCE_"&amp;$C48&amp;"_Levels"),MATCH("COMBINED-HH",WTPCore_Group,0),MATCH(F$45,WTPCore_AttLevels,0))</f>
        <v>1</v>
      </c>
      <c r="G48" s="117">
        <f ca="1">INDEX(INDIRECT("SSW_WTPCore_DCE_"&amp;$C48&amp;"_LevelValues"),MATCH("COMBINED-HH",WTPCore_Group,0),MATCH("S1 MEAN",WTPCore_LevelValues,0))</f>
        <v>8.5999999999999993E-2</v>
      </c>
      <c r="H48" s="117">
        <f ca="1">INDEX(INDIRECT("SSW_WTPCore_DCE_"&amp;$C48&amp;"_LevelValues"),MATCH("COMBINED-HH",WTPCore_Group,0),MATCH("S2 MEAN",WTPCore_LevelValues,0))</f>
        <v>0.35599999999999998</v>
      </c>
      <c r="I48" s="117">
        <f ca="1">SUM(G48:H48)</f>
        <v>0.44199999999999995</v>
      </c>
      <c r="J48" s="192">
        <f>VLOOKUP($A48,$A$26:$AI$34,COLUMN($K$25),0)</f>
        <v>16.763183293849259</v>
      </c>
      <c r="K48" s="370">
        <f>J48*SSW_bill_impact_metering</f>
        <v>96.388303939633246</v>
      </c>
      <c r="L48" s="579">
        <f ca="1">INDEX(INDIRECT("SSW_WTPCore_DCE_"&amp;$C48&amp;"_UnitValues"),MATCH("COMBINED-HH",WTPCore_Group,0),MATCH("MEAN",LMH,0))</f>
        <v>0.44199999999999995</v>
      </c>
      <c r="M48" s="579">
        <f ca="1">-L48*(D48-$F48)</f>
        <v>0.44199999999999995</v>
      </c>
      <c r="N48" s="117">
        <f ca="1">L48</f>
        <v>0.44199999999999995</v>
      </c>
      <c r="O48" s="579">
        <f ca="1">-N48*(D48-$F48)</f>
        <v>0.44199999999999995</v>
      </c>
      <c r="P48" s="118">
        <f t="shared" ca="1" si="11"/>
        <v>0.88494403629728691</v>
      </c>
      <c r="Q48" s="29" t="s">
        <v>423</v>
      </c>
      <c r="R48" s="373">
        <f ca="1">(-P48/(D48-F48))</f>
        <v>0.88494403629728691</v>
      </c>
      <c r="T48" s="119">
        <f ca="1">INDEX(INDIRECT("CAM_WTPCore_"&amp;$C48&amp;"_Levels"),MATCH("COMBINED-HH",WTPCore_Group,0),MATCH(T$45,WTPCore_AttLevels,0))</f>
        <v>0</v>
      </c>
      <c r="U48" s="119"/>
      <c r="V48" s="119">
        <f ca="1">INDEX(INDIRECT("CAM_WTPCore_"&amp;$C48&amp;"_Levels"),MATCH("COMBINED-HH",WTPCore_Group,0),MATCH(V$45,WTPCore_AttLevels,0))</f>
        <v>1</v>
      </c>
      <c r="W48" s="117">
        <f ca="1">INDEX(INDIRECT("CAM_WTPCore_"&amp;$C48&amp;"_LevelValues"),MATCH("COMBINED-HH",WTPCore_Group,0),MATCH("S1 MEAN",WTPCore_LevelValues,0))</f>
        <v>1.133</v>
      </c>
      <c r="X48" s="117">
        <f ca="1">INDEX(INDIRECT("CAM_WTPCore_"&amp;$C48&amp;"_LevelValues"),MATCH("COMBINED-HH",WTPCore_Group,0),MATCH("S2 MEAN",WTPCore_LevelValues,0))</f>
        <v>1.7649999999999999</v>
      </c>
      <c r="Y48" s="117">
        <f ca="1">SUM(W48:X48)</f>
        <v>2.8979999999999997</v>
      </c>
      <c r="Z48" s="192">
        <f>VLOOKUP($A48,$A$26:$AI$34,COLUMN($AB$25),0)</f>
        <v>21.049187836356793</v>
      </c>
      <c r="AA48" s="370">
        <f>Z48*CAM_bill_impact_metering</f>
        <v>12.629512701814075</v>
      </c>
      <c r="AB48" s="579">
        <f ca="1">INDEX(INDIRECT("CAM_WTPCore_"&amp;$C48&amp;"_UnitValues"),MATCH("COMBINED-HH",WTPCore_Group,0),MATCH("MEAN",LMH,0))</f>
        <v>2.8979999999999997</v>
      </c>
      <c r="AC48" s="579">
        <f ca="1">-AB48*(T48-$V48)</f>
        <v>2.8979999999999997</v>
      </c>
      <c r="AD48" s="117">
        <f ca="1">AB48</f>
        <v>2.8979999999999997</v>
      </c>
      <c r="AE48" s="579">
        <f ca="1">-AD48*(T48-$V48)</f>
        <v>2.8979999999999997</v>
      </c>
      <c r="AF48" s="118">
        <f t="shared" ca="1" si="12"/>
        <v>0.647248916217667</v>
      </c>
      <c r="AG48" s="29" t="s">
        <v>423</v>
      </c>
      <c r="AH48" s="373">
        <f ca="1">(-AF48/(T48-V48))</f>
        <v>0.647248916217667</v>
      </c>
    </row>
    <row r="49" spans="1:34" ht="15.75" thickBot="1" x14ac:dyDescent="0.3">
      <c r="A49" s="175"/>
      <c r="B49" s="175"/>
      <c r="C49" s="175"/>
      <c r="D49" s="297"/>
      <c r="E49" s="297"/>
      <c r="F49" s="297"/>
      <c r="G49" s="298"/>
      <c r="H49" s="298"/>
      <c r="I49" s="297">
        <f ca="1">SUM(I46:I48)</f>
        <v>6.6174013230933557</v>
      </c>
      <c r="J49" s="299">
        <f>SUM(J46:J48)</f>
        <v>49.9078704922348</v>
      </c>
      <c r="K49" s="299">
        <f>SUM(K46:K48)</f>
        <v>509.78093191056598</v>
      </c>
      <c r="M49" s="299">
        <f ca="1">SUM(M46:M48)</f>
        <v>2.7432280701754381</v>
      </c>
      <c r="N49" s="297"/>
      <c r="O49" s="866">
        <f ca="1">SUM(O46:O48)</f>
        <v>6.6174013230933557</v>
      </c>
      <c r="P49" s="297">
        <f ca="1">SUM(P46:P48)</f>
        <v>4.6803146966343974</v>
      </c>
      <c r="Q49" s="49"/>
      <c r="R49" s="406"/>
      <c r="S49" s="47"/>
      <c r="T49" s="297"/>
      <c r="U49" s="297"/>
      <c r="V49" s="297"/>
      <c r="W49" s="298"/>
      <c r="X49" s="298"/>
      <c r="Y49" s="297">
        <f ca="1">SUM(Y46:Y48)</f>
        <v>8.392274136683298</v>
      </c>
      <c r="Z49" s="299">
        <f>SUM(Z46:Z48)</f>
        <v>49.099504359347648</v>
      </c>
      <c r="AA49" s="299">
        <f>SUM(AA46:AA48)</f>
        <v>201.66545143462923</v>
      </c>
      <c r="AC49" s="299">
        <f ca="1">SUM(AC46:AC48)</f>
        <v>12.277999999999999</v>
      </c>
      <c r="AD49" s="297"/>
      <c r="AE49" s="866">
        <f ca="1">SUM(AE46:AE48)</f>
        <v>8.392274136683298</v>
      </c>
      <c r="AF49" s="297">
        <f ca="1">SUM(AF46:AF48)</f>
        <v>10.335137068341648</v>
      </c>
      <c r="AG49" s="49"/>
      <c r="AH49" s="406"/>
    </row>
    <row r="50" spans="1:34" customFormat="1" x14ac:dyDescent="0.25">
      <c r="A50" s="63" t="s">
        <v>488</v>
      </c>
      <c r="B50" s="60"/>
      <c r="C50" s="60"/>
      <c r="D50" s="110"/>
      <c r="E50" s="110"/>
      <c r="F50" s="110"/>
      <c r="G50" s="110"/>
      <c r="H50" s="110"/>
      <c r="I50" s="110"/>
      <c r="J50" s="111"/>
      <c r="K50" s="110"/>
      <c r="L50" s="110"/>
      <c r="M50" s="121" t="s">
        <v>997</v>
      </c>
      <c r="N50" s="874">
        <f ca="1">AVERAGE(M49,O49)</f>
        <v>4.6803146966343974</v>
      </c>
      <c r="O50" s="110"/>
      <c r="P50" s="110"/>
      <c r="Q50" s="110"/>
      <c r="R50" s="110"/>
      <c r="S50" s="38"/>
      <c r="T50" s="111"/>
      <c r="U50" s="110"/>
      <c r="V50" s="110"/>
      <c r="W50" s="110"/>
      <c r="X50" s="110"/>
      <c r="Y50" s="110"/>
      <c r="Z50" s="110"/>
      <c r="AA50" s="110"/>
      <c r="AB50" s="110"/>
      <c r="AC50" s="121" t="s">
        <v>997</v>
      </c>
      <c r="AD50" s="371">
        <f ca="1">AVERAGE(AC49,AE49)</f>
        <v>10.335137068341648</v>
      </c>
      <c r="AE50" s="110"/>
      <c r="AF50" s="110"/>
      <c r="AG50" s="110"/>
    </row>
    <row r="51" spans="1:34" x14ac:dyDescent="0.25">
      <c r="A51" s="9" t="s">
        <v>498</v>
      </c>
    </row>
    <row r="52" spans="1:34" x14ac:dyDescent="0.25">
      <c r="A52" s="9" t="s">
        <v>1012</v>
      </c>
    </row>
    <row r="53" spans="1:34" x14ac:dyDescent="0.25"/>
  </sheetData>
  <mergeCells count="2">
    <mergeCell ref="K44:K45"/>
    <mergeCell ref="AA44:AA4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335036F88A345BED9E2B6C26D3709" ma:contentTypeVersion="0" ma:contentTypeDescription="Create a new document." ma:contentTypeScope="" ma:versionID="3b415b554633885917d1334b061c52de">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22BFB8-B077-4D9E-B3C3-C121DA9C4B05}"/>
</file>

<file path=customXml/itemProps2.xml><?xml version="1.0" encoding="utf-8"?>
<ds:datastoreItem xmlns:ds="http://schemas.openxmlformats.org/officeDocument/2006/customXml" ds:itemID="{102A2772-479E-48D5-8110-2E2757CC5D37}"/>
</file>

<file path=customXml/itemProps3.xml><?xml version="1.0" encoding="utf-8"?>
<ds:datastoreItem xmlns:ds="http://schemas.openxmlformats.org/officeDocument/2006/customXml" ds:itemID="{D66D93ED-877E-4F2B-8543-26E2F8FA3E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619</vt:i4>
      </vt:variant>
    </vt:vector>
  </HeadingPairs>
  <TitlesOfParts>
    <vt:vector size="643" baseType="lpstr">
      <vt:lpstr>Front</vt:lpstr>
      <vt:lpstr>Notes</vt:lpstr>
      <vt:lpstr>General Inputs</vt:lpstr>
      <vt:lpstr>WRMP Main</vt:lpstr>
      <vt:lpstr>WTP Main</vt:lpstr>
      <vt:lpstr>WTP Summary</vt:lpstr>
      <vt:lpstr>Sources</vt:lpstr>
      <vt:lpstr>WRMP online</vt:lpstr>
      <vt:lpstr>WRMP workshops</vt:lpstr>
      <vt:lpstr>WTP core_DCE</vt:lpstr>
      <vt:lpstr>WTPCore_DCE2</vt:lpstr>
      <vt:lpstr>WTPCore_DCE2_LowBill</vt:lpstr>
      <vt:lpstr>WTP core_Maxdiff</vt:lpstr>
      <vt:lpstr>Customer priorities</vt:lpstr>
      <vt:lpstr>Contacts</vt:lpstr>
      <vt:lpstr>Satisfaction</vt:lpstr>
      <vt:lpstr>PC Slider</vt:lpstr>
      <vt:lpstr>WTPPR14</vt:lpstr>
      <vt:lpstr>ExternalWTP14</vt:lpstr>
      <vt:lpstr>ExternalWTP14_HH</vt:lpstr>
      <vt:lpstr>ExternalWTP14_NHH</vt:lpstr>
      <vt:lpstr>ExternalWTP19</vt:lpstr>
      <vt:lpstr>ExternalWTP19_HH</vt:lpstr>
      <vt:lpstr>ExternalWTP19_NHH</vt:lpstr>
      <vt:lpstr>AllProps_All</vt:lpstr>
      <vt:lpstr>AllProps_CAM</vt:lpstr>
      <vt:lpstr>AllProps_SSW</vt:lpstr>
      <vt:lpstr>AvgNHHBill_CAM</vt:lpstr>
      <vt:lpstr>AvgNHHBill_SSW</vt:lpstr>
      <vt:lpstr>CAM_bill_impact_leakage</vt:lpstr>
      <vt:lpstr>CAM_bill_impact_metering</vt:lpstr>
      <vt:lpstr>CAM_Contacts_output_WTP</vt:lpstr>
      <vt:lpstr>CAM_MAXWTP_ALL</vt:lpstr>
      <vt:lpstr>CAM_MAXWTP_HH</vt:lpstr>
      <vt:lpstr>CAM_MAXWTP_NHH</vt:lpstr>
      <vt:lpstr>CAM_MINWTP_ALL</vt:lpstr>
      <vt:lpstr>CAM_MINWTP_HH</vt:lpstr>
      <vt:lpstr>CAM_MINWTP_NHH</vt:lpstr>
      <vt:lpstr>CAM_PC_Slider_output_WTP</vt:lpstr>
      <vt:lpstr>CAM_Priorities_output_WRMP</vt:lpstr>
      <vt:lpstr>CAM_Priorities_output_WTP</vt:lpstr>
      <vt:lpstr>CAM_Satisfaction_output_WTP</vt:lpstr>
      <vt:lpstr>CAM_WRMP_COMBSCALES_FINAL</vt:lpstr>
      <vt:lpstr>CAM_WRMP_COMBSCALES_FINAL_HD</vt:lpstr>
      <vt:lpstr>CAM_WRMP_COMBSCALES_FINAL_LD</vt:lpstr>
      <vt:lpstr>CAM_WRMP_MAIN_RESULTS</vt:lpstr>
      <vt:lpstr>CAM_WRMP_online_Combined</vt:lpstr>
      <vt:lpstr>CAM_WRMP_Online_UnitValues</vt:lpstr>
      <vt:lpstr>CAM_WRMP_RANK</vt:lpstr>
      <vt:lpstr>CAM_WRMP_workshop_Combined</vt:lpstr>
      <vt:lpstr>CAM_WRMP_Workshop_UnitValues</vt:lpstr>
      <vt:lpstr>CAM_WTP_ALL</vt:lpstr>
      <vt:lpstr>CAM_WTP_DCE_output_WRMP</vt:lpstr>
      <vt:lpstr>CAM_WTP_HH</vt:lpstr>
      <vt:lpstr>CAM_WTP_Maxdiff_output_WRMP</vt:lpstr>
      <vt:lpstr>CAM_WTP_NHH</vt:lpstr>
      <vt:lpstr>CAM_WTPCore_Bursts_Levels</vt:lpstr>
      <vt:lpstr>CAM_WTPCore_Bursts_LevelValues</vt:lpstr>
      <vt:lpstr>CAM_WTPCore_Bursts_MaxDiffUIndex</vt:lpstr>
      <vt:lpstr>CAM_WTPCore_Bursts_UnitValues</vt:lpstr>
      <vt:lpstr>CAM_WTPCore_Discolour_Levels</vt:lpstr>
      <vt:lpstr>CAM_WTPCore_Discolour_LevelValues</vt:lpstr>
      <vt:lpstr>CAM_WTPCore_Discolour_MaxDiffUIndex</vt:lpstr>
      <vt:lpstr>CAM_WTPCore_Discolour_UnitValues</vt:lpstr>
      <vt:lpstr>CAM_WTPCore_Drought_Levels</vt:lpstr>
      <vt:lpstr>CAM_WTPCore_Drought_LevelValues</vt:lpstr>
      <vt:lpstr>CAM_WTPCore_Drought_MaxDiffUIndex</vt:lpstr>
      <vt:lpstr>CAM_WTPCore_Drought_UnitValues</vt:lpstr>
      <vt:lpstr>CAM_WTPCore_Hardness_Levels</vt:lpstr>
      <vt:lpstr>CAM_WTPCore_Hardness_LevelValues</vt:lpstr>
      <vt:lpstr>CAM_WTPCore_Hardness_MaxDiffUIndex</vt:lpstr>
      <vt:lpstr>CAM_WTPCore_Hardness_UnitValues</vt:lpstr>
      <vt:lpstr>CAM_WTPCore_ImpactRivers_Levels</vt:lpstr>
      <vt:lpstr>CAM_WTPCore_ImpactRivers_LevelValues</vt:lpstr>
      <vt:lpstr>CAM_WTPCore_ImpactRivers_MaxDiffUIndex</vt:lpstr>
      <vt:lpstr>CAM_WTPCore_ImpactRivers_UnitValues</vt:lpstr>
      <vt:lpstr>CAM_WTPCore_Interruptions_Levels</vt:lpstr>
      <vt:lpstr>CAM_WTPCore_Interruptions_LevelValues</vt:lpstr>
      <vt:lpstr>CAM_WTPCore_Interruptions_MaxDiffUIndex</vt:lpstr>
      <vt:lpstr>CAM_WTPCore_Interruptions_UnitValues</vt:lpstr>
      <vt:lpstr>CAM_WTPCore_Lead_Levels</vt:lpstr>
      <vt:lpstr>CAM_WTPCore_Lead_LevelValues</vt:lpstr>
      <vt:lpstr>CAM_WTPCore_Lead_MaxDiffUIndex</vt:lpstr>
      <vt:lpstr>CAM_WTPCore_Lead_UnitValues</vt:lpstr>
      <vt:lpstr>CAM_WTPCore_Leakage_Levels</vt:lpstr>
      <vt:lpstr>CAM_WTPCore_Leakage_LevelValues</vt:lpstr>
      <vt:lpstr>CAM_WTPCore_Leakage_MaxDiffUIndex</vt:lpstr>
      <vt:lpstr>CAM_WTPCore_Leakage_UnitValues</vt:lpstr>
      <vt:lpstr>CAM_WTPCore_LowPressure_Levels</vt:lpstr>
      <vt:lpstr>CAM_WTPCore_LowPressure_LevelValues</vt:lpstr>
      <vt:lpstr>CAM_WTPCore_LowPressure_MaxDiffUIndex</vt:lpstr>
      <vt:lpstr>CAM_WTPCore_LowPressure_UnitValues</vt:lpstr>
      <vt:lpstr>CAM_WTPCore_Metering_Levels</vt:lpstr>
      <vt:lpstr>CAM_WTPCore_Metering_LevelValues</vt:lpstr>
      <vt:lpstr>CAM_WTPCore_Metering_MaxDiffUIndex</vt:lpstr>
      <vt:lpstr>CAM_WTPCore_Metering_UnitValues</vt:lpstr>
      <vt:lpstr>CAM_WTPCore_NotSafe_Levels</vt:lpstr>
      <vt:lpstr>CAM_WTPCore_NotSafe_LevelValues</vt:lpstr>
      <vt:lpstr>CAM_WTPCore_NotSafe_MaxDiffUIndex</vt:lpstr>
      <vt:lpstr>CAM_WTPCore_NotSafe_UnitValues</vt:lpstr>
      <vt:lpstr>CAM_WTPCore_Renewables_Levels</vt:lpstr>
      <vt:lpstr>CAM_WTPCore_Renewables_LevelValues</vt:lpstr>
      <vt:lpstr>CAM_WTPCore_Renewables_MaxDiffUIndex</vt:lpstr>
      <vt:lpstr>CAM_WTPCore_Renewables_UnitValues</vt:lpstr>
      <vt:lpstr>CAM_WTPCore_SmartMetering_Levels</vt:lpstr>
      <vt:lpstr>CAM_WTPCore_SmartMetering_LevelValues</vt:lpstr>
      <vt:lpstr>CAM_WTPCore_SmartMetering_MaxDiffUIndex</vt:lpstr>
      <vt:lpstr>CAM_WTPCore_SmartMetering_UnitValues</vt:lpstr>
      <vt:lpstr>CAM_WTPCore_TasteSmell_Levels</vt:lpstr>
      <vt:lpstr>CAM_WTPCore_TasteSmell_LevelValues</vt:lpstr>
      <vt:lpstr>CAM_WTPCore_TasteSmell_MaxDiffUIndex</vt:lpstr>
      <vt:lpstr>CAM_WTPCore_TasteSmell_UnitValues</vt:lpstr>
      <vt:lpstr>CAM_WTPCore_TempBan_Levels</vt:lpstr>
      <vt:lpstr>CAM_WTPCore_TempBan_LevelValues</vt:lpstr>
      <vt:lpstr>CAM_WTPCore_TempBan_MaxDiffUIndex</vt:lpstr>
      <vt:lpstr>CAM_WTPCore_TempBan_UnitValues</vt:lpstr>
      <vt:lpstr>CAM_WTPCore_Traffic_Levels</vt:lpstr>
      <vt:lpstr>CAM_WTPCore_Traffic_LevelValues</vt:lpstr>
      <vt:lpstr>CAM_WTPCore_Traffic_MaxDiffUIndex</vt:lpstr>
      <vt:lpstr>CAM_WTPCore_Traffic_UnitValues</vt:lpstr>
      <vt:lpstr>CAM_WTPCore_Wildlife_Levels</vt:lpstr>
      <vt:lpstr>CAM_WTPCore_Wildlife_LevelValues</vt:lpstr>
      <vt:lpstr>CAM_WTPCore_Wildlife_MaxDiffUIndex</vt:lpstr>
      <vt:lpstr>CAM_WTPCore_Wildlife_UnitValues</vt:lpstr>
      <vt:lpstr>CAM_WTPCore2_Bursts_Levels</vt:lpstr>
      <vt:lpstr>CAM_WTPCore2_Bursts_LevelValues</vt:lpstr>
      <vt:lpstr>CAM_WTPCore2_Bursts_UnitValues</vt:lpstr>
      <vt:lpstr>CAM_WTPCore2_Community_UnitValues</vt:lpstr>
      <vt:lpstr>CAM_WTPCore2_Discolour_Levels</vt:lpstr>
      <vt:lpstr>CAM_WTPCore2_Discolour_LevelValues</vt:lpstr>
      <vt:lpstr>CAM_WTPCore2_Discolour_UnitValues</vt:lpstr>
      <vt:lpstr>CAM_WTPCore2_Educating_UnitValues</vt:lpstr>
      <vt:lpstr>CAM_WTPCore2_Hardness_Levels</vt:lpstr>
      <vt:lpstr>CAM_WTPCore2_Hardness_LevelValues</vt:lpstr>
      <vt:lpstr>CAM_WTPCore2_Hardness_UnitValues</vt:lpstr>
      <vt:lpstr>CAM_WTPCore2_ImpactRivers_Levels</vt:lpstr>
      <vt:lpstr>CAM_WTPCore2_ImpactRivers_LevelValues</vt:lpstr>
      <vt:lpstr>CAM_WTPCore2_ImpactRivers_UnitValues</vt:lpstr>
      <vt:lpstr>CAM_WTPCore2_Interruptions_Levels</vt:lpstr>
      <vt:lpstr>CAM_WTPCore2_Interruptions_LevelValues</vt:lpstr>
      <vt:lpstr>CAM_WTPCore2_Interruptions_UnitValues</vt:lpstr>
      <vt:lpstr>CAM_WTPCore2_Lead_Levels</vt:lpstr>
      <vt:lpstr>CAM_WTPCore2_Lead_LevelValues</vt:lpstr>
      <vt:lpstr>CAM_WTPCore2_Lead_UnitValues</vt:lpstr>
      <vt:lpstr>CAM_WTPCore2_Leakage_Levels</vt:lpstr>
      <vt:lpstr>CAM_WTPCore2_Leakage_LevelValues</vt:lpstr>
      <vt:lpstr>CAM_WTPCore2_Leakage_UnitValues</vt:lpstr>
      <vt:lpstr>CAM_WTPCore2_LowBill_Bursts_UnitValues</vt:lpstr>
      <vt:lpstr>CAM_WTPCore2_LowBill_Discolour_UnitValues</vt:lpstr>
      <vt:lpstr>CAM_WTPCore2_LowBill_Hardness_UnitValues</vt:lpstr>
      <vt:lpstr>CAM_WTPCore2_LowBill_ImpactRivers_UnitValues</vt:lpstr>
      <vt:lpstr>CAM_WTPCore2_LowBill_Interruptions_UnitValues</vt:lpstr>
      <vt:lpstr>CAM_WTPCore2_LowBill_Lead_UnitValues</vt:lpstr>
      <vt:lpstr>CAM_WTPCore2_LowBill_Leakage_UnitValues</vt:lpstr>
      <vt:lpstr>CAM_WTPCore2_LowBill_LowPressure_UnitValues</vt:lpstr>
      <vt:lpstr>CAM_WTPCore2_LowBill_Metering_UnitValues</vt:lpstr>
      <vt:lpstr>CAM_WTPCore2_LowBill_NotSafe_UnitValues</vt:lpstr>
      <vt:lpstr>CAM_WTPCore2_LowBill_Renewables_UnitValues</vt:lpstr>
      <vt:lpstr>CAM_WTPCore2_LowBill_TasteSmell_UnitValues</vt:lpstr>
      <vt:lpstr>CAM_WTPCore2_LowBill_TempBan_UnitValues</vt:lpstr>
      <vt:lpstr>CAM_WTPCore2_LowBill_Wildlife_UnitValues</vt:lpstr>
      <vt:lpstr>CAM_WTPCore2_LowPressure_Levels</vt:lpstr>
      <vt:lpstr>CAM_WTPCore2_LowPressure_LevelValues</vt:lpstr>
      <vt:lpstr>CAM_WTPCore2_LowPressure_UnitValues</vt:lpstr>
      <vt:lpstr>CAM_WTPCore2_Metering_Levels</vt:lpstr>
      <vt:lpstr>CAM_WTPCore2_Metering_LevelValues</vt:lpstr>
      <vt:lpstr>CAM_WTPCore2_Metering_UnitValues</vt:lpstr>
      <vt:lpstr>CAM_WTPCore2_NotSafe_Levels</vt:lpstr>
      <vt:lpstr>CAM_WTPCore2_NotSafe_LevelValues</vt:lpstr>
      <vt:lpstr>CAM_WTPCore2_NotSafe_UnitValues</vt:lpstr>
      <vt:lpstr>CAM_WTPCore2_Renewables_Levels</vt:lpstr>
      <vt:lpstr>CAM_WTPCore2_Renewables_LevelValues</vt:lpstr>
      <vt:lpstr>CAM_WTPCore2_Renewables_UnitValues</vt:lpstr>
      <vt:lpstr>CAM_WTPCore2_Supporting_UnitValues</vt:lpstr>
      <vt:lpstr>CAM_WTPCore2_TasteSmell_Levels</vt:lpstr>
      <vt:lpstr>CAM_WTPCore2_TasteSmell_LevelValues</vt:lpstr>
      <vt:lpstr>CAM_WTPCore2_TasteSmell_UnitValues</vt:lpstr>
      <vt:lpstr>CAM_WTPCore2_TempBan_Levels</vt:lpstr>
      <vt:lpstr>CAM_WTPCore2_TempBan_LevelValues</vt:lpstr>
      <vt:lpstr>CAM_WTPCore2_TempBan_UnitValues</vt:lpstr>
      <vt:lpstr>CAM_WTPCore2_Wildlife_Levels</vt:lpstr>
      <vt:lpstr>CAM_WTPCore2_Wildlife_LevelValues</vt:lpstr>
      <vt:lpstr>CAM_WTPCore2_Wildlife_UnitValues</vt:lpstr>
      <vt:lpstr>CAM_WTPMaxdiff_WTP_NHH_Unitvalues</vt:lpstr>
      <vt:lpstr>CAM_WTPMaxdiff_WTP_Unitvalues</vt:lpstr>
      <vt:lpstr>Contacts_WTP_options</vt:lpstr>
      <vt:lpstr>Customer_Contacts</vt:lpstr>
      <vt:lpstr>Customer_priorities</vt:lpstr>
      <vt:lpstr>Customer_Satisfaction</vt:lpstr>
      <vt:lpstr>Ext_WTP_Unitvalue_groups</vt:lpstr>
      <vt:lpstr>External_WTP</vt:lpstr>
      <vt:lpstr>ExtWTP_Comps_Discolour</vt:lpstr>
      <vt:lpstr>ExtWTP_Comps_Hardness</vt:lpstr>
      <vt:lpstr>ExtWTP_Comps_ImpactRivers</vt:lpstr>
      <vt:lpstr>ExtWTP_Comps_Interruptions1224</vt:lpstr>
      <vt:lpstr>ExtWTP_Comps_Interruptions3</vt:lpstr>
      <vt:lpstr>ExtWTP_Comps_Interruptions36</vt:lpstr>
      <vt:lpstr>ExtWTP_Comps_Interruptions612</vt:lpstr>
      <vt:lpstr>ExtWTP_Comps_Leakage</vt:lpstr>
      <vt:lpstr>ExtWTP_Comps_LowPressure</vt:lpstr>
      <vt:lpstr>ExtWTP_Comps_NEUseBan</vt:lpstr>
      <vt:lpstr>ExtWTP_Comps_TasteSmell</vt:lpstr>
      <vt:lpstr>ExtWTP_Comps_TempBan</vt:lpstr>
      <vt:lpstr>ExtWTP_Discolour_UnitValues</vt:lpstr>
      <vt:lpstr>ExtWTP_Group</vt:lpstr>
      <vt:lpstr>ExtWTP_Hardness_UnitValues</vt:lpstr>
      <vt:lpstr>ExtWTP_ImpactRivers_UnitValues</vt:lpstr>
      <vt:lpstr>ExtWTP_Interruptions1224_UnitValues</vt:lpstr>
      <vt:lpstr>ExtWTP_Interruptions3_UnitValues</vt:lpstr>
      <vt:lpstr>ExtWTP_Interruptions36_UnitValues</vt:lpstr>
      <vt:lpstr>ExtWTP_Interruptions612_UnitValues</vt:lpstr>
      <vt:lpstr>ExtWTP_Leakage_UnitValues</vt:lpstr>
      <vt:lpstr>ExtWTP_LowPressure_UnitValues</vt:lpstr>
      <vt:lpstr>ExtWTP_NEUseBan_UnitValues</vt:lpstr>
      <vt:lpstr>ExtWTP_TasteSmell_UnitValues</vt:lpstr>
      <vt:lpstr>ExtWTP_TempBan_UnitValues</vt:lpstr>
      <vt:lpstr>ExtWTP19_Comps_Discolour</vt:lpstr>
      <vt:lpstr>ExtWTP19_Comps_Drought</vt:lpstr>
      <vt:lpstr>ExtWTP19_Comps_Interruptions1224</vt:lpstr>
      <vt:lpstr>ExtWTP19_Comps_Interruptions3</vt:lpstr>
      <vt:lpstr>ExtWTP19_Comps_Interruptions36</vt:lpstr>
      <vt:lpstr>ExtWTP19_Comps_Interruptions48</vt:lpstr>
      <vt:lpstr>ExtWTP19_Comps_Interruptions612</vt:lpstr>
      <vt:lpstr>ExtWTP19_Comps_Leakage</vt:lpstr>
      <vt:lpstr>ExtWTP19_Comps_LowPressure</vt:lpstr>
      <vt:lpstr>ExtWTP19_Comps_Metering</vt:lpstr>
      <vt:lpstr>ExtWTP19_Comps_NEUseBan</vt:lpstr>
      <vt:lpstr>ExtWTP19_Comps_NotSafe</vt:lpstr>
      <vt:lpstr>ExtWTP19_Comps_SmartMetering</vt:lpstr>
      <vt:lpstr>ExtWTP19_Comps_TasteSmell</vt:lpstr>
      <vt:lpstr>ExtWTP19_Comps_TempBan</vt:lpstr>
      <vt:lpstr>ExtWTP19_Comps_Traffic</vt:lpstr>
      <vt:lpstr>ExtWTP19_Comps_Wildlife</vt:lpstr>
      <vt:lpstr>ExtWTP19_Discolour_UnitValues</vt:lpstr>
      <vt:lpstr>ExtWTP19_Drought_UnitValues</vt:lpstr>
      <vt:lpstr>ExtWTP19_Interruptions1224_UnitValues</vt:lpstr>
      <vt:lpstr>ExtWTP19_Interruptions3_UnitValues</vt:lpstr>
      <vt:lpstr>ExtWTP19_Interruptions36_UnitValues</vt:lpstr>
      <vt:lpstr>ExtWTP19_Interruptions48_UnitValues</vt:lpstr>
      <vt:lpstr>ExtWTP19_Interruptions612_UnitValues</vt:lpstr>
      <vt:lpstr>ExtWTP19_Leakage_UnitValues</vt:lpstr>
      <vt:lpstr>ExtWTP19_LowPressure_UnitValues</vt:lpstr>
      <vt:lpstr>ExtWTP19_Metering_UnitValues</vt:lpstr>
      <vt:lpstr>ExtWTP19_NEUseBan_UnitValues</vt:lpstr>
      <vt:lpstr>ExtWTP19_NotSafe_UnitValues</vt:lpstr>
      <vt:lpstr>ExtWTP19_SmartMetering_UnitValues</vt:lpstr>
      <vt:lpstr>ExtWTP19_TasteSmell_UnitValues</vt:lpstr>
      <vt:lpstr>ExtWTP19_TempBan_UnitValues</vt:lpstr>
      <vt:lpstr>ExtWTP19_Traffic_UnitValues</vt:lpstr>
      <vt:lpstr>ExtWTP19_Wildlife_UnitValues</vt:lpstr>
      <vt:lpstr>HHProps_All</vt:lpstr>
      <vt:lpstr>HHProps_CAM</vt:lpstr>
      <vt:lpstr>HHProps_SSW</vt:lpstr>
      <vt:lpstr>Highest_servicelevel_CAM_interruptions</vt:lpstr>
      <vt:lpstr>Highest_servicelevel_CAM_leakage</vt:lpstr>
      <vt:lpstr>Highest_servicelevel_CAM_protecting_wildlife</vt:lpstr>
      <vt:lpstr>Highest_servicelevel_SSW_interruptions</vt:lpstr>
      <vt:lpstr>Highest_servicelevel_SSW_leakage</vt:lpstr>
      <vt:lpstr>Highest_servicelevel_SSW_protecting_wildlife</vt:lpstr>
      <vt:lpstr>LLowest_servicelevel_CAM_protecting_wildlife</vt:lpstr>
      <vt:lpstr>LMH</vt:lpstr>
      <vt:lpstr>Lowest_bill_CAM_interruptions</vt:lpstr>
      <vt:lpstr>Lowest_bill_CAM_leakage</vt:lpstr>
      <vt:lpstr>Lowest_bill_CAM_protecting_wildlife</vt:lpstr>
      <vt:lpstr>Lowest_bill_SSW_interruptions</vt:lpstr>
      <vt:lpstr>Lowest_bill_SSW_leakage</vt:lpstr>
      <vt:lpstr>Lowest_bill_SSW_protecting_wildlife</vt:lpstr>
      <vt:lpstr>Lowest_servicelevel_CAM_interruptions</vt:lpstr>
      <vt:lpstr>Lowest_servicelevel_CAM_leakage</vt:lpstr>
      <vt:lpstr>Lowest_servicelevel_CAM_protecting_wildlife</vt:lpstr>
      <vt:lpstr>Lowest_servicelevel_SSW_interruptions</vt:lpstr>
      <vt:lpstr>Lowest_servicelevel_SSW_leakage</vt:lpstr>
      <vt:lpstr>Lowest_servicelevel_SSW_protecting_wildlife</vt:lpstr>
      <vt:lpstr>M</vt:lpstr>
      <vt:lpstr>MainWTPResults</vt:lpstr>
      <vt:lpstr>NHHProps_All</vt:lpstr>
      <vt:lpstr>NHHProps_CAM</vt:lpstr>
      <vt:lpstr>NHHProps_SSW</vt:lpstr>
      <vt:lpstr>PC_Slider_WTP_options</vt:lpstr>
      <vt:lpstr>PR14_CompA_NHH_UnitValues</vt:lpstr>
      <vt:lpstr>PR14_CompA_NHH_UnitValues_CAM</vt:lpstr>
      <vt:lpstr>PR14_CompA_UnitValues</vt:lpstr>
      <vt:lpstr>PR14_CompA_UnitValues_CAM</vt:lpstr>
      <vt:lpstr>PR14_CompA_WTPCore_Options</vt:lpstr>
      <vt:lpstr>PR14_CompB_NHH_UnitValues</vt:lpstr>
      <vt:lpstr>PR14_CompB_NHH_UnitValues_CAM</vt:lpstr>
      <vt:lpstr>PR14_CompB_UnitValues</vt:lpstr>
      <vt:lpstr>PR14_CompB_UnitValues_CAM</vt:lpstr>
      <vt:lpstr>PR14_CompB_WTPCore_Options</vt:lpstr>
      <vt:lpstr>PR14_CompC_NHH_UnitValues</vt:lpstr>
      <vt:lpstr>PR14_CompC_NHH_UnitValues_CAM</vt:lpstr>
      <vt:lpstr>PR14_CompC_UnitValues</vt:lpstr>
      <vt:lpstr>PR14_CompC_UnitValues_CAM</vt:lpstr>
      <vt:lpstr>PR14_CompC_WTPCore_Options</vt:lpstr>
      <vt:lpstr>PR14_CompD_NHH_UnitValues</vt:lpstr>
      <vt:lpstr>PR14_CompD_NHH_UnitValues_CAM</vt:lpstr>
      <vt:lpstr>PR14_CompD_UnitValues</vt:lpstr>
      <vt:lpstr>PR14_CompD_UnitValues_CAM</vt:lpstr>
      <vt:lpstr>PR14_CompD_WTPCore_Options</vt:lpstr>
      <vt:lpstr>PR14_CompE_NHH_UnitValues</vt:lpstr>
      <vt:lpstr>PR14_CompE_NHH_UnitValues_CAM</vt:lpstr>
      <vt:lpstr>PR14_CompE_UnitValues</vt:lpstr>
      <vt:lpstr>PR14_CompE_UnitValues_CAM</vt:lpstr>
      <vt:lpstr>PR14_CompE_WTPCore_Options</vt:lpstr>
      <vt:lpstr>PR14_CompF_NHH_UnitValues</vt:lpstr>
      <vt:lpstr>PR14_CompF_NHH_UnitValues_CAM</vt:lpstr>
      <vt:lpstr>PR14_CompF_UnitValues</vt:lpstr>
      <vt:lpstr>PR14_CompF_UnitValues_CAM</vt:lpstr>
      <vt:lpstr>PR14_CompF_WTPCore_Options</vt:lpstr>
      <vt:lpstr>PR14_CompG_NHH_UnitValues</vt:lpstr>
      <vt:lpstr>PR14_CompG_NHH_UnitValues_CAM</vt:lpstr>
      <vt:lpstr>PR14_CompG_UnitValues</vt:lpstr>
      <vt:lpstr>PR14_CompG_UnitValues_CAM</vt:lpstr>
      <vt:lpstr>PR14_CompG_WTPCore_Options</vt:lpstr>
      <vt:lpstr>PR14_CompH_NHH_UnitValues</vt:lpstr>
      <vt:lpstr>PR14_CompH_NHH_UnitValues_CAM</vt:lpstr>
      <vt:lpstr>PR14_CompH_UnitValues</vt:lpstr>
      <vt:lpstr>PR14_CompH_UnitValues_CAM</vt:lpstr>
      <vt:lpstr>PR14_CompH_WTPCore_Options</vt:lpstr>
      <vt:lpstr>PR14_CompI_NHH_UnitValues</vt:lpstr>
      <vt:lpstr>PR14_CompI_NHH_UnitValues_CAM</vt:lpstr>
      <vt:lpstr>PR14_CompI_NHH_WTPCore_Options</vt:lpstr>
      <vt:lpstr>PR14_CompI_UnitValues</vt:lpstr>
      <vt:lpstr>PR14_CompI_UnitValues_CAM</vt:lpstr>
      <vt:lpstr>PR14_CompI_WTPCore_Options</vt:lpstr>
      <vt:lpstr>PR14_CompJ_NHH_UnitValues</vt:lpstr>
      <vt:lpstr>PR14_CompJ_NHH_UnitValues_CAM</vt:lpstr>
      <vt:lpstr>PR14_CompJ_UnitValues</vt:lpstr>
      <vt:lpstr>PR14_CompJ_UnitValues_CAM</vt:lpstr>
      <vt:lpstr>PR14_CompJ_WTPCore_Options</vt:lpstr>
      <vt:lpstr>PR14_CompK_NHH_UnitValues</vt:lpstr>
      <vt:lpstr>PR14_CompK_NHH_UnitValues_CAM</vt:lpstr>
      <vt:lpstr>PR14_CompK_UnitValues</vt:lpstr>
      <vt:lpstr>PR14_CompK_UnitValues_CAM</vt:lpstr>
      <vt:lpstr>PR14_CompK_WTPCore_Options</vt:lpstr>
      <vt:lpstr>PR14_CompL_NHH_UnitValues</vt:lpstr>
      <vt:lpstr>PR14_CompL_NHH_UnitValues_CAM</vt:lpstr>
      <vt:lpstr>PR14_CompL_UnitValues</vt:lpstr>
      <vt:lpstr>PR14_CompL_UnitValues_CAM</vt:lpstr>
      <vt:lpstr>PR14_CompL_WTPCore_Options</vt:lpstr>
      <vt:lpstr>PR14_CompM_NHH_UnitValues</vt:lpstr>
      <vt:lpstr>PR14_CompM_NHH_UnitValues_CAM</vt:lpstr>
      <vt:lpstr>PR14_CompM_NHH_WTPCore_Options</vt:lpstr>
      <vt:lpstr>PR14_CompM_UnitValues</vt:lpstr>
      <vt:lpstr>PR14_CompM_UnitValues_CAM</vt:lpstr>
      <vt:lpstr>PR14_CompM_WTPCore_Options</vt:lpstr>
      <vt:lpstr>PR14_CompN_NHH_UnitValues</vt:lpstr>
      <vt:lpstr>PR14_CompN_NHH_UnitValues_CAM</vt:lpstr>
      <vt:lpstr>PR14_CompN_UnitValues</vt:lpstr>
      <vt:lpstr>PR14_CompN_UnitValues_CAM</vt:lpstr>
      <vt:lpstr>PR14_CompN_WTPCore_Options</vt:lpstr>
      <vt:lpstr>PR14_CompO_NHH_UnitValues</vt:lpstr>
      <vt:lpstr>PR14_CompO_NHH_UnitValues_CAM</vt:lpstr>
      <vt:lpstr>PR14_CompO_UnitValues</vt:lpstr>
      <vt:lpstr>PR14_CompO_UnitValues_CAM</vt:lpstr>
      <vt:lpstr>PR14_CompO_WTPCore_Options</vt:lpstr>
      <vt:lpstr>PR19_CompA_UnitValues</vt:lpstr>
      <vt:lpstr>PR19_CompA_UnitValues_CAM</vt:lpstr>
      <vt:lpstr>PR19_CompA_UnitValues_NHH</vt:lpstr>
      <vt:lpstr>PR19_CompA_UnitValues_NHH_CAM</vt:lpstr>
      <vt:lpstr>PR19_CompA_WTPCore_Options</vt:lpstr>
      <vt:lpstr>PR19_CompB_UnitValues</vt:lpstr>
      <vt:lpstr>PR19_CompB_UnitValues_CAM</vt:lpstr>
      <vt:lpstr>PR19_CompB_UnitValues_NHH</vt:lpstr>
      <vt:lpstr>PR19_CompB_UnitValues_NHH_CAM</vt:lpstr>
      <vt:lpstr>PR19_CompB_WTPCore_Options</vt:lpstr>
      <vt:lpstr>PR19_CompC_UnitValues</vt:lpstr>
      <vt:lpstr>PR19_CompC_UnitValues_CAM</vt:lpstr>
      <vt:lpstr>PR19_CompC_UnitValues_NHH</vt:lpstr>
      <vt:lpstr>PR19_CompC_UnitValues_NHH_CAM</vt:lpstr>
      <vt:lpstr>PR19_CompC_WTPCore_Options</vt:lpstr>
      <vt:lpstr>PR19_CompD_UnitValues</vt:lpstr>
      <vt:lpstr>PR19_CompD_UnitValues_CAM</vt:lpstr>
      <vt:lpstr>PR19_CompD_UnitValues_NHH</vt:lpstr>
      <vt:lpstr>PR19_CompD_UnitValues_NHH_CAM</vt:lpstr>
      <vt:lpstr>PR19_CompD_WTPCore_Options</vt:lpstr>
      <vt:lpstr>PR19_CompE_UnitValues</vt:lpstr>
      <vt:lpstr>PR19_CompE_UnitValues_CAM</vt:lpstr>
      <vt:lpstr>PR19_CompE_UnitValues_NHH</vt:lpstr>
      <vt:lpstr>PR19_CompE_UnitValues_NHH_CAM</vt:lpstr>
      <vt:lpstr>PR19_CompE_WTPCore_Options</vt:lpstr>
      <vt:lpstr>PR19_CompF_UnitValues</vt:lpstr>
      <vt:lpstr>PR19_CompF_UnitValues_CAM</vt:lpstr>
      <vt:lpstr>PR19_CompF_WTPCore_Options</vt:lpstr>
      <vt:lpstr>PR19_CompG_UnitValues</vt:lpstr>
      <vt:lpstr>PR19_CompG_UnitValues_CAM</vt:lpstr>
      <vt:lpstr>PR19_CompG_UnitValues_NHH</vt:lpstr>
      <vt:lpstr>PR19_CompG_UnitValues_NHH_CAM</vt:lpstr>
      <vt:lpstr>PR19_CompG_WTPCore_Options</vt:lpstr>
      <vt:lpstr>PR19_CompI_UnitValues</vt:lpstr>
      <vt:lpstr>PR19_CompI_UnitValues_CAM</vt:lpstr>
      <vt:lpstr>PR19_CompI_UnitValues_NHH</vt:lpstr>
      <vt:lpstr>PR19_CompI_UnitValues_NHH_CAM</vt:lpstr>
      <vt:lpstr>PR19_CompI_WTPCore_Options</vt:lpstr>
      <vt:lpstr>PR19_CompJ_UnitValues</vt:lpstr>
      <vt:lpstr>PR19_CompJ_UnitValues_CAM</vt:lpstr>
      <vt:lpstr>PR19_CompJ_UnitValues_NHH</vt:lpstr>
      <vt:lpstr>PR19_CompJ_UnitValues_NHH_CAM</vt:lpstr>
      <vt:lpstr>PR19_CompJ_WTPCore_Options</vt:lpstr>
      <vt:lpstr>PR19_CompL_UnitValues</vt:lpstr>
      <vt:lpstr>PR19_CompL_UnitValues_CAM</vt:lpstr>
      <vt:lpstr>PR19_CompL_UnitValues_NHH</vt:lpstr>
      <vt:lpstr>PR19_CompL_UnitValues_NHH_CAM</vt:lpstr>
      <vt:lpstr>PR19_CompL_WTPCore_Options</vt:lpstr>
      <vt:lpstr>PR19_CompM_UnitValues</vt:lpstr>
      <vt:lpstr>PR19_CompM_UnitValues_CAM</vt:lpstr>
      <vt:lpstr>PR19_CompM_UnitValues_NHH</vt:lpstr>
      <vt:lpstr>PR19_CompM_UnitValues_NHH_CAM</vt:lpstr>
      <vt:lpstr>PR19_CompM_WTPCore_Options</vt:lpstr>
      <vt:lpstr>PR19_CompP_UnitValues</vt:lpstr>
      <vt:lpstr>PR19_CompP_UnitValues_CAM</vt:lpstr>
      <vt:lpstr>PR19_CompP_UnitValues_NHH</vt:lpstr>
      <vt:lpstr>PR19_CompP_UnitValues_NHH_CAM</vt:lpstr>
      <vt:lpstr>PR19_CompP_WTPCore_Options</vt:lpstr>
      <vt:lpstr>PR19_CompQ_UnitValues</vt:lpstr>
      <vt:lpstr>PR19_CompQ_UnitValues_CAM</vt:lpstr>
      <vt:lpstr>PR19_CompQ_WTPCore_Options</vt:lpstr>
      <vt:lpstr>PR19_CompT_UnitValues</vt:lpstr>
      <vt:lpstr>PR19_CompT_UnitValues_CAM</vt:lpstr>
      <vt:lpstr>PR19_CompT_UnitValues_NHH</vt:lpstr>
      <vt:lpstr>PR19_CompT_UnitValues_NHH_CAM</vt:lpstr>
      <vt:lpstr>PR19_CompT_WTPCore_Options</vt:lpstr>
      <vt:lpstr>PR19_CompU_UnitValues</vt:lpstr>
      <vt:lpstr>PR19_CompU_UnitValues_CAM</vt:lpstr>
      <vt:lpstr>PR19_CompU_UnitValues_NHH</vt:lpstr>
      <vt:lpstr>PR19_CompU_UnitValues_NHH_CAM</vt:lpstr>
      <vt:lpstr>PR19_CompU_WTPCore_Options</vt:lpstr>
      <vt:lpstr>Priorities_WRMP_options</vt:lpstr>
      <vt:lpstr>Priorities_WTP_options</vt:lpstr>
      <vt:lpstr>RAG</vt:lpstr>
      <vt:lpstr>RAGWeights</vt:lpstr>
      <vt:lpstr>Satisfaction_WTP_options</vt:lpstr>
      <vt:lpstr>SSC_MAXWTP_ALL</vt:lpstr>
      <vt:lpstr>SSC_MAXWTP_HH</vt:lpstr>
      <vt:lpstr>SSC_MAXWTP_NHH</vt:lpstr>
      <vt:lpstr>SSC_MINWTP_ALL</vt:lpstr>
      <vt:lpstr>SSC_MINWTP_HH</vt:lpstr>
      <vt:lpstr>SSC_MINWTP_NHH</vt:lpstr>
      <vt:lpstr>SSC_WTP_ALL</vt:lpstr>
      <vt:lpstr>SSC_WTP_HH</vt:lpstr>
      <vt:lpstr>SSC_WTP_MAIN_RESULTS</vt:lpstr>
      <vt:lpstr>SSC_WTP_NHH</vt:lpstr>
      <vt:lpstr>SSC_WTP_OPTIONS</vt:lpstr>
      <vt:lpstr>SSW_bill_impact_leakage</vt:lpstr>
      <vt:lpstr>SSW_bill_impact_metering</vt:lpstr>
      <vt:lpstr>SSW_Contacts_output_WTP</vt:lpstr>
      <vt:lpstr>SSW_MAXWTP_ALL</vt:lpstr>
      <vt:lpstr>SSW_MAXWTP_HH</vt:lpstr>
      <vt:lpstr>SSW_MAXWTP_NHH</vt:lpstr>
      <vt:lpstr>SSW_MINWTP_ALL</vt:lpstr>
      <vt:lpstr>SSW_MINWTP_HH</vt:lpstr>
      <vt:lpstr>SSW_MINWTP_NHH</vt:lpstr>
      <vt:lpstr>SSW_PC_Slider_output_WTP</vt:lpstr>
      <vt:lpstr>SSW_PR14_Groups</vt:lpstr>
      <vt:lpstr>SSW_PR14_LMH</vt:lpstr>
      <vt:lpstr>SSW_PR14_WTP_Discolour_UnitValues</vt:lpstr>
      <vt:lpstr>SSW_PR14_WTP_Hardness_UnitValues</vt:lpstr>
      <vt:lpstr>SSW_PR14_WTP_Interruptions_UnitValues</vt:lpstr>
      <vt:lpstr>SSW_PR14_WTP_TasteSmell_UnitValues</vt:lpstr>
      <vt:lpstr>SSW_PR14_WTP_TempBan_UnitValues</vt:lpstr>
      <vt:lpstr>SSW_PR14_WTPCore_Group</vt:lpstr>
      <vt:lpstr>SSW_PR14_WTPCore_NHH_UnitValues</vt:lpstr>
      <vt:lpstr>SSW_PR14_WTPCore_Options</vt:lpstr>
      <vt:lpstr>SSW_PR14_WTPCore_UnitValues</vt:lpstr>
      <vt:lpstr>SSW_Priorities_output_WRMP</vt:lpstr>
      <vt:lpstr>SSW_Priorities_output_WTP</vt:lpstr>
      <vt:lpstr>SSW_Satisfaction_output_WTP</vt:lpstr>
      <vt:lpstr>SSW_WRMP_COMBSCALES_FINAL</vt:lpstr>
      <vt:lpstr>SSW_WRMP_COMBSCALES_FINAL_HD</vt:lpstr>
      <vt:lpstr>SSW_WRMP_COMBSCALES_FINAL_LD</vt:lpstr>
      <vt:lpstr>SSW_WRMP_MAIN_RESULTS</vt:lpstr>
      <vt:lpstr>SSW_WRMP_Online_Combined</vt:lpstr>
      <vt:lpstr>SSW_WRMP_Online_UnitValues</vt:lpstr>
      <vt:lpstr>SSW_WRMP_RANK</vt:lpstr>
      <vt:lpstr>SSW_WRMP_Workshop_Combined</vt:lpstr>
      <vt:lpstr>SSW_WRMP_Workshop_UnitValues</vt:lpstr>
      <vt:lpstr>SSW_WTP_ALL</vt:lpstr>
      <vt:lpstr>SSW_WTP_DCE_output_WRMP</vt:lpstr>
      <vt:lpstr>SSW_WTP_HH</vt:lpstr>
      <vt:lpstr>SSW_WTP_Maxdiff_output_WRMP</vt:lpstr>
      <vt:lpstr>SSW_WTP_NHH</vt:lpstr>
      <vt:lpstr>SSW_WTP_PR14</vt:lpstr>
      <vt:lpstr>SSW_WTPCore_DCE_Bursts_Levels</vt:lpstr>
      <vt:lpstr>SSW_WTPCore_DCE_Bursts_LevelValues</vt:lpstr>
      <vt:lpstr>SSW_WTPCore_DCE_Bursts_MaxDiffUIndex</vt:lpstr>
      <vt:lpstr>SSW_WTPCore_DCE_Bursts_UnitValues</vt:lpstr>
      <vt:lpstr>SSW_WTPCore_DCE_Discolour_Levels</vt:lpstr>
      <vt:lpstr>SSW_WTPCore_DCE_Discolour_LevelValues</vt:lpstr>
      <vt:lpstr>SSW_WTPCore_DCE_Discolour_MaxDiffUIndex</vt:lpstr>
      <vt:lpstr>SSW_WTPCore_DCE_Discolour_UnitValues</vt:lpstr>
      <vt:lpstr>SSW_WTPCore_DCE_Drought_Levels</vt:lpstr>
      <vt:lpstr>SSW_WTPCore_DCE_Drought_LevelValues</vt:lpstr>
      <vt:lpstr>SSW_WTPCore_DCE_Drought_MaxDiffUIndex</vt:lpstr>
      <vt:lpstr>SSW_WTPCore_DCE_Drought_UnitValues</vt:lpstr>
      <vt:lpstr>SSW_WTPCore_DCE_Hardness_Levels</vt:lpstr>
      <vt:lpstr>SSW_WTPCore_DCE_Hardness_LevelValues</vt:lpstr>
      <vt:lpstr>SSW_WTPCore_DCE_Hardness_MaxDiffUIndex</vt:lpstr>
      <vt:lpstr>SSW_WTPCore_DCE_Hardness_UnitValues</vt:lpstr>
      <vt:lpstr>SSW_WTPCore_DCE_ImpactRivers_Levels</vt:lpstr>
      <vt:lpstr>SSW_WTPCore_DCE_ImpactRivers_LevelValues</vt:lpstr>
      <vt:lpstr>SSW_WTPCore_DCE_ImpactRivers_MaxDiffUIndex</vt:lpstr>
      <vt:lpstr>SSW_WTPCore_DCE_ImpactRivers_UnitValues</vt:lpstr>
      <vt:lpstr>SSW_WTPCore_DCE_Interruptions_Levels</vt:lpstr>
      <vt:lpstr>SSW_WTPCore_DCE_Interruptions_LevelValues</vt:lpstr>
      <vt:lpstr>SSW_WTPCore_DCE_Interruptions_MaxDiffUIndex</vt:lpstr>
      <vt:lpstr>SSW_WTPCore_DCE_Interruptions_UnitValues</vt:lpstr>
      <vt:lpstr>SSW_WTPCore_DCE_Lead_Levels</vt:lpstr>
      <vt:lpstr>SSW_WTPCore_DCE_Lead_LevelValues</vt:lpstr>
      <vt:lpstr>SSW_WTPCore_DCE_Lead_MaxDiffUIndex</vt:lpstr>
      <vt:lpstr>SSW_WTPCore_DCE_Lead_UnitValues</vt:lpstr>
      <vt:lpstr>SSW_WTPCore_DCE_Leakage_Levels</vt:lpstr>
      <vt:lpstr>SSW_WTPCore_DCE_Leakage_LevelValues</vt:lpstr>
      <vt:lpstr>SSW_WTPCore_DCE_Leakage_MaxDiffUIndex</vt:lpstr>
      <vt:lpstr>SSW_WTPCore_DCE_Leakage_UnitValues</vt:lpstr>
      <vt:lpstr>SSW_WTPCore_DCE_LowPressure_Levels</vt:lpstr>
      <vt:lpstr>SSW_WTPCore_DCE_LowPressure_LevelValues</vt:lpstr>
      <vt:lpstr>SSW_WTPCore_DCE_LowPressure_MaxDiffUIndex</vt:lpstr>
      <vt:lpstr>SSW_WTPCore_DCE_LowPressure_UnitValues</vt:lpstr>
      <vt:lpstr>SSW_WTPCore_DCE_Metering_Levels</vt:lpstr>
      <vt:lpstr>SSW_WTPCore_DCE_Metering_LevelValues</vt:lpstr>
      <vt:lpstr>SSW_WTPCore_DCE_Metering_MaxDiffUIndex</vt:lpstr>
      <vt:lpstr>SSW_WTPCore_DCE_Metering_UnitValues</vt:lpstr>
      <vt:lpstr>SSW_WTPCore_DCE_NotSafe_Levels</vt:lpstr>
      <vt:lpstr>SSW_WTPCore_DCE_NotSafe_LevelValues</vt:lpstr>
      <vt:lpstr>SSW_WTPCore_DCE_NotSafe_MaxDiffUIndex</vt:lpstr>
      <vt:lpstr>SSW_WTPCore_DCE_NotSafe_UnitValues</vt:lpstr>
      <vt:lpstr>SSW_WTPCore_DCE_Renewables_Levels</vt:lpstr>
      <vt:lpstr>SSW_WTPCore_DCE_Renewables_LevelValues</vt:lpstr>
      <vt:lpstr>SSW_WTPCore_DCE_Renewables_MaxDiffUIndex</vt:lpstr>
      <vt:lpstr>SSW_WTPCore_DCE_Renewables_UnitValues</vt:lpstr>
      <vt:lpstr>SSW_WTPCore_DCE_SmartMetering_Levels</vt:lpstr>
      <vt:lpstr>SSW_WTPCore_DCE_SmartMetering_LevelValues</vt:lpstr>
      <vt:lpstr>SSW_WTPCore_DCE_SmartMetering_MaxDiffUIndex</vt:lpstr>
      <vt:lpstr>SSW_WTPCore_DCE_SmartMetering_UnitValues</vt:lpstr>
      <vt:lpstr>SSW_WTPCore_DCE_TasteSmell_Levels</vt:lpstr>
      <vt:lpstr>SSW_WTPCore_DCE_TasteSmell_LevelValues</vt:lpstr>
      <vt:lpstr>SSW_WTPCore_DCE_TasteSmell_MaxDiffUIndex</vt:lpstr>
      <vt:lpstr>SSW_WTPCore_DCE_TasteSmell_UnitValues</vt:lpstr>
      <vt:lpstr>SSW_WTPCore_DCE_TempBan_Levels</vt:lpstr>
      <vt:lpstr>SSW_WTPCore_DCE_TempBan_LevelValues</vt:lpstr>
      <vt:lpstr>SSW_WTPCore_DCE_TempBan_MaxDiffUIndex</vt:lpstr>
      <vt:lpstr>SSW_WTPCore_DCE_TempBan_UnitValues</vt:lpstr>
      <vt:lpstr>SSW_WTPCore_DCE_Traffic_Levels</vt:lpstr>
      <vt:lpstr>SSW_WTPCore_DCE_Traffic_LevelValues</vt:lpstr>
      <vt:lpstr>SSW_WTPCore_DCE_Traffic_MaxDiffUIndex</vt:lpstr>
      <vt:lpstr>SSW_WTPCore_DCE_Traffic_UnitValues</vt:lpstr>
      <vt:lpstr>SSW_WTPCore_DCE_Wildlife_Levels</vt:lpstr>
      <vt:lpstr>SSW_WTPCore_DCE_Wildlife_LevelValues</vt:lpstr>
      <vt:lpstr>SSW_WTPCore_DCE_Wildlife_MaxDiffUIndex</vt:lpstr>
      <vt:lpstr>SSW_WTPCore_DCE_Wildlife_UnitValues</vt:lpstr>
      <vt:lpstr>SSW_WTPCore2_Bursts_Levels</vt:lpstr>
      <vt:lpstr>SSW_WTPCore2_Bursts_LevelValues</vt:lpstr>
      <vt:lpstr>SSW_WTPCore2_Bursts_UnitValues</vt:lpstr>
      <vt:lpstr>SSW_WTPCore2_Community_UnitValues</vt:lpstr>
      <vt:lpstr>SSW_WTPCore2_Discolour_Levels</vt:lpstr>
      <vt:lpstr>SSW_WTPCore2_Discolour_LevelValues</vt:lpstr>
      <vt:lpstr>SSW_WTPCore2_Discolour_UnitValues</vt:lpstr>
      <vt:lpstr>SSW_WTPCore2_Educating_UnitValues</vt:lpstr>
      <vt:lpstr>SSW_WTPCore2_Hardness_Levels</vt:lpstr>
      <vt:lpstr>SSW_WTPCore2_Hardness_LevelValues</vt:lpstr>
      <vt:lpstr>SSW_WTPCore2_Hardness_UnitValues</vt:lpstr>
      <vt:lpstr>SSW_WTPCore2_ImpactRivers_Levels</vt:lpstr>
      <vt:lpstr>SSW_WTPCore2_ImpactRivers_LevelValues</vt:lpstr>
      <vt:lpstr>SSW_WTPCore2_ImpactRivers_UnitValues</vt:lpstr>
      <vt:lpstr>SSW_WTPCore2_Interruptions_Levels</vt:lpstr>
      <vt:lpstr>SSW_WTPCore2_Interruptions_LevelValues</vt:lpstr>
      <vt:lpstr>SSW_WTPCore2_Interruptions_UnitValues</vt:lpstr>
      <vt:lpstr>SSW_WTPCore2_Lead_Levels</vt:lpstr>
      <vt:lpstr>SSW_WTPCore2_Lead_LevelValues</vt:lpstr>
      <vt:lpstr>SSW_WTPCore2_Lead_UnitValues</vt:lpstr>
      <vt:lpstr>SSW_WTPCore2_Leakage_Levels</vt:lpstr>
      <vt:lpstr>SSW_WTPCore2_Leakage_LevelValues</vt:lpstr>
      <vt:lpstr>SSW_WTPCore2_Leakage_UnitValues</vt:lpstr>
      <vt:lpstr>SSW_WTPCore2_LowBill_Bursts_UnitValues</vt:lpstr>
      <vt:lpstr>SSW_WTPCore2_LowBill_Discolour_UnitValues</vt:lpstr>
      <vt:lpstr>SSW_WTPCore2_LowBill_Hardness_UnitValues</vt:lpstr>
      <vt:lpstr>SSW_WTPCore2_LowBill_ImpactRivers_UnitValues</vt:lpstr>
      <vt:lpstr>SSW_WTPCore2_LowBill_Interruptions_UnitValues</vt:lpstr>
      <vt:lpstr>SSW_WTPCore2_LowBill_Lead_UnitValues</vt:lpstr>
      <vt:lpstr>SSW_WTPCore2_LowBill_Leakage_UnitValues</vt:lpstr>
      <vt:lpstr>SSW_WTPCore2_LowBill_LowPressure_UnitValues</vt:lpstr>
      <vt:lpstr>SSW_WTPCore2_LowBill_Metering_UnitValues</vt:lpstr>
      <vt:lpstr>SSW_WTPCore2_LowBill_NotSafe_UnitValues</vt:lpstr>
      <vt:lpstr>SSW_WTPCore2_LowBill_Renewables_UnitValues</vt:lpstr>
      <vt:lpstr>SSW_WTPCore2_LowBill_TasteSmell_UnitValues</vt:lpstr>
      <vt:lpstr>SSW_WTPCore2_LowBill_TempBan_UnitValues</vt:lpstr>
      <vt:lpstr>SSW_WTPCore2_LowBill_Wildlife_UnitValues</vt:lpstr>
      <vt:lpstr>SSW_WTPCore2_LowPressure_Levels</vt:lpstr>
      <vt:lpstr>SSW_WTPCore2_LowPressure_LevelValues</vt:lpstr>
      <vt:lpstr>SSW_WTPCore2_LowPressure_UnitValues</vt:lpstr>
      <vt:lpstr>SSW_WTPCore2_Metering_Levels</vt:lpstr>
      <vt:lpstr>SSW_WTPCore2_Metering_LevelValues</vt:lpstr>
      <vt:lpstr>SSW_WTPCore2_Metering_UnitValues</vt:lpstr>
      <vt:lpstr>SSW_WTPCore2_NotSafe_Levels</vt:lpstr>
      <vt:lpstr>SSW_WTPCore2_NotSafe_LevelValues</vt:lpstr>
      <vt:lpstr>SSW_WTPCore2_NotSafe_UnitValues</vt:lpstr>
      <vt:lpstr>SSW_WTPCore2_Renewables_Levels</vt:lpstr>
      <vt:lpstr>SSW_WTPCore2_Renewables_LevelValues</vt:lpstr>
      <vt:lpstr>SSW_WTPCore2_Renewables_UnitValues</vt:lpstr>
      <vt:lpstr>SSW_WTPCore2_Supporting_UnitValues</vt:lpstr>
      <vt:lpstr>SSW_WTPCore2_TasteSmell_Levels</vt:lpstr>
      <vt:lpstr>SSW_WTPCore2_TasteSmell_LevelValues</vt:lpstr>
      <vt:lpstr>SSW_WTPCore2_TasteSmell_UnitValues</vt:lpstr>
      <vt:lpstr>SSW_WTPCore2_TempBan_Levels</vt:lpstr>
      <vt:lpstr>SSW_WTPCore2_TempBan_LevelValues</vt:lpstr>
      <vt:lpstr>SSW_WTPCore2_TempBan_UnitValues</vt:lpstr>
      <vt:lpstr>SSW_WTPCore2_Wildlife_Levels</vt:lpstr>
      <vt:lpstr>SSW_WTPCore2_Wildlife_LevelValues</vt:lpstr>
      <vt:lpstr>SSW_WTPCore2_Wildlife_UnitValues</vt:lpstr>
      <vt:lpstr>SSW_WTPMaxdiff_WTP_NHH_Unitvalues</vt:lpstr>
      <vt:lpstr>SSW_WTPMaxdiff_WTP_Unitvalues</vt:lpstr>
      <vt:lpstr>VSSW_WTPCore2_Community_UnitValues</vt:lpstr>
      <vt:lpstr>w_contacts_WTP</vt:lpstr>
      <vt:lpstr>w_extWTP_WTP</vt:lpstr>
      <vt:lpstr>w_priorities_WRMP</vt:lpstr>
      <vt:lpstr>w_priorities_WTP</vt:lpstr>
      <vt:lpstr>w_satisfaction_WTP</vt:lpstr>
      <vt:lpstr>w_WRMPonline_WRMP</vt:lpstr>
      <vt:lpstr>w_WRMPonline_WTP</vt:lpstr>
      <vt:lpstr>w_WRMPworkshops_WRMP</vt:lpstr>
      <vt:lpstr>w_WRMPworkshops_WTP</vt:lpstr>
      <vt:lpstr>w_WTPchoicexp_WTP</vt:lpstr>
      <vt:lpstr>w_WTPcore_WRMP</vt:lpstr>
      <vt:lpstr>w_WTPmaxdiff_WTP</vt:lpstr>
      <vt:lpstr>WRMP_core_online_results</vt:lpstr>
      <vt:lpstr>WRMP_core_workshop_results</vt:lpstr>
      <vt:lpstr>WRMP_online_options</vt:lpstr>
      <vt:lpstr>WRMP_Online_WTPAtts</vt:lpstr>
      <vt:lpstr>WRMP_OPTIONS_FINAL</vt:lpstr>
      <vt:lpstr>WRMP_workshop_options</vt:lpstr>
      <vt:lpstr>WRMP_Workshop_WTPAtts</vt:lpstr>
      <vt:lpstr>WTP_core_Maxdiff</vt:lpstr>
      <vt:lpstr>WTP_WRMP_options</vt:lpstr>
      <vt:lpstr>WTPCore_AttLevels</vt:lpstr>
      <vt:lpstr>WTPCore_Attributes</vt:lpstr>
      <vt:lpstr>WTPCore_Group</vt:lpstr>
      <vt:lpstr>WTPCore_LevelValues</vt:lpstr>
      <vt:lpstr>WTPCore_Maxdiff_Group</vt:lpstr>
      <vt:lpstr>WTPCore_MDValues</vt:lpstr>
      <vt:lpstr>WTPCore2_AttLevels</vt:lpstr>
      <vt:lpstr>WTPCore2_Group</vt:lpstr>
      <vt:lpstr>WTPCore2_LevelValues</vt:lpstr>
      <vt:lpstr>WTPMaxdiff_WTP_options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antararc</dc:creator>
  <cp:lastModifiedBy>Nicholas Hollaway</cp:lastModifiedBy>
  <dcterms:created xsi:type="dcterms:W3CDTF">2018-02-08T08:27:28Z</dcterms:created>
  <dcterms:modified xsi:type="dcterms:W3CDTF">2018-08-15T11:58:41Z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0x010100122335036F88A345BED9E2B6C26D3709</vt:lpwstr>
  </property>
</Properties>
</file>