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Z:\South Staffs Water\PR24 Planning Reports\PR24 Triangulation Framework\"/>
    </mc:Choice>
  </mc:AlternateContent>
  <xr:revisionPtr revIDLastSave="0" documentId="13_ncr:1_{EDC114CC-F838-4C2C-82C7-38C6940536E7}" xr6:coauthVersionLast="47" xr6:coauthVersionMax="47" xr10:uidLastSave="{00000000-0000-0000-0000-000000000000}"/>
  <bookViews>
    <workbookView xWindow="-110" yWindow="-110" windowWidth="19420" windowHeight="10420" firstSheet="2" activeTab="4" xr2:uid="{E0C6D531-75C4-4C89-A0C6-4921002D8916}"/>
  </bookViews>
  <sheets>
    <sheet name="Example" sheetId="1" state="hidden" r:id="rId1"/>
    <sheet name="Introduction" sheetId="12" r:id="rId2"/>
    <sheet name="Future Priority Ratings" sheetId="5" r:id="rId3"/>
    <sheet name="Source RAG ratings" sheetId="2" r:id="rId4"/>
    <sheet name="Customer Priority Tracker" sheetId="6" r:id="rId5"/>
    <sheet name="LTDS 1" sheetId="8" r:id="rId6"/>
    <sheet name="WTP" sheetId="11" r:id="rId7"/>
    <sheet name="WRMP PR24" sheetId="13" r:id="rId8"/>
    <sheet name="Compare Topics" sheetId="4" r:id="rId9"/>
    <sheet name="LTDS 2" sheetId="10" r:id="rId10"/>
    <sheet name="LTDS 3" sheetId="9" r:id="rId11"/>
    <sheet name="TQ Qual Tables" sheetId="14" state="hidden" r:id="rId12"/>
    <sheet name="Control" sheetId="7" state="hidden"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5" l="1"/>
  <c r="K7" i="5"/>
  <c r="K8" i="5"/>
  <c r="K10" i="5"/>
  <c r="K11" i="5"/>
  <c r="K12" i="5"/>
  <c r="K14" i="5"/>
  <c r="K5" i="5"/>
  <c r="AC17" i="10" l="1"/>
  <c r="AC18" i="10"/>
  <c r="AC19" i="10"/>
  <c r="Z17" i="10"/>
  <c r="Z18" i="10"/>
  <c r="C28" i="5"/>
  <c r="C27" i="5"/>
  <c r="C26" i="5"/>
  <c r="C25" i="5"/>
  <c r="C24" i="5"/>
  <c r="C23" i="5"/>
  <c r="C22" i="5"/>
  <c r="C21" i="5"/>
  <c r="C20" i="5"/>
  <c r="C19" i="5"/>
  <c r="Q9" i="2"/>
  <c r="I20" i="13"/>
  <c r="J20" i="13"/>
  <c r="H20" i="13"/>
  <c r="A25" i="10"/>
  <c r="AB40" i="10" s="1"/>
  <c r="AQ3" i="5"/>
  <c r="AP3" i="5"/>
  <c r="AO3" i="5"/>
  <c r="AN3" i="5"/>
  <c r="B2" i="8"/>
  <c r="B3" i="6"/>
  <c r="T21" i="10"/>
  <c r="S21" i="10"/>
  <c r="R21" i="10"/>
  <c r="Q21" i="10"/>
  <c r="P21" i="10"/>
  <c r="O21" i="10"/>
  <c r="K21" i="10"/>
  <c r="J21" i="10"/>
  <c r="I21" i="10"/>
  <c r="H21" i="10"/>
  <c r="G21" i="10"/>
  <c r="F21" i="10"/>
  <c r="E21" i="10"/>
  <c r="D21" i="10"/>
  <c r="C21" i="10"/>
  <c r="F2" i="5"/>
  <c r="D2" i="5"/>
  <c r="C6" i="6" s="1"/>
  <c r="AA5" i="5" l="1"/>
  <c r="AE5" i="5"/>
  <c r="D35" i="10"/>
  <c r="M32" i="10"/>
  <c r="M37" i="10"/>
  <c r="G28" i="10"/>
  <c r="G34" i="10"/>
  <c r="G38" i="10"/>
  <c r="M28" i="10"/>
  <c r="M34" i="10"/>
  <c r="M38" i="10"/>
  <c r="G32" i="10"/>
  <c r="G29" i="10"/>
  <c r="G35" i="10"/>
  <c r="G39" i="10"/>
  <c r="G37" i="10"/>
  <c r="M29" i="10"/>
  <c r="M35" i="10"/>
  <c r="M39" i="10"/>
  <c r="D32" i="10"/>
  <c r="G31" i="10"/>
  <c r="G36" i="10"/>
  <c r="G40" i="10"/>
  <c r="M31" i="10"/>
  <c r="M36" i="10"/>
  <c r="M40" i="10"/>
  <c r="D34" i="10"/>
  <c r="J28" i="10"/>
  <c r="J29" i="10"/>
  <c r="J31" i="10"/>
  <c r="J32" i="10"/>
  <c r="J34" i="10"/>
  <c r="J35" i="10"/>
  <c r="J36" i="10"/>
  <c r="J37" i="10"/>
  <c r="J38" i="10"/>
  <c r="J39" i="10"/>
  <c r="J40" i="10"/>
  <c r="D36" i="10"/>
  <c r="P28" i="10"/>
  <c r="P29" i="10"/>
  <c r="P31" i="10"/>
  <c r="P32" i="10"/>
  <c r="P34" i="10"/>
  <c r="P35" i="10"/>
  <c r="P36" i="10"/>
  <c r="P37" i="10"/>
  <c r="P38" i="10"/>
  <c r="P39" i="10"/>
  <c r="P40" i="10"/>
  <c r="D37" i="10"/>
  <c r="S28" i="10"/>
  <c r="S29" i="10"/>
  <c r="S31" i="10"/>
  <c r="S32" i="10"/>
  <c r="S34" i="10"/>
  <c r="S35" i="10"/>
  <c r="S36" i="10"/>
  <c r="S37" i="10"/>
  <c r="S38" i="10"/>
  <c r="S39" i="10"/>
  <c r="S40" i="10"/>
  <c r="D38" i="10"/>
  <c r="V28" i="10"/>
  <c r="V29" i="10"/>
  <c r="V31" i="10"/>
  <c r="V32" i="10"/>
  <c r="V34" i="10"/>
  <c r="V35" i="10"/>
  <c r="V36" i="10"/>
  <c r="V37" i="10"/>
  <c r="V38" i="10"/>
  <c r="V39" i="10"/>
  <c r="V40" i="10"/>
  <c r="D29" i="10"/>
  <c r="D39" i="10"/>
  <c r="Y28" i="10"/>
  <c r="Y29" i="10"/>
  <c r="Y31" i="10"/>
  <c r="Y32" i="10"/>
  <c r="Y34" i="10"/>
  <c r="Y35" i="10"/>
  <c r="Y36" i="10"/>
  <c r="Y37" i="10"/>
  <c r="Y38" i="10"/>
  <c r="Y39" i="10"/>
  <c r="Y40" i="10"/>
  <c r="D31" i="10"/>
  <c r="D40" i="10"/>
  <c r="AB28" i="10"/>
  <c r="AB29" i="10"/>
  <c r="AB31" i="10"/>
  <c r="AB32" i="10"/>
  <c r="AB34" i="10"/>
  <c r="AB35" i="10"/>
  <c r="AB36" i="10"/>
  <c r="AB37" i="10"/>
  <c r="AB38" i="10"/>
  <c r="AB39" i="10"/>
  <c r="D28" i="10"/>
  <c r="C7" i="8"/>
  <c r="C6" i="8"/>
  <c r="C4" i="6"/>
  <c r="C5" i="8"/>
  <c r="C8" i="8"/>
  <c r="C12" i="8"/>
  <c r="C4" i="8"/>
  <c r="C11" i="8"/>
  <c r="C3" i="8"/>
  <c r="C10" i="8"/>
  <c r="C9" i="8"/>
  <c r="C5" i="6"/>
  <c r="C12" i="6"/>
  <c r="C19" i="6"/>
  <c r="C11" i="6"/>
  <c r="C18" i="6"/>
  <c r="C10" i="6"/>
  <c r="C21" i="6"/>
  <c r="C9" i="6"/>
  <c r="C16" i="6"/>
  <c r="C23" i="6"/>
  <c r="C7" i="6"/>
  <c r="C13" i="6"/>
  <c r="C20" i="6"/>
  <c r="C17" i="6"/>
  <c r="C8" i="6"/>
  <c r="C15" i="6"/>
  <c r="C22" i="6"/>
  <c r="C14" i="6"/>
  <c r="G9" i="5"/>
  <c r="G11" i="5"/>
  <c r="G5" i="5"/>
  <c r="H4" i="13"/>
  <c r="H5" i="13"/>
  <c r="H6" i="13"/>
  <c r="H7" i="13"/>
  <c r="C7" i="13" s="1"/>
  <c r="H8" i="13"/>
  <c r="H9" i="13"/>
  <c r="C9" i="13" s="1"/>
  <c r="H10" i="13"/>
  <c r="H11" i="13"/>
  <c r="H12" i="13"/>
  <c r="H3" i="13"/>
  <c r="C3" i="13" s="1"/>
  <c r="C5" i="13" l="1"/>
  <c r="C4" i="13"/>
  <c r="C11" i="13"/>
  <c r="C10" i="13"/>
  <c r="C6" i="13"/>
  <c r="C8" i="13"/>
  <c r="C12" i="13"/>
  <c r="AB26" i="10"/>
  <c r="AC37" i="10" s="1"/>
  <c r="G26" i="10"/>
  <c r="H31" i="10" s="1"/>
  <c r="M26" i="10"/>
  <c r="N37" i="10" s="1"/>
  <c r="P26" i="10"/>
  <c r="Q40" i="10" s="1"/>
  <c r="V26" i="10"/>
  <c r="W28" i="10" s="1"/>
  <c r="Y26" i="10"/>
  <c r="J26" i="10"/>
  <c r="D26" i="10"/>
  <c r="E28" i="10" s="1"/>
  <c r="S26" i="10"/>
  <c r="D12" i="13" l="1"/>
  <c r="G14" i="5" s="1"/>
  <c r="D5" i="13"/>
  <c r="G7" i="5" s="1"/>
  <c r="D8" i="13"/>
  <c r="G10" i="5" s="1"/>
  <c r="D11" i="13"/>
  <c r="G13" i="5" s="1"/>
  <c r="D10" i="13"/>
  <c r="G12" i="5" s="1"/>
  <c r="D4" i="13"/>
  <c r="G6" i="5" s="1"/>
  <c r="D6" i="13"/>
  <c r="G8" i="5" s="1"/>
  <c r="AC35" i="10"/>
  <c r="AC31" i="10"/>
  <c r="AC39" i="10"/>
  <c r="AC40" i="10"/>
  <c r="AC34" i="10"/>
  <c r="AC29" i="10"/>
  <c r="AC28" i="10"/>
  <c r="AC32" i="10"/>
  <c r="AC36" i="10"/>
  <c r="AC38" i="10"/>
  <c r="H37" i="10"/>
  <c r="H35" i="10"/>
  <c r="H32" i="10"/>
  <c r="H34" i="10"/>
  <c r="H40" i="10"/>
  <c r="H29" i="10"/>
  <c r="H39" i="10"/>
  <c r="H38" i="10"/>
  <c r="H28" i="10"/>
  <c r="H36" i="10"/>
  <c r="N36" i="10"/>
  <c r="N29" i="10"/>
  <c r="N34" i="10"/>
  <c r="N38" i="10"/>
  <c r="N40" i="10"/>
  <c r="N28" i="10"/>
  <c r="N35" i="10"/>
  <c r="N31" i="10"/>
  <c r="N32" i="10"/>
  <c r="N39" i="10"/>
  <c r="Q29" i="10"/>
  <c r="Q28" i="10"/>
  <c r="Q32" i="10"/>
  <c r="Q35" i="10"/>
  <c r="Q38" i="10"/>
  <c r="Q39" i="10"/>
  <c r="W34" i="10"/>
  <c r="Q34" i="10"/>
  <c r="Q37" i="10"/>
  <c r="Q36" i="10"/>
  <c r="Q31" i="10"/>
  <c r="W29" i="10"/>
  <c r="W37" i="10"/>
  <c r="W40" i="10"/>
  <c r="W31" i="10"/>
  <c r="W32" i="10"/>
  <c r="W36" i="10"/>
  <c r="W35" i="10"/>
  <c r="W39" i="10"/>
  <c r="W38" i="10"/>
  <c r="T28" i="10"/>
  <c r="T29" i="10"/>
  <c r="T31" i="10"/>
  <c r="T34" i="10"/>
  <c r="T35" i="10"/>
  <c r="T36" i="10"/>
  <c r="T37" i="10"/>
  <c r="T38" i="10"/>
  <c r="T39" i="10"/>
  <c r="T40" i="10"/>
  <c r="T32" i="10"/>
  <c r="K34" i="10"/>
  <c r="K38" i="10"/>
  <c r="K29" i="10"/>
  <c r="K28" i="10"/>
  <c r="K40" i="10"/>
  <c r="K36" i="10"/>
  <c r="K32" i="10"/>
  <c r="K31" i="10"/>
  <c r="K39" i="10"/>
  <c r="K37" i="10"/>
  <c r="K35" i="10"/>
  <c r="Z31" i="10"/>
  <c r="Z40" i="10"/>
  <c r="Z32" i="10"/>
  <c r="Z38" i="10"/>
  <c r="Z34" i="10"/>
  <c r="Z37" i="10"/>
  <c r="Z35" i="10"/>
  <c r="Z36" i="10"/>
  <c r="Z28" i="10"/>
  <c r="Z39" i="10"/>
  <c r="Z29" i="10"/>
  <c r="E39" i="10"/>
  <c r="E35" i="10"/>
  <c r="E38" i="10"/>
  <c r="E40" i="10"/>
  <c r="E36" i="10"/>
  <c r="E32" i="10"/>
  <c r="E34" i="10"/>
  <c r="E31" i="10"/>
  <c r="E29" i="10"/>
  <c r="E37" i="10"/>
  <c r="W21" i="10"/>
  <c r="V21" i="10"/>
  <c r="U21" i="10"/>
  <c r="Q11" i="10"/>
  <c r="P11" i="10"/>
  <c r="O11" i="10"/>
  <c r="C27" i="11"/>
  <c r="C46" i="11"/>
  <c r="B6" i="11"/>
  <c r="D46" i="11" s="1"/>
  <c r="W10" i="11" l="1"/>
  <c r="D11" i="11"/>
  <c r="D19" i="11"/>
  <c r="D35" i="11"/>
  <c r="D51" i="11"/>
  <c r="W16" i="11"/>
  <c r="W31" i="11"/>
  <c r="W46" i="11"/>
  <c r="W54" i="11"/>
  <c r="D53" i="11"/>
  <c r="D12" i="11"/>
  <c r="D28" i="11"/>
  <c r="D36" i="11"/>
  <c r="D52" i="11"/>
  <c r="W9" i="11"/>
  <c r="W17" i="11"/>
  <c r="W32" i="11"/>
  <c r="W47" i="11"/>
  <c r="W55" i="11"/>
  <c r="D13" i="11"/>
  <c r="W56" i="11"/>
  <c r="D14" i="11"/>
  <c r="D30" i="11"/>
  <c r="D38" i="11"/>
  <c r="D54" i="11"/>
  <c r="W11" i="11"/>
  <c r="W19" i="11"/>
  <c r="W34" i="11"/>
  <c r="W49" i="11"/>
  <c r="W57" i="11"/>
  <c r="D37" i="11"/>
  <c r="W48" i="11"/>
  <c r="D15" i="11"/>
  <c r="D31" i="11"/>
  <c r="D47" i="11"/>
  <c r="D55" i="11"/>
  <c r="W12" i="11"/>
  <c r="W27" i="11"/>
  <c r="W35" i="11"/>
  <c r="W50" i="11"/>
  <c r="W8" i="11"/>
  <c r="D16" i="11"/>
  <c r="D32" i="11"/>
  <c r="D48" i="11"/>
  <c r="D56" i="11"/>
  <c r="W13" i="11"/>
  <c r="W28" i="11"/>
  <c r="W36" i="11"/>
  <c r="W51" i="11"/>
  <c r="D8" i="11"/>
  <c r="W18" i="11"/>
  <c r="D9" i="11"/>
  <c r="D17" i="11"/>
  <c r="D33" i="11"/>
  <c r="D49" i="11"/>
  <c r="D57" i="11"/>
  <c r="W14" i="11"/>
  <c r="W29" i="11"/>
  <c r="W37" i="11"/>
  <c r="W52" i="11"/>
  <c r="D27" i="11"/>
  <c r="D29" i="11"/>
  <c r="W33" i="11"/>
  <c r="D10" i="11"/>
  <c r="D18" i="11"/>
  <c r="D34" i="11"/>
  <c r="D50" i="11"/>
  <c r="W15" i="11"/>
  <c r="W30" i="11"/>
  <c r="W38" i="11"/>
  <c r="W53" i="11"/>
  <c r="X27" i="11" l="1"/>
  <c r="E27" i="11"/>
  <c r="E46" i="11"/>
  <c r="X46" i="11"/>
  <c r="AC15" i="10" l="1"/>
  <c r="Z19" i="10"/>
  <c r="Z21" i="10" s="1"/>
  <c r="J6" i="2"/>
  <c r="I6" i="2"/>
  <c r="H6" i="2"/>
  <c r="J4" i="2"/>
  <c r="I4" i="2"/>
  <c r="H4" i="2"/>
  <c r="AC21" i="10"/>
  <c r="AB21" i="10"/>
  <c r="AA21" i="10"/>
  <c r="Y21" i="10"/>
  <c r="X21" i="10"/>
  <c r="N21" i="10"/>
  <c r="M21" i="10"/>
  <c r="L21" i="10"/>
  <c r="X47" i="11"/>
  <c r="X48" i="11"/>
  <c r="X49" i="11"/>
  <c r="X50" i="11"/>
  <c r="X53" i="11"/>
  <c r="X54" i="11"/>
  <c r="X55" i="11"/>
  <c r="X56" i="11"/>
  <c r="X57" i="11"/>
  <c r="V57" i="11"/>
  <c r="V56" i="11"/>
  <c r="V55" i="11"/>
  <c r="V54" i="11"/>
  <c r="V53" i="11"/>
  <c r="V52" i="11"/>
  <c r="V51" i="11"/>
  <c r="V50" i="11"/>
  <c r="V49" i="11"/>
  <c r="V48" i="11"/>
  <c r="V47" i="11"/>
  <c r="V46" i="11"/>
  <c r="X28" i="11"/>
  <c r="X29" i="11"/>
  <c r="X30" i="11"/>
  <c r="X31" i="11"/>
  <c r="X32" i="11"/>
  <c r="X33" i="11"/>
  <c r="X34" i="11"/>
  <c r="X35" i="11"/>
  <c r="X36" i="11"/>
  <c r="X37" i="11"/>
  <c r="X38" i="11"/>
  <c r="V38" i="11"/>
  <c r="V37" i="11"/>
  <c r="V36" i="11"/>
  <c r="V35" i="11"/>
  <c r="V34" i="11"/>
  <c r="V33" i="11"/>
  <c r="V32" i="11"/>
  <c r="V31" i="11"/>
  <c r="V30" i="11"/>
  <c r="V29" i="11"/>
  <c r="V28" i="11"/>
  <c r="V27" i="11"/>
  <c r="X9" i="11"/>
  <c r="X10" i="11"/>
  <c r="X11" i="11"/>
  <c r="X12" i="11"/>
  <c r="X13" i="11"/>
  <c r="X14" i="11"/>
  <c r="X15" i="11"/>
  <c r="X16" i="11"/>
  <c r="X17" i="11"/>
  <c r="X18" i="11"/>
  <c r="X19" i="11"/>
  <c r="X8" i="11"/>
  <c r="V19" i="11"/>
  <c r="V18" i="11"/>
  <c r="V17" i="11"/>
  <c r="V16" i="11"/>
  <c r="V15" i="11"/>
  <c r="V14" i="11"/>
  <c r="V13" i="11"/>
  <c r="V12" i="11"/>
  <c r="V11" i="11"/>
  <c r="V10" i="11"/>
  <c r="V9" i="11"/>
  <c r="V8" i="11"/>
  <c r="C57" i="11"/>
  <c r="C56" i="11"/>
  <c r="C55" i="11"/>
  <c r="C54" i="11"/>
  <c r="C53" i="11"/>
  <c r="C52" i="11"/>
  <c r="C51" i="11"/>
  <c r="C50" i="11"/>
  <c r="C49" i="11"/>
  <c r="C48" i="11"/>
  <c r="C47" i="11"/>
  <c r="C38" i="11"/>
  <c r="C37" i="11"/>
  <c r="C36" i="11"/>
  <c r="C35" i="11"/>
  <c r="C34" i="11"/>
  <c r="C33" i="11"/>
  <c r="C32" i="11"/>
  <c r="C31" i="11"/>
  <c r="C30" i="11"/>
  <c r="C29" i="11"/>
  <c r="C28" i="11"/>
  <c r="Z15" i="10" l="1"/>
  <c r="E28" i="11"/>
  <c r="X52" i="11"/>
  <c r="X51" i="11"/>
  <c r="N6" i="2"/>
  <c r="L6" i="2"/>
  <c r="M6" i="2"/>
  <c r="N4" i="2"/>
  <c r="L4" i="2"/>
  <c r="E16" i="5" s="1"/>
  <c r="M4" i="2"/>
  <c r="E30" i="11"/>
  <c r="E38" i="11"/>
  <c r="E29" i="11"/>
  <c r="E37" i="11"/>
  <c r="E35" i="11"/>
  <c r="E33" i="11"/>
  <c r="E47" i="11"/>
  <c r="E53" i="11"/>
  <c r="E56" i="11"/>
  <c r="E50" i="11"/>
  <c r="E48" i="11"/>
  <c r="E57" i="11"/>
  <c r="E54" i="11"/>
  <c r="E51" i="11"/>
  <c r="E49" i="11"/>
  <c r="E52" i="11"/>
  <c r="E55" i="11"/>
  <c r="E12" i="11"/>
  <c r="E34" i="11"/>
  <c r="E32" i="11"/>
  <c r="E36" i="11"/>
  <c r="E31" i="11"/>
  <c r="E13" i="11"/>
  <c r="E11" i="11"/>
  <c r="E10" i="11"/>
  <c r="E17" i="11"/>
  <c r="E16" i="11"/>
  <c r="E15" i="11"/>
  <c r="E14" i="11"/>
  <c r="E18" i="11"/>
  <c r="E8" i="11"/>
  <c r="E9" i="11"/>
  <c r="E19" i="11"/>
  <c r="F5" i="5" l="1"/>
  <c r="F14" i="5"/>
  <c r="F6" i="5"/>
  <c r="F7" i="5"/>
  <c r="F13" i="5"/>
  <c r="F12" i="5"/>
  <c r="F11" i="5"/>
  <c r="F10" i="5"/>
  <c r="F9" i="5"/>
  <c r="F8" i="5"/>
  <c r="C9" i="11"/>
  <c r="C10" i="11"/>
  <c r="C11" i="11"/>
  <c r="C12" i="11"/>
  <c r="C13" i="11"/>
  <c r="C14" i="11"/>
  <c r="C15" i="11"/>
  <c r="C16" i="11"/>
  <c r="C17" i="11"/>
  <c r="C18" i="11"/>
  <c r="C19" i="11"/>
  <c r="C8" i="11"/>
  <c r="AK3" i="5" l="1"/>
  <c r="AJ3" i="5"/>
  <c r="AI3" i="5"/>
  <c r="AH3" i="5"/>
  <c r="O6" i="5"/>
  <c r="O7" i="5"/>
  <c r="S7" i="5" s="1"/>
  <c r="O8" i="5"/>
  <c r="O9" i="5"/>
  <c r="Q9" i="5" s="1"/>
  <c r="O10" i="5"/>
  <c r="T10" i="5" s="1"/>
  <c r="O11" i="5"/>
  <c r="O12" i="5"/>
  <c r="R12" i="5" s="1"/>
  <c r="O13" i="5"/>
  <c r="O14" i="5"/>
  <c r="O5" i="5"/>
  <c r="Q5" i="5" s="1"/>
  <c r="AB3" i="5"/>
  <c r="AB5" i="5" s="1"/>
  <c r="AC3" i="5"/>
  <c r="AC5" i="5" s="1"/>
  <c r="AD3" i="5"/>
  <c r="AD5" i="5" s="1"/>
  <c r="Y6" i="5"/>
  <c r="X6" i="5" s="1"/>
  <c r="Y7" i="5"/>
  <c r="X7" i="5" s="1"/>
  <c r="Y8" i="5"/>
  <c r="X8" i="5" s="1"/>
  <c r="Y9" i="5"/>
  <c r="X9" i="5" s="1"/>
  <c r="Y10" i="5"/>
  <c r="X10" i="5" s="1"/>
  <c r="Y11" i="5"/>
  <c r="X11" i="5" s="1"/>
  <c r="Y12" i="5"/>
  <c r="X12" i="5" s="1"/>
  <c r="Y13" i="5"/>
  <c r="X13" i="5" s="1"/>
  <c r="Y14" i="5"/>
  <c r="X14" i="5" s="1"/>
  <c r="Y5" i="5"/>
  <c r="X5" i="5" s="1"/>
  <c r="T11" i="10"/>
  <c r="S11" i="10"/>
  <c r="R11" i="10"/>
  <c r="K11" i="10"/>
  <c r="J11" i="10"/>
  <c r="I11" i="10"/>
  <c r="H11" i="10"/>
  <c r="G11" i="10"/>
  <c r="F11" i="10"/>
  <c r="E11" i="10"/>
  <c r="D11" i="10"/>
  <c r="C11" i="10"/>
  <c r="W5" i="5" l="1"/>
  <c r="W7" i="5"/>
  <c r="W14" i="5"/>
  <c r="AS14" i="5" s="1"/>
  <c r="W12" i="5"/>
  <c r="W10" i="5"/>
  <c r="AS10" i="5" s="1"/>
  <c r="S10" i="5"/>
  <c r="R13" i="5"/>
  <c r="Q10" i="5"/>
  <c r="R7" i="5"/>
  <c r="T13" i="5"/>
  <c r="Q12" i="5"/>
  <c r="T11" i="5"/>
  <c r="S13" i="5"/>
  <c r="R10" i="5"/>
  <c r="T8" i="5"/>
  <c r="Q7" i="5"/>
  <c r="T14" i="5"/>
  <c r="Q13" i="5"/>
  <c r="S11" i="5"/>
  <c r="R8" i="5"/>
  <c r="T6" i="5"/>
  <c r="S8" i="5"/>
  <c r="S14" i="5"/>
  <c r="R11" i="5"/>
  <c r="T9" i="5"/>
  <c r="Q8" i="5"/>
  <c r="S6" i="5"/>
  <c r="R14" i="5"/>
  <c r="T12" i="5"/>
  <c r="Q11" i="5"/>
  <c r="S9" i="5"/>
  <c r="R6" i="5"/>
  <c r="Q14" i="5"/>
  <c r="S12" i="5"/>
  <c r="R9" i="5"/>
  <c r="T7" i="5"/>
  <c r="Q6" i="5"/>
  <c r="T5" i="5"/>
  <c r="S5" i="5"/>
  <c r="R5" i="5"/>
  <c r="E25" i="9"/>
  <c r="F25" i="9"/>
  <c r="G25" i="9"/>
  <c r="H25" i="9"/>
  <c r="I25" i="9"/>
  <c r="J25" i="9"/>
  <c r="K25" i="9"/>
  <c r="L25" i="9"/>
  <c r="M25" i="9"/>
  <c r="D25" i="9"/>
  <c r="E22" i="9"/>
  <c r="F22" i="9"/>
  <c r="G22" i="9"/>
  <c r="H22" i="9"/>
  <c r="I22" i="9"/>
  <c r="J22" i="9"/>
  <c r="K22" i="9"/>
  <c r="L22" i="9"/>
  <c r="M22" i="9"/>
  <c r="E23" i="9"/>
  <c r="F23" i="9"/>
  <c r="G23" i="9"/>
  <c r="H23" i="9"/>
  <c r="I23" i="9"/>
  <c r="J23" i="9"/>
  <c r="K23" i="9"/>
  <c r="L23" i="9"/>
  <c r="M23" i="9"/>
  <c r="D23" i="9"/>
  <c r="D22" i="9"/>
  <c r="D15" i="9"/>
  <c r="E15" i="9"/>
  <c r="F15" i="9"/>
  <c r="G15" i="9"/>
  <c r="H15" i="9"/>
  <c r="I15" i="9"/>
  <c r="J15" i="9"/>
  <c r="K15" i="9"/>
  <c r="L15" i="9"/>
  <c r="M15" i="9"/>
  <c r="D16" i="9"/>
  <c r="E16" i="9"/>
  <c r="F16" i="9"/>
  <c r="G16" i="9"/>
  <c r="H16" i="9"/>
  <c r="I16" i="9"/>
  <c r="J16" i="9"/>
  <c r="K16" i="9"/>
  <c r="L16" i="9"/>
  <c r="M16" i="9"/>
  <c r="D17" i="9"/>
  <c r="E17" i="9"/>
  <c r="F17" i="9"/>
  <c r="G17" i="9"/>
  <c r="H17" i="9"/>
  <c r="I17" i="9"/>
  <c r="J17" i="9"/>
  <c r="K17" i="9"/>
  <c r="L17" i="9"/>
  <c r="M17" i="9"/>
  <c r="D18" i="9"/>
  <c r="E18" i="9"/>
  <c r="F18" i="9"/>
  <c r="G18" i="9"/>
  <c r="H18" i="9"/>
  <c r="I18" i="9"/>
  <c r="J18" i="9"/>
  <c r="K18" i="9"/>
  <c r="L18" i="9"/>
  <c r="M18" i="9"/>
  <c r="D19" i="9"/>
  <c r="E19" i="9"/>
  <c r="F19" i="9"/>
  <c r="G19" i="9"/>
  <c r="H19" i="9"/>
  <c r="I19" i="9"/>
  <c r="J19" i="9"/>
  <c r="K19" i="9"/>
  <c r="L19" i="9"/>
  <c r="M19" i="9"/>
  <c r="D20" i="9"/>
  <c r="E20" i="9"/>
  <c r="F20" i="9"/>
  <c r="G20" i="9"/>
  <c r="H20" i="9"/>
  <c r="I20" i="9"/>
  <c r="J20" i="9"/>
  <c r="K20" i="9"/>
  <c r="L20" i="9"/>
  <c r="M20" i="9"/>
  <c r="E14" i="9"/>
  <c r="F14" i="9"/>
  <c r="G14" i="9"/>
  <c r="H14" i="9"/>
  <c r="I14" i="9"/>
  <c r="J14" i="9"/>
  <c r="K14" i="9"/>
  <c r="L14" i="9"/>
  <c r="M14" i="9"/>
  <c r="D14" i="9"/>
  <c r="D3" i="8"/>
  <c r="E5" i="5" s="1"/>
  <c r="D9" i="6"/>
  <c r="D10" i="6"/>
  <c r="D11" i="6"/>
  <c r="D12" i="6"/>
  <c r="D13" i="6"/>
  <c r="D17" i="6"/>
  <c r="D18" i="6"/>
  <c r="D19" i="6"/>
  <c r="D20" i="6"/>
  <c r="D21" i="6"/>
  <c r="D4" i="6"/>
  <c r="AB12" i="5" l="1"/>
  <c r="AA12" i="5" s="1"/>
  <c r="AS12" i="5"/>
  <c r="AB7" i="5"/>
  <c r="AA7" i="5" s="1"/>
  <c r="AS7" i="5"/>
  <c r="AE7" i="5"/>
  <c r="AD7" i="5"/>
  <c r="AC7" i="5"/>
  <c r="AE14" i="5"/>
  <c r="AD14" i="5"/>
  <c r="AC14" i="5"/>
  <c r="AB14" i="5"/>
  <c r="AE12" i="5"/>
  <c r="AD12" i="5"/>
  <c r="AC12" i="5"/>
  <c r="AE10" i="5"/>
  <c r="AD10" i="5"/>
  <c r="AC10" i="5"/>
  <c r="AB10" i="5"/>
  <c r="D8" i="6"/>
  <c r="D7" i="6"/>
  <c r="D15" i="6"/>
  <c r="D14" i="6"/>
  <c r="D16" i="6"/>
  <c r="D23" i="6"/>
  <c r="D22" i="6"/>
  <c r="D6" i="6"/>
  <c r="D5" i="6"/>
  <c r="D7" i="8"/>
  <c r="E9" i="5" s="1"/>
  <c r="D5" i="8"/>
  <c r="E7" i="5" s="1"/>
  <c r="D10" i="8"/>
  <c r="E12" i="5" s="1"/>
  <c r="D11" i="8"/>
  <c r="E13" i="5" s="1"/>
  <c r="D8" i="8"/>
  <c r="E10" i="5" s="1"/>
  <c r="D4" i="8"/>
  <c r="E6" i="5" s="1"/>
  <c r="D6" i="8"/>
  <c r="E8" i="5" s="1"/>
  <c r="D9" i="8"/>
  <c r="E11" i="5" s="1"/>
  <c r="D12" i="8"/>
  <c r="E14" i="5" s="1"/>
  <c r="H5" i="2"/>
  <c r="I5" i="2"/>
  <c r="J5" i="2"/>
  <c r="H7" i="2"/>
  <c r="I7" i="2"/>
  <c r="J7" i="2"/>
  <c r="H8" i="2"/>
  <c r="I8" i="2"/>
  <c r="J8" i="2"/>
  <c r="I3" i="2"/>
  <c r="J3" i="2"/>
  <c r="H3" i="2"/>
  <c r="J19" i="1"/>
  <c r="M19" i="1" s="1"/>
  <c r="J18" i="1"/>
  <c r="L18" i="1" s="1"/>
  <c r="L9" i="1"/>
  <c r="K9" i="1"/>
  <c r="L16" i="1"/>
  <c r="M16" i="1"/>
  <c r="N16" i="1"/>
  <c r="K16" i="1"/>
  <c r="E7" i="1"/>
  <c r="I4" i="1"/>
  <c r="I5" i="1"/>
  <c r="I6" i="1"/>
  <c r="I3" i="1"/>
  <c r="AA10" i="5" l="1" a="1"/>
  <c r="AA10" i="5" s="1"/>
  <c r="AA14" i="5" a="1"/>
  <c r="AA14" i="5" s="1"/>
  <c r="D10" i="5"/>
  <c r="D5" i="5"/>
  <c r="D11" i="5"/>
  <c r="D13" i="5"/>
  <c r="D14" i="5"/>
  <c r="D6" i="5"/>
  <c r="D7" i="5"/>
  <c r="D8" i="5"/>
  <c r="D9" i="5"/>
  <c r="D12" i="5"/>
  <c r="L5" i="2"/>
  <c r="M5" i="2"/>
  <c r="L7" i="2"/>
  <c r="F16" i="5" s="1"/>
  <c r="M7" i="2"/>
  <c r="M8" i="2"/>
  <c r="L8" i="2"/>
  <c r="G16" i="5" s="1"/>
  <c r="M3" i="2"/>
  <c r="L3" i="2"/>
  <c r="N7" i="2"/>
  <c r="N8" i="2"/>
  <c r="N5" i="2"/>
  <c r="N3" i="2"/>
  <c r="M18" i="1"/>
  <c r="L19" i="1"/>
  <c r="K18" i="1"/>
  <c r="N18" i="1"/>
  <c r="K19" i="1"/>
  <c r="N19" i="1"/>
  <c r="I7" i="1"/>
  <c r="I9" i="1" s="1"/>
  <c r="D16" i="5" l="1"/>
  <c r="W8" i="5"/>
  <c r="AS8" i="5" s="1"/>
  <c r="W6" i="5"/>
  <c r="AS6" i="5" s="1"/>
  <c r="W9" i="5"/>
  <c r="AS9" i="5" s="1"/>
  <c r="W13" i="5"/>
  <c r="AS13" i="5" s="1"/>
  <c r="W11" i="5"/>
  <c r="AS11" i="5" s="1"/>
  <c r="I6" i="5" l="1" a="1"/>
  <c r="I6" i="5" s="1"/>
  <c r="AE13" i="5"/>
  <c r="AB13" i="5"/>
  <c r="AD13" i="5"/>
  <c r="AC13" i="5"/>
  <c r="AE11" i="5"/>
  <c r="AD11" i="5"/>
  <c r="AB11" i="5"/>
  <c r="AC11" i="5"/>
  <c r="AB9" i="5"/>
  <c r="AE9" i="5"/>
  <c r="AD9" i="5"/>
  <c r="AC9" i="5"/>
  <c r="AE6" i="5"/>
  <c r="AC6" i="5"/>
  <c r="AB6" i="5"/>
  <c r="AD6" i="5"/>
  <c r="AD8" i="5"/>
  <c r="AE8" i="5"/>
  <c r="AC8" i="5"/>
  <c r="AB8" i="5"/>
  <c r="I13" i="5" a="1"/>
  <c r="I13" i="5" s="1"/>
  <c r="I12" i="5" a="1"/>
  <c r="I12" i="5" s="1"/>
  <c r="I5" i="5" a="1"/>
  <c r="I5" i="5" s="1"/>
  <c r="I11" i="5" a="1"/>
  <c r="I11" i="5" s="1"/>
  <c r="I10" i="5" a="1"/>
  <c r="I10" i="5" s="1"/>
  <c r="I9" i="5" a="1"/>
  <c r="I9" i="5" s="1"/>
  <c r="I8" i="5" a="1"/>
  <c r="I8" i="5" s="1"/>
  <c r="I7" i="5" a="1"/>
  <c r="I7" i="5" s="1"/>
  <c r="I14" i="5" a="1"/>
  <c r="I14" i="5" s="1"/>
  <c r="D26" i="5" l="1"/>
  <c r="G26" i="5"/>
  <c r="F26" i="5"/>
  <c r="E26" i="5"/>
  <c r="D25" i="5"/>
  <c r="G25" i="5"/>
  <c r="F25" i="5"/>
  <c r="E25" i="5"/>
  <c r="D27" i="5"/>
  <c r="G27" i="5"/>
  <c r="F27" i="5"/>
  <c r="E27" i="5"/>
  <c r="D28" i="5"/>
  <c r="G28" i="5"/>
  <c r="F28" i="5"/>
  <c r="E28" i="5"/>
  <c r="D21" i="5"/>
  <c r="G21" i="5"/>
  <c r="F21" i="5"/>
  <c r="E21" i="5"/>
  <c r="D22" i="5"/>
  <c r="G22" i="5"/>
  <c r="F22" i="5"/>
  <c r="E22" i="5"/>
  <c r="D19" i="5"/>
  <c r="G19" i="5"/>
  <c r="F19" i="5"/>
  <c r="E19" i="5"/>
  <c r="D23" i="5"/>
  <c r="G23" i="5"/>
  <c r="F23" i="5"/>
  <c r="E23" i="5"/>
  <c r="D24" i="5"/>
  <c r="G24" i="5"/>
  <c r="F24" i="5"/>
  <c r="E24" i="5"/>
  <c r="D20" i="5"/>
  <c r="G20" i="5"/>
  <c r="F20" i="5"/>
  <c r="E20" i="5"/>
  <c r="AA11" i="5" a="1"/>
  <c r="AA11" i="5" s="1"/>
  <c r="AA8" i="5" a="1"/>
  <c r="AA8" i="5" s="1"/>
  <c r="AA13" i="5" a="1"/>
  <c r="AA13" i="5" s="1"/>
  <c r="AA6" i="5" a="1"/>
  <c r="AA6" i="5" s="1"/>
  <c r="AA9" i="5" a="1"/>
  <c r="AA9" i="5" s="1"/>
  <c r="J10" i="5" l="1" a="1"/>
  <c r="J10" i="5" s="1"/>
  <c r="J7" i="5" a="1"/>
  <c r="J7" i="5" s="1"/>
  <c r="J13" i="5" a="1"/>
  <c r="J13" i="5" s="1"/>
  <c r="K13" i="5" s="1"/>
  <c r="J9" i="5" a="1"/>
  <c r="J9" i="5" s="1"/>
  <c r="K9" i="5" s="1"/>
  <c r="J8" i="5" a="1"/>
  <c r="J8" i="5" s="1"/>
  <c r="J14" i="5" a="1"/>
  <c r="J14" i="5" s="1"/>
  <c r="J11" i="5" a="1"/>
  <c r="J11" i="5" s="1"/>
  <c r="J6" i="5" a="1"/>
  <c r="J6" i="5" s="1"/>
  <c r="J12" i="5" a="1"/>
  <c r="J12" i="5" s="1"/>
  <c r="J5" i="5" a="1"/>
  <c r="J5" i="5" s="1"/>
  <c r="AH11" i="5" l="1"/>
  <c r="AK7" i="5"/>
  <c r="AH9" i="5"/>
  <c r="AI5" i="5"/>
  <c r="AH12" i="5"/>
  <c r="AJ8" i="5"/>
  <c r="AH10" i="5"/>
  <c r="AH6" i="5"/>
  <c r="AH13" i="5"/>
  <c r="AH14" i="5"/>
  <c r="AG14" i="5"/>
  <c r="AJ12" i="5"/>
  <c r="AI12" i="5"/>
  <c r="AK12" i="5"/>
  <c r="AK11" i="5"/>
  <c r="AI11" i="5"/>
  <c r="AJ11" i="5"/>
  <c r="AJ14" i="5"/>
  <c r="AI14" i="5"/>
  <c r="AK14" i="5"/>
  <c r="AI13" i="5"/>
  <c r="AK13" i="5"/>
  <c r="AJ13" i="5"/>
  <c r="AI7" i="5"/>
  <c r="AK10" i="5"/>
  <c r="AI10" i="5"/>
  <c r="AJ10" i="5"/>
  <c r="AG12" i="5"/>
  <c r="AG10" i="5"/>
  <c r="AG11" i="5"/>
  <c r="AG13" i="5"/>
  <c r="AG7" i="5"/>
  <c r="AG5" i="5"/>
  <c r="AK5" i="5"/>
  <c r="AH5" i="5"/>
  <c r="AJ5" i="5"/>
  <c r="AJ9" i="5" l="1"/>
  <c r="AI6" i="5"/>
  <c r="AJ6" i="5"/>
  <c r="AG6" i="5"/>
  <c r="AK6" i="5"/>
  <c r="AI9" i="5"/>
  <c r="AG8" i="5"/>
  <c r="AJ7" i="5"/>
  <c r="AP13" i="5" s="1"/>
  <c r="AK8" i="5"/>
  <c r="AH7" i="5"/>
  <c r="AH8" i="5"/>
  <c r="AI8" i="5"/>
  <c r="AK9" i="5"/>
  <c r="AG9" i="5"/>
  <c r="AP10" i="5" l="1"/>
  <c r="AP12" i="5"/>
  <c r="AQ11" i="5"/>
  <c r="AM5" i="5"/>
  <c r="AO12" i="5"/>
  <c r="AO7" i="5"/>
  <c r="AP14" i="5"/>
  <c r="AP5" i="5"/>
  <c r="AM6" i="5"/>
  <c r="AP9" i="5"/>
  <c r="AQ7" i="5"/>
  <c r="AQ5" i="5"/>
  <c r="AP6" i="5"/>
  <c r="AO13" i="5"/>
  <c r="AP11" i="5"/>
  <c r="AQ9" i="5"/>
  <c r="AO6" i="5"/>
  <c r="AO10" i="5"/>
  <c r="AO11" i="5"/>
  <c r="AQ14" i="5"/>
  <c r="AQ6" i="5"/>
  <c r="AO5" i="5"/>
  <c r="AQ12" i="5"/>
  <c r="AP7" i="5"/>
  <c r="AP8" i="5"/>
  <c r="AO9" i="5"/>
  <c r="AQ10" i="5"/>
  <c r="AO14" i="5"/>
  <c r="AQ8" i="5"/>
  <c r="AQ13" i="5"/>
  <c r="AO8" i="5"/>
  <c r="AM10" i="5"/>
  <c r="AM9" i="5"/>
  <c r="AM8" i="5"/>
  <c r="AM7" i="5"/>
  <c r="AM11" i="5"/>
  <c r="AM12" i="5"/>
  <c r="AM14" i="5"/>
  <c r="AM13" i="5" l="1"/>
  <c r="AN13" i="5" l="1"/>
  <c r="AN12" i="5"/>
  <c r="AN10" i="5"/>
  <c r="AN6" i="5"/>
  <c r="AN5" i="5"/>
  <c r="AN8" i="5"/>
  <c r="AN7" i="5"/>
  <c r="AN11" i="5"/>
  <c r="AN9" i="5"/>
  <c r="AN1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tc={50A6B55E-B064-4788-BBEB-8518CD803F67}</author>
    <author>tc={682B8B6D-85F4-43EE-A4A9-78B0A87C681A}</author>
    <author>tc={40BC51E7-F1B9-4C9D-A42F-29A78C8FE88C}</author>
    <author>tc={212A7F4A-33FA-493F-B0BB-1957BFA4E44B}</author>
    <author>tc={0CEAFF8F-123B-409A-9FCB-D616083EAF3E}</author>
  </authors>
  <commentList>
    <comment ref="M4" authorId="0" shapeId="0" xr:uid="{50A6B55E-B064-4788-BBEB-8518CD803F67}">
      <text>
        <t>[Threaded comment]
Your version of Excel allows you to read this threaded comment; however, any edits to it will get removed if the file is opened in a newer version of Excel. Learn more: https://go.microsoft.com/fwlink/?linkid=870924
Comment:
    Select overall priority rating (low = 1 SD lower, high = 1 SD higher)</t>
      </text>
    </comment>
    <comment ref="AG4" authorId="1" shapeId="0" xr:uid="{682B8B6D-85F4-43EE-A4A9-78B0A87C681A}">
      <text>
        <t>[Threaded comment]
Your version of Excel allows you to read this threaded comment; however, any edits to it will get removed if the file is opened in a newer version of Excel. Learn more: https://go.microsoft.com/fwlink/?linkid=870924
Comment:
    Created by backward extrapolation from 2035-2045 figures</t>
      </text>
    </comment>
    <comment ref="AM4" authorId="2" shapeId="0" xr:uid="{40BC51E7-F1B9-4C9D-A42F-29A78C8FE88C}">
      <text>
        <t>[Threaded comment]
Your version of Excel allows you to read this threaded comment; however, any edits to it will get removed if the file is opened in a newer version of Excel. Learn more: https://go.microsoft.com/fwlink/?linkid=870924
Comment:
    Created by backward extrapolation from 2035-2045 figures</t>
      </text>
    </comment>
    <comment ref="AA7" authorId="3" shapeId="0" xr:uid="{212A7F4A-33FA-493F-B0BB-1957BFA4E44B}">
      <text>
        <t>[Threaded comment]
Your version of Excel allows you to read this threaded comment; however, any edits to it will get removed if the file is opened in a newer version of Excel. Learn more: https://go.microsoft.com/fwlink/?linkid=870924
Comment:
    Direct references to LTSD2 value</t>
      </text>
    </comment>
    <comment ref="AA12" authorId="4" shapeId="0" xr:uid="{0CEAFF8F-123B-409A-9FCB-D616083EAF3E}">
      <text>
        <t>[Threaded comment]
Your version of Excel allows you to read this threaded comment; however, any edits to it will get removed if the file is opened in a newer version of Excel. Learn more: https://go.microsoft.com/fwlink/?linkid=870924
Comment:
    Direct references to LTSD2 value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tc={64CD7A79-F182-4C40-9458-BD7B05967A72}</author>
  </authors>
  <commentList>
    <comment ref="C23" authorId="0" shapeId="0" xr:uid="{64CD7A79-F182-4C40-9458-BD7B05967A72}">
      <text>
        <t>[Threaded comment]
Your version of Excel allows you to read this threaded comment; however, any edits to it will get removed if the file is opened in a newer version of Excel. Learn more: https://go.microsoft.com/fwlink/?linkid=870924
Comment:
    Considered but rejected, as customers unlikely to associate meter readings with drought resilience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tc={601703C8-31C7-4998-BB59-3D56A722A42A}</author>
    <author>tc={1C844501-9AC6-4FE8-8ABD-E1600CC6EDA6}</author>
    <author>tc={0BD8C11E-5DD0-4764-AB12-1F20B90D8897}</author>
    <author>tc={5EBE7B9F-5C8E-440D-8B16-A725A44E146A}</author>
    <author>tc={E927CA02-C7B6-420F-BA5A-5C9FB9D15492}</author>
  </authors>
  <commentList>
    <comment ref="Z16" authorId="0" shapeId="0" xr:uid="{601703C8-31C7-4998-BB59-3D56A722A42A}">
      <text>
        <t>[Threaded comment]
Your version of Excel allows you to read this threaded comment; however, any edits to it will get removed if the file is opened in a newer version of Excel. Learn more: https://go.microsoft.com/fwlink/?linkid=870924
Comment:
    Actually 2030</t>
      </text>
    </comment>
    <comment ref="AC16" authorId="1" shapeId="0" xr:uid="{1C844501-9AC6-4FE8-8ABD-E1600CC6EDA6}">
      <text>
        <t>[Threaded comment]
Your version of Excel allows you to read this threaded comment; however, any edits to it will get removed if the file is opened in a newer version of Excel. Learn more: https://go.microsoft.com/fwlink/?linkid=870924
Comment:
    Actually 2030</t>
      </text>
    </comment>
    <comment ref="Z17" authorId="2" shapeId="0" xr:uid="{0BD8C11E-5DD0-4764-AB12-1F20B90D8897}">
      <text>
        <t>[Threaded comment]
Your version of Excel allows you to read this threaded comment; however, any edits to it will get removed if the file is opened in a newer version of Excel. Learn more: https://go.microsoft.com/fwlink/?linkid=870924
Comment:
    2035-2045</t>
      </text>
    </comment>
    <comment ref="AC17" authorId="3" shapeId="0" xr:uid="{5EBE7B9F-5C8E-440D-8B16-A725A44E146A}">
      <text>
        <t>[Threaded comment]
Your version of Excel allows you to read this threaded comment; however, any edits to it will get removed if the file is opened in a newer version of Excel. Learn more: https://go.microsoft.com/fwlink/?linkid=870924
Comment:
    To 2050</t>
      </text>
    </comment>
    <comment ref="Z18" authorId="4" shapeId="0" xr:uid="{E927CA02-C7B6-420F-BA5A-5C9FB9D15492}">
      <text>
        <t>[Threaded comment]
Your version of Excel allows you to read this threaded comment; however, any edits to it will get removed if the file is opened in a newer version of Excel. Learn more: https://go.microsoft.com/fwlink/?linkid=870924
Comment:
    2035-2045</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<sst xmlns="http://schemas.openxmlformats.org/spreadsheetml/2006/main" count="1098" uniqueCount="304">
  <si>
    <t>Data source</t>
  </si>
  <si>
    <t>Customer priority tracker</t>
  </si>
  <si>
    <t>LTDS research 1</t>
  </si>
  <si>
    <t>WTP 2022 and ODI</t>
  </si>
  <si>
    <t>WRMP24 themes 1 and 3 quant</t>
  </si>
  <si>
    <t xml:space="preserve">LTDS research 2 </t>
  </si>
  <si>
    <t xml:space="preserve">LTDS research 3 </t>
  </si>
  <si>
    <t>RAG</t>
  </si>
  <si>
    <t>Wgt</t>
  </si>
  <si>
    <t>Amber</t>
  </si>
  <si>
    <t>Green</t>
  </si>
  <si>
    <t>Amber / Red</t>
  </si>
  <si>
    <t>Invest v bills</t>
  </si>
  <si>
    <r>
      <t xml:space="preserve">Priority Rating
</t>
    </r>
    <r>
      <rPr>
        <b/>
        <sz val="11"/>
        <color rgb="FFFFFFFF"/>
        <rFont val="Calibri Light"/>
        <family val="2"/>
      </rPr>
      <t>(user defined, 1-10)</t>
    </r>
  </si>
  <si>
    <t>Calculations</t>
  </si>
  <si>
    <t>Average Priority Rating</t>
  </si>
  <si>
    <t>% Ambition by year</t>
  </si>
  <si>
    <t>Sum to 100  = % of respondents from the survey identifying when to deliver this</t>
  </si>
  <si>
    <t>Weight given in LTDS report indicating respondents short v long term view = -ve less of a short term objective; +ve = more of a longer term objective</t>
  </si>
  <si>
    <t>Final rating</t>
  </si>
  <si>
    <t>Sum of weights-&gt;</t>
  </si>
  <si>
    <t>Sum of calculations-&gt;</t>
  </si>
  <si>
    <t>Upper</t>
  </si>
  <si>
    <t>Lower</t>
  </si>
  <si>
    <t>Data source:</t>
  </si>
  <si>
    <t>LTDS</t>
  </si>
  <si>
    <t>Drought Resilience</t>
  </si>
  <si>
    <t>WINEP</t>
  </si>
  <si>
    <t>Achieving Net Zero Carbon</t>
  </si>
  <si>
    <t>Leakage Reduction</t>
  </si>
  <si>
    <t>Lead Pipe Removal</t>
  </si>
  <si>
    <t>Reducing how much water we use at home and at work</t>
  </si>
  <si>
    <t>Reducing Supply Interruptions</t>
  </si>
  <si>
    <t>Offering better and smarter customer service</t>
  </si>
  <si>
    <t>Improving Water Quality</t>
  </si>
  <si>
    <t>Tackling Water Poverty</t>
  </si>
  <si>
    <t>Long-term v short term (Slide 17 LTDS)</t>
  </si>
  <si>
    <t>Long</t>
  </si>
  <si>
    <t>Short</t>
  </si>
  <si>
    <t>Priority Tracker</t>
  </si>
  <si>
    <t>RELIABLE SUPPLY HIGH QUALITY WATER</t>
  </si>
  <si>
    <t>BILL AFFORDABILITY</t>
  </si>
  <si>
    <t>LEAKAGE Reduction</t>
  </si>
  <si>
    <t>LONG-TERM PLANNING FOR WATER SUPPLY</t>
  </si>
  <si>
    <t>PROTECTING WATER RESOURCES</t>
  </si>
  <si>
    <t>FINANCIAL BILL SUPPORT</t>
  </si>
  <si>
    <t>PROVIDING ACCURATE AND INFORMATIVE BILLS</t>
  </si>
  <si>
    <t>WATER HARDNESS</t>
  </si>
  <si>
    <t>SERVICE SUPPORT – PSR</t>
  </si>
  <si>
    <t>WATER PRESSURE</t>
  </si>
  <si>
    <t>SUSTAINABILITY</t>
  </si>
  <si>
    <t>QUICK RESOLUTION - EASY TO DEAL WITH</t>
  </si>
  <si>
    <t>WATER EFFICIENCY - SUPPORT/INCENTIVES</t>
  </si>
  <si>
    <t>SCHOOLS EDUCATION</t>
  </si>
  <si>
    <t>SUPPORTING LOCAL COMMUNITY</t>
  </si>
  <si>
    <t>SENDING INCIDENT NOTIFICATIONS</t>
  </si>
  <si>
    <t>IMPROVE LOCAL ENVIRONMENT</t>
  </si>
  <si>
    <t>WATER RECYCLING / RE-USE</t>
  </si>
  <si>
    <t>MORE REGULAR METER READINGS</t>
  </si>
  <si>
    <t>WIDE RANGE OF WAYS TO CONTACT</t>
  </si>
  <si>
    <t>Theoretical</t>
  </si>
  <si>
    <t>Statistical</t>
  </si>
  <si>
    <t>Depth</t>
  </si>
  <si>
    <t>Green/Amber</t>
  </si>
  <si>
    <t>Red</t>
  </si>
  <si>
    <t>Amber/Red</t>
  </si>
  <si>
    <t>Min</t>
  </si>
  <si>
    <t>Max</t>
  </si>
  <si>
    <t>RAG weightings</t>
  </si>
  <si>
    <t>Result</t>
  </si>
  <si>
    <t>Priority Rating (1-10)</t>
  </si>
  <si>
    <t>Reliability</t>
  </si>
  <si>
    <t>Affordability</t>
  </si>
  <si>
    <t>Leakage</t>
  </si>
  <si>
    <t>Planning</t>
  </si>
  <si>
    <t>WaterResources</t>
  </si>
  <si>
    <t>BillSupport</t>
  </si>
  <si>
    <t>AccurateBills</t>
  </si>
  <si>
    <t>Hardness</t>
  </si>
  <si>
    <t>ServiceSupport</t>
  </si>
  <si>
    <t>Pressure</t>
  </si>
  <si>
    <t>Sustainability</t>
  </si>
  <si>
    <t>QuickResolution</t>
  </si>
  <si>
    <t>Incentives</t>
  </si>
  <si>
    <t>Education</t>
  </si>
  <si>
    <t>Community</t>
  </si>
  <si>
    <t>Notification</t>
  </si>
  <si>
    <t>LocalEnvironment</t>
  </si>
  <si>
    <t>Recycling</t>
  </si>
  <si>
    <t>MeterReadings</t>
  </si>
  <si>
    <t>WaysToContact</t>
  </si>
  <si>
    <t>TOTAL SSC</t>
  </si>
  <si>
    <t xml:space="preserve"> </t>
  </si>
  <si>
    <t>South Staffs Water HH</t>
  </si>
  <si>
    <t>Cambridge Water HH</t>
  </si>
  <si>
    <t>SSC HH Overall</t>
  </si>
  <si>
    <t>Water Industry National Environmental Programme (WINEP) and biodiversity protection</t>
  </si>
  <si>
    <t>Source: SSC LTDS PR24 Presentation July 2023 v2.pptx, slide 15</t>
  </si>
  <si>
    <t>Source: 3410PRE07_YEAR 3 QUANT INSIGHTS_V14.pptm, slide 16</t>
  </si>
  <si>
    <t>Opposing statement A</t>
  </si>
  <si>
    <t>Opposing statement B</t>
  </si>
  <si>
    <t xml:space="preserve">Invest more now for the long-term future to 2050 </t>
  </si>
  <si>
    <t>-0.19 ↓</t>
  </si>
  <si>
    <t>-0.18 ↓</t>
  </si>
  <si>
    <t>-0.10 ↓</t>
  </si>
  <si>
    <t>-0.09        </t>
  </si>
  <si>
    <t>-0.08        </t>
  </si>
  <si>
    <t>-0.03        </t>
  </si>
  <si>
    <t>0.05        </t>
  </si>
  <si>
    <t>0.11 ↑</t>
  </si>
  <si>
    <t>0.14 ↑</t>
  </si>
  <si>
    <t>0.21 ↑</t>
  </si>
  <si>
    <t>Keeping customer bills as low as possible up to 2050</t>
  </si>
  <si>
    <t>Preparing for the worst-case scenarios (for example investing so the water system can cope with extreme weather conditions such as droughts)</t>
  </si>
  <si>
    <t>-0.13 ↓</t>
  </si>
  <si>
    <t>-0.01        </t>
  </si>
  <si>
    <t>0.07        </t>
  </si>
  <si>
    <t>0.09        </t>
  </si>
  <si>
    <t>Wait and see what happens and react as needed</t>
  </si>
  <si>
    <t>Trying new approaches and innovations to find solutions to challenges</t>
  </si>
  <si>
    <t>-0.15 ↓</t>
  </si>
  <si>
    <t>0.02        </t>
  </si>
  <si>
    <t>0.16 ↑</t>
  </si>
  <si>
    <t>Sticking to tried and trusted approaches that are proven to work</t>
  </si>
  <si>
    <t>Spreading any costs to maintain and improve the service equally amongst all customers</t>
  </si>
  <si>
    <t>-0.11 ↓</t>
  </si>
  <si>
    <t>-0.02        </t>
  </si>
  <si>
    <t>-0.06        </t>
  </si>
  <si>
    <t>0.04        </t>
  </si>
  <si>
    <t>0.01        </t>
  </si>
  <si>
    <t>0.06        </t>
  </si>
  <si>
    <t>Those who directly benefit from investments pay more for them (for example, local residents who might benefit from improvements to a nearby river etc. pay more on their bills to cover the cost of that work)</t>
  </si>
  <si>
    <t>0.03        </t>
  </si>
  <si>
    <t>0.00        </t>
  </si>
  <si>
    <t>-0.14 ↓</t>
  </si>
  <si>
    <t>-0.05        </t>
  </si>
  <si>
    <t>0.22 ↑</t>
  </si>
  <si>
    <t>Limiting what those who are struggling financially will pay (so those who are able to, pay more)</t>
  </si>
  <si>
    <t>Doing more to reduce the amount of leakage from pipes even if it costs customers more </t>
  </si>
  <si>
    <t>-0.20 ↓</t>
  </si>
  <si>
    <t>-0.12 ↓</t>
  </si>
  <si>
    <t>-0.17 ↓</t>
  </si>
  <si>
    <t>0.23 ↑</t>
  </si>
  <si>
    <t>Keeping customer bills as low as possible</t>
  </si>
  <si>
    <t>Doing more to reduce the company’s ‘carbon footprint’ (the amount of carbon dioxide the company adds to the atmosphere through its operations) – even if it costs customers more</t>
  </si>
  <si>
    <t>-0.10        </t>
  </si>
  <si>
    <t>-0.28 ↓</t>
  </si>
  <si>
    <t>0.10        </t>
  </si>
  <si>
    <t>0.17 ↑</t>
  </si>
  <si>
    <t>Source: SSC LTDS PR24 Presentation July 2023 v2.pptx, slide 17</t>
  </si>
  <si>
    <t>Selected</t>
  </si>
  <si>
    <t>SSW</t>
  </si>
  <si>
    <t>CW</t>
  </si>
  <si>
    <t>SSC</t>
  </si>
  <si>
    <t>No, I don’t support this ambition</t>
  </si>
  <si>
    <t>Yes, by 2035</t>
  </si>
  <si>
    <t>Yes, by 2040</t>
  </si>
  <si>
    <t>Yes, by 2045</t>
  </si>
  <si>
    <t>Yes, by 2050 (SSC target)</t>
  </si>
  <si>
    <t>Yes, after 2050</t>
  </si>
  <si>
    <t>2050 and beyond</t>
  </si>
  <si>
    <t>LTDS 2 Lookup</t>
  </si>
  <si>
    <t>Horizon modifier</t>
  </si>
  <si>
    <t>RAG Weight</t>
  </si>
  <si>
    <t>Mean</t>
  </si>
  <si>
    <t>Weighted Value</t>
  </si>
  <si>
    <t>Households</t>
  </si>
  <si>
    <t>Analysis:</t>
  </si>
  <si>
    <t>Value (Central, Low, High):</t>
  </si>
  <si>
    <t>COMBINED SSC</t>
  </si>
  <si>
    <t>ALL - HIGHEST
Central value</t>
  </si>
  <si>
    <t>LOW NERA AND ODI - ALL OTHERS HIGHEST
Central value</t>
  </si>
  <si>
    <t>NO NERA - HIGHEST
Central value</t>
  </si>
  <si>
    <t>PRE PR24
Central value</t>
  </si>
  <si>
    <t>ALL - HIGHEST
Lower value</t>
  </si>
  <si>
    <t>ALL - HIGHEST
Higher value</t>
  </si>
  <si>
    <t>Water not safe to drink (per property affected)</t>
  </si>
  <si>
    <t>Flooding from a burst pipe (per property affected)</t>
  </si>
  <si>
    <t>Unexpected temporary loss of water supply (per property affected)</t>
  </si>
  <si>
    <t>Water hardness (per property affected)</t>
  </si>
  <si>
    <t>Taste and smell of water (per property affected)</t>
  </si>
  <si>
    <t>Low water pressure (per property affected)</t>
  </si>
  <si>
    <t>Lead pipes (per property affected)</t>
  </si>
  <si>
    <t>Water metering (per customer)</t>
  </si>
  <si>
    <t>Customer service (per customer)</t>
  </si>
  <si>
    <t>Temporary use ban (1% change in risk)</t>
  </si>
  <si>
    <t>Leakage (1 Mega Litre per day)</t>
  </si>
  <si>
    <t>Protecting wildlife habitats (per hectare)</t>
  </si>
  <si>
    <t>Drought restrictions (1% change in risk)</t>
  </si>
  <si>
    <t>Managing impacts on rivers &amp; streams (per hectare)</t>
  </si>
  <si>
    <t>Traffic disruption )per incidence)</t>
  </si>
  <si>
    <t>Discoloured water (per property affected)</t>
  </si>
  <si>
    <t>CAM</t>
  </si>
  <si>
    <t>Non-Households</t>
  </si>
  <si>
    <t>HH</t>
  </si>
  <si>
    <t>NHH</t>
  </si>
  <si>
    <t>All</t>
  </si>
  <si>
    <t>Divide by population?</t>
  </si>
  <si>
    <t>N</t>
  </si>
  <si>
    <t>Y</t>
  </si>
  <si>
    <t>QUANT</t>
  </si>
  <si>
    <t>QUAL</t>
  </si>
  <si>
    <t>LTDS research 1 (Priorities)</t>
  </si>
  <si>
    <t>LTDS research 2 (Quant)</t>
  </si>
  <si>
    <t>WTP</t>
  </si>
  <si>
    <t>Future Priority Ratings</t>
  </si>
  <si>
    <t>Source RAG ratings</t>
  </si>
  <si>
    <t>Customer Priority Tracker</t>
  </si>
  <si>
    <t>LTDS 1</t>
  </si>
  <si>
    <t>Compare Topics</t>
  </si>
  <si>
    <t>LTDS 2</t>
  </si>
  <si>
    <t>LTDS 3</t>
  </si>
  <si>
    <t>Introduction</t>
  </si>
  <si>
    <t>Table 1</t>
  </si>
  <si>
    <t>Table 2</t>
  </si>
  <si>
    <t>The WTP values are used as the basis for giving each attribute a score from 1-10, where 10 is of maximum importance.  Items in the yellow cells can be changed by the user.</t>
  </si>
  <si>
    <t>The Max Diff results are used as the basis for giving each attribute a score from 1-10, where 10 is of maximum importance.  Items in the yellow cells can be changed by the user.</t>
  </si>
  <si>
    <t>Two tables are provided to 'map' the results of the customer priority tracker (table 1) and the WTP triangulation results (table 2) onto the ambitions.  Items in the yellow cells can be changed by the user (blank = not applicable; score up to 1 to indicate strength of association of the attribute with the ambition, as judged by the user.)</t>
  </si>
  <si>
    <t>The main output sheet.  This draws on all the other input sheets below, to produce the main set of results shown with the green bars.  Attribtues that are based on qualitative LTDS 2 inputs have numbers in grey.</t>
  </si>
  <si>
    <t>This table provides modifier values that are used to focus the final priority ratings towards shorter or longer term goals.</t>
  </si>
  <si>
    <t>LTDS Ambitions Summary Tool</t>
  </si>
  <si>
    <t>Impact Research</t>
  </si>
  <si>
    <t>Sheet</t>
  </si>
  <si>
    <t>LTDS research 2 (Workshops)</t>
  </si>
  <si>
    <t>ODI ONLY- SSC ONLY
Central value</t>
  </si>
  <si>
    <t>ALL - LOWEST
Central value</t>
  </si>
  <si>
    <t>ALL - HIGHEST - 
RAG TEST 1
Central value</t>
  </si>
  <si>
    <t>ALL - HIGHEST - 
RAG TEST 2
Central value</t>
  </si>
  <si>
    <t>NO ODI - HIGHEST
Central value</t>
  </si>
  <si>
    <t>NERA ONLY - SSC ONLY
Central value</t>
  </si>
  <si>
    <t>Source: SSC WRAP Theme 1 Research Findings 16.08.pdf</t>
  </si>
  <si>
    <t>3 = lowest priority</t>
  </si>
  <si>
    <t>Schemes to lower water bills for those struggling</t>
  </si>
  <si>
    <t>Reducing leakage</t>
  </si>
  <si>
    <t>Reducing its own carbon emissions and waste</t>
  </si>
  <si>
    <t>Minimising environmental impact of supplying water</t>
  </si>
  <si>
    <t>Help customers use less water</t>
  </si>
  <si>
    <t>Total SSC</t>
  </si>
  <si>
    <t>Min RAG</t>
  </si>
  <si>
    <t>Max RAG</t>
  </si>
  <si>
    <t>Mean RAG</t>
  </si>
  <si>
    <t>Water Quality: Do you support this ambition, and if so, when do you want it achieved by?</t>
  </si>
  <si>
    <t>Lead Pipe Removal: Do you support this ambition, and if so, when do you want it achieved by?</t>
  </si>
  <si>
    <t>Supply Interruptions: Do you support this ambition, and if so, when do you want it achieved by?</t>
  </si>
  <si>
    <t>Row %</t>
  </si>
  <si>
    <t>No, I don't support this ambition</t>
  </si>
  <si>
    <t>Yes, after 2040</t>
  </si>
  <si>
    <t>Region</t>
  </si>
  <si>
    <t>South Staffs</t>
  </si>
  <si>
    <t/>
  </si>
  <si>
    <t>Cambridge</t>
  </si>
  <si>
    <t>Gender</t>
  </si>
  <si>
    <t>Female</t>
  </si>
  <si>
    <t>Male</t>
  </si>
  <si>
    <t>Demographic</t>
  </si>
  <si>
    <t>Future Customers</t>
  </si>
  <si>
    <t>HH aged 30-70</t>
  </si>
  <si>
    <t>HH Vulnerable + Low income</t>
  </si>
  <si>
    <t>HH NET (30-70 + vulnerable)</t>
  </si>
  <si>
    <t>All Domestic (HH+ FC)</t>
  </si>
  <si>
    <t>NET</t>
  </si>
  <si>
    <t>Leakage Reduction: Do you support this ambition, and if so, when do you want it achieved by?</t>
  </si>
  <si>
    <t>WINEP/BiodiversityProtection: Although WINEP is a mandatory programme each year, do you support this and the ambition and if so,when do you want it achieved by?</t>
  </si>
  <si>
    <t>How much water we use at home (reduce usage from148 litres per day in 2021/22 to110 litres per day by 2050):Do you support this ambition, and if so, when do you want it achieved by?</t>
  </si>
  <si>
    <t>Water Poverty: Ensuring water bills are affordable for households, where the water and sewerage bill is no more than 5% of its disposableincome - do you support it? Ifso,whendoyouwantitachievedby?</t>
  </si>
  <si>
    <t>Pro-Active Customer Service: To be the best company in the water sector for customer service by 2030. Do you support this ambition,andifso,whendoyouwantitachievedby?</t>
  </si>
  <si>
    <t>NetZero: Net zero carbon emissions from company operations by 2030. Do you support this ambition, and if so, when do you want it achievedby?</t>
  </si>
  <si>
    <t>This tool combines information from a number of  sources to provide a summary of customer priorities for 10 SCC ambitions over the period to 2050.  A number of explicit assumptions are embedded in the approach:
1. Each set of results from each source is expressed on a scale of 1-10, which can be edited by the user.
2. The results from each source are combined on the basis of RAG (Red-Amber-Green) ratings that represent the comparitive robustness of each source.  These ratings can also be edited by the user.
3. Different attributes specific to each source are 'mapped' onto the 10 ambitions using a 'Compare Topics' table.  These classifications can be edited by the user.</t>
  </si>
  <si>
    <t>The user can specify the robustness of each source in terms of a RAG (Red-Amber-Green) rating, along three dimensions: theoretical (how closely it aligns with the topics of interest), statistical (the sample sizes underlying the inputs) and depth (the degree to which customers have been stimulated to consider the topics).  The default numeric weights attached to each RAG weighting are: Green (1.0), Green/Amber (0.5), Amber (0.25), Amber/Red (0.1) and Red (0.0).  An average is taken of the three RAG weightings for each source and this is used to combine the input values used in the 'Future Priority Ratings' sheet.</t>
  </si>
  <si>
    <t>The point-allocation results are used as the basis for giving each attribute a score from 1-10, where 10 is of maximum importance.  Items in the yellow cells can be changed by the user.</t>
  </si>
  <si>
    <t>WRMP PR24</t>
  </si>
  <si>
    <t>Importance categories (high,medium, low priority)  are used as the basis for giving each attribute a score from 1-10, where 10 is of maximum importance.  Items in the yellow cells can be changed by the user.</t>
  </si>
  <si>
    <t>Giving excellent customer service</t>
  </si>
  <si>
    <t>Providing clean drinking water to people's taps</t>
  </si>
  <si>
    <t>1 = high priority</t>
  </si>
  <si>
    <t>2 = medium priority</t>
  </si>
  <si>
    <t>Mean value where:</t>
  </si>
  <si>
    <t>LTDS Workshops RAG</t>
  </si>
  <si>
    <t>LTDS Quant RAG</t>
  </si>
  <si>
    <t>Priority scores (Scores out of 10)</t>
  </si>
  <si>
    <t>Priority scores (Column %)</t>
  </si>
  <si>
    <t>Total</t>
  </si>
  <si>
    <t>Source: SSC LTDS PR24 Presentation July 2023 v2.pptx, slides 20-28; additional information provided by Turquoise, 11/08/23</t>
  </si>
  <si>
    <t>Information provided by Turquoise, 11/8/23</t>
  </si>
  <si>
    <t>After 2040 Profiles</t>
  </si>
  <si>
    <t>Theme 1</t>
  </si>
  <si>
    <t>Before 2030</t>
  </si>
  <si>
    <t xml:space="preserve">Drought Resilience timings </t>
  </si>
  <si>
    <t>Source: Accent Quant themes 1 and 2 Study - Mar 2022.docx</t>
  </si>
  <si>
    <t>Later</t>
  </si>
  <si>
    <t>Two tables summarising the spread of future years when customers said they wanted an ambition to be delivered.  This is a mixture of items that were tested quantiatively and qualitatively.  Qualitative responses produce scores in grey in the 'Future Priority Ratings' sheet.
An additional table showing differences by region and demographic groups regarding delivery of the ambition before or after 2040.</t>
  </si>
  <si>
    <t>By 2040 Profiles</t>
  </si>
  <si>
    <t>Standard Deviation</t>
  </si>
  <si>
    <t>Power calculations</t>
  </si>
  <si>
    <t>Mean Score</t>
  </si>
  <si>
    <t>Min Score</t>
  </si>
  <si>
    <t>Max Score</t>
  </si>
  <si>
    <t>% Not supporting</t>
  </si>
  <si>
    <t>n/a</t>
  </si>
  <si>
    <r>
      <t>Source</t>
    </r>
    <r>
      <rPr>
        <b/>
        <sz val="14"/>
        <color rgb="FFFFFFFF"/>
        <rFont val="Wingdings"/>
        <charset val="2"/>
      </rPr>
      <t>à</t>
    </r>
    <r>
      <rPr>
        <b/>
        <sz val="14"/>
        <color rgb="FFFFFFFF"/>
        <rFont val="Calibri"/>
        <family val="2"/>
        <scheme val="minor"/>
      </rPr>
      <t xml:space="preserve">
Ambition</t>
    </r>
    <r>
      <rPr>
        <b/>
        <sz val="14"/>
        <color rgb="FFFFFFFF"/>
        <rFont val="Wingdings"/>
        <charset val="2"/>
      </rPr>
      <t>â</t>
    </r>
  </si>
  <si>
    <t>Low</t>
  </si>
  <si>
    <t>Central</t>
  </si>
  <si>
    <t>High</t>
  </si>
  <si>
    <t>Low
Central
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</si>
</sst>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8" formatCode="&quot;£&quot;#,##0.00;[Red]\-&quot;£&quot;#,##0.00"/>
    <numFmt numFmtId="43" formatCode="_-* #,##0.00_-;\-* #,##0.00_-;_-* &quot;-&quot;??_-;_-@_-"/>
    <numFmt numFmtId="164" formatCode="0.0&quot; Sum&quot;"/>
    <numFmt numFmtId="165" formatCode="0.0"/>
    <numFmt numFmtId="166" formatCode="0.0%"/>
    <numFmt numFmtId="167" formatCode="0&quot;+&quot;"/>
    <numFmt numFmtId="168" formatCode="&quot;£&quot;#,##0"/>
    <numFmt numFmtId="169" formatCode="_-* #,##0_-;\-* #,##0_-;_-* &quot;-&quot;??_-;_-@_-"/>
    <numFmt numFmtId="170" formatCode="0%\ \ \ \ \ \ \ \ "/>
    <numFmt numFmtId="171" formatCode="0%\ \↓"/>
    <numFmt numFmtId="172" formatCode="0%\ \↑"/>
  </numFmts>
  <fonts count="53" x14ac:knownFonts="1">
    <font>
      <sz val="11"/>
      <color theme="1"/>
      <name val="Calibri"/>
      <family val="2"/>
      <scheme val="minor"/>
    </font>
    <font>
      <sz val="18"/>
      <name val="Arial"/>
      <family val="2"/>
    </font>
    <font>
      <b/>
      <sz val="18"/>
      <color rgb="FFFFFFFF"/>
      <name val="Calibri Light"/>
      <family val="2"/>
    </font>
    <font>
      <sz val="16"/>
      <color rgb="FF3C3C3B"/>
      <name val="Calibri Light"/>
      <family val="2"/>
    </font>
    <font>
      <b/>
      <sz val="11"/>
      <color rgb="FFFFFFFF"/>
      <name val="Calibri Light"/>
      <family val="2"/>
    </font>
    <font>
      <b/>
      <sz val="14"/>
      <color rgb="FFFFFFFF"/>
      <name val="Calibri Light"/>
      <family val="2"/>
    </font>
    <font>
      <sz val="10"/>
      <color theme="1"/>
      <name val="Calibri"/>
      <family val="2"/>
      <scheme val="minor"/>
    </font>
    <font>
      <b/>
      <sz val="16"/>
      <color theme="1"/>
      <name val="Calibri"/>
      <family val="2"/>
      <scheme val="minor"/>
    </font>
    <font>
      <sz val="16"/>
      <color theme="1"/>
      <name val="Calibri"/>
      <family val="2"/>
      <scheme val="minor"/>
    </font>
    <font>
      <i/>
      <sz val="10"/>
      <name val="Arial"/>
      <family val="2"/>
    </font>
    <font>
      <i/>
      <sz val="11"/>
      <color theme="1"/>
      <name val="Calibri"/>
      <family val="2"/>
      <scheme val="minor"/>
    </font>
    <font>
      <b/>
      <sz val="11"/>
      <color theme="1"/>
      <name val="Calibri"/>
      <family val="2"/>
      <scheme val="minor"/>
    </font>
    <font>
      <i/>
      <sz val="8"/>
      <color theme="1"/>
      <name val="Calibri"/>
      <family val="2"/>
      <scheme val="minor"/>
    </font>
    <font>
      <i/>
      <sz val="8"/>
      <color theme="0" tint="-0.34998626667073579"/>
      <name val="Calibri"/>
      <family val="2"/>
      <scheme val="minor"/>
    </font>
    <font>
      <sz val="11"/>
      <color theme="9"/>
      <name val="Calibri"/>
      <family val="2"/>
      <scheme val="minor"/>
    </font>
    <font>
      <sz val="11"/>
      <color theme="8"/>
      <name val="Calibri"/>
      <family val="2"/>
      <scheme val="minor"/>
    </font>
    <font>
      <sz val="11"/>
      <color rgb="FF000000"/>
      <name val="Calibri"/>
      <family val="2"/>
    </font>
    <font>
      <sz val="11"/>
      <name val="Calibri"/>
      <family val="2"/>
    </font>
    <font>
      <sz val="11"/>
      <color theme="0" tint="-0.34998626667073579"/>
      <name val="Calibri"/>
      <family val="2"/>
    </font>
    <font>
      <b/>
      <sz val="14"/>
      <color rgb="FFFFFFFF"/>
      <name val="Calibri"/>
      <family val="2"/>
      <scheme val="minor"/>
    </font>
    <font>
      <sz val="12"/>
      <color rgb="FF3C3C3B"/>
      <name val="Calibri"/>
      <family val="2"/>
      <scheme val="minor"/>
    </font>
    <font>
      <b/>
      <sz val="12"/>
      <color rgb="FF3C3C3B"/>
      <name val="Calibri"/>
      <family val="2"/>
      <scheme val="minor"/>
    </font>
    <font>
      <b/>
      <sz val="10"/>
      <color rgb="FF000000"/>
      <name val="Century Gothic"/>
      <family val="2"/>
    </font>
    <font>
      <b/>
      <sz val="10"/>
      <color rgb="FFFFFFFF"/>
      <name val="Century Gothic"/>
      <family val="2"/>
    </font>
    <font>
      <b/>
      <sz val="10"/>
      <color rgb="FF96DE74"/>
      <name val="Century Gothic"/>
      <family val="2"/>
    </font>
    <font>
      <sz val="10"/>
      <color rgb="FF000000"/>
      <name val="Century Gothic"/>
      <family val="2"/>
    </font>
    <font>
      <b/>
      <sz val="10"/>
      <color rgb="FF32A8BE"/>
      <name val="Century Gothic"/>
      <family val="2"/>
    </font>
    <font>
      <sz val="11"/>
      <color theme="1"/>
      <name val="Calibri"/>
      <family val="2"/>
      <scheme val="minor"/>
    </font>
    <font>
      <b/>
      <i/>
      <sz val="11"/>
      <color theme="6"/>
      <name val="Calibri"/>
      <family val="2"/>
      <scheme val="minor"/>
    </font>
    <font>
      <b/>
      <sz val="14"/>
      <color theme="1"/>
      <name val="Calibri"/>
      <family val="2"/>
      <scheme val="minor"/>
    </font>
    <font>
      <b/>
      <sz val="12"/>
      <color rgb="FFFFFFFF"/>
      <name val="Calibri Light"/>
      <family val="2"/>
    </font>
    <font>
      <b/>
      <sz val="12"/>
      <name val="Calibri Light"/>
      <family val="2"/>
      <scheme val="major"/>
    </font>
    <font>
      <i/>
      <sz val="11"/>
      <color theme="1"/>
      <name val="Calibri Light"/>
      <family val="2"/>
      <scheme val="major"/>
    </font>
    <font>
      <sz val="11"/>
      <color theme="6" tint="0.59999389629810485"/>
      <name val="Calibri"/>
      <family val="2"/>
    </font>
    <font>
      <sz val="11"/>
      <name val="Calibri"/>
      <family val="2"/>
      <scheme val="minor"/>
    </font>
    <font>
      <b/>
      <sz val="11"/>
      <name val="Calibri"/>
      <family val="2"/>
      <scheme val="minor"/>
    </font>
    <font>
      <i/>
      <sz val="8"/>
      <name val="Calibri"/>
      <family val="2"/>
      <scheme val="minor"/>
    </font>
    <font>
      <sz val="11"/>
      <color theme="6" tint="0.79998168889431442"/>
      <name val="Calibri"/>
      <family val="2"/>
      <scheme val="minor"/>
    </font>
    <font>
      <i/>
      <sz val="8"/>
      <color theme="6" tint="0.79998168889431442"/>
      <name val="Calibri"/>
      <family val="2"/>
      <scheme val="minor"/>
    </font>
    <font>
      <b/>
      <sz val="16"/>
      <color theme="0"/>
      <name val="Calibri"/>
      <family val="2"/>
      <scheme val="minor"/>
    </font>
    <font>
      <b/>
      <sz val="20"/>
      <color theme="0"/>
      <name val="Calibri"/>
      <family val="2"/>
      <scheme val="minor"/>
    </font>
    <font>
      <sz val="11"/>
      <color theme="0"/>
      <name val="Calibri"/>
      <family val="2"/>
      <scheme val="minor"/>
    </font>
    <font>
      <i/>
      <sz val="11"/>
      <name val="Calibri"/>
      <family val="2"/>
      <scheme val="minor"/>
    </font>
    <font>
      <sz val="11"/>
      <color theme="0"/>
      <name val="Calibri"/>
      <family val="2"/>
    </font>
    <font>
      <i/>
      <sz val="11"/>
      <color theme="2"/>
      <name val="Calibri"/>
      <family val="2"/>
      <scheme val="minor"/>
    </font>
    <font>
      <i/>
      <sz val="8"/>
      <color theme="6"/>
      <name val="Calibri"/>
      <family val="2"/>
      <scheme val="minor"/>
    </font>
    <font>
      <sz val="11"/>
      <color rgb="FFFF0000"/>
      <name val="Calibri"/>
      <family val="2"/>
      <scheme val="minor"/>
    </font>
    <font>
      <sz val="11"/>
      <color rgb="FF0000FF"/>
      <name val="Calibri"/>
      <family val="2"/>
      <scheme val="minor"/>
    </font>
    <font>
      <b/>
      <sz val="12"/>
      <color theme="1"/>
      <name val="Calibri"/>
      <family val="2"/>
      <scheme val="minor"/>
    </font>
    <font>
      <i/>
      <sz val="10"/>
      <color theme="6"/>
      <name val="Calibri"/>
      <family val="2"/>
      <scheme val="minor"/>
    </font>
    <font>
      <sz val="8"/>
      <color theme="0" tint="-0.34998626667073579"/>
      <name val="Calibri"/>
      <family val="2"/>
      <scheme val="minor"/>
    </font>
    <font>
      <sz val="11"/>
      <color rgb="FFC00000"/>
      <name val="Calibri"/>
      <family val="2"/>
      <scheme val="minor"/>
    </font>
    <font>
      <b/>
      <sz val="14"/>
      <color rgb="FFFFFFFF"/>
      <name val="Wingdings"/>
      <charset val="2"/>
    </font>
  </fonts>
  <fills count="18">
    <fill>
      <patternFill patternType="none"/>
    </fill>
    <fill>
      <patternFill patternType="gray125"/>
    </fill>
    <fill>
      <patternFill patternType="solid">
        <fgColor rgb="FF007EC5"/>
        <bgColor indexed="64"/>
      </patternFill>
    </fill>
    <fill>
      <patternFill patternType="solid">
        <fgColor rgb="FFCBD8EA"/>
        <bgColor indexed="64"/>
      </patternFill>
    </fill>
    <fill>
      <patternFill patternType="solid">
        <fgColor rgb="FFE7ECF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
      <patternFill patternType="solid">
        <fgColor rgb="FF96DE74"/>
        <bgColor indexed="64"/>
      </patternFill>
    </fill>
    <fill>
      <patternFill patternType="solid">
        <fgColor rgb="FF32A8BE"/>
        <bgColor indexed="64"/>
      </patternFill>
    </fill>
    <fill>
      <patternFill patternType="solid">
        <fgColor theme="7"/>
        <bgColor indexed="64"/>
      </patternFill>
    </fill>
    <fill>
      <patternFill patternType="solid">
        <fgColor theme="4" tint="0.79998168889431442"/>
        <bgColor indexed="64"/>
      </patternFill>
    </fill>
    <fill>
      <patternFill patternType="solid">
        <fgColor theme="8"/>
        <bgColor indexed="64"/>
      </patternFill>
    </fill>
    <fill>
      <patternFill patternType="solid">
        <fgColor theme="4"/>
        <bgColor indexed="64"/>
      </patternFill>
    </fill>
    <fill>
      <patternFill patternType="solid">
        <fgColor rgb="FFFFFF00"/>
        <bgColor indexed="64"/>
      </patternFill>
    </fill>
    <fill>
      <patternFill patternType="solid">
        <fgColor theme="6" tint="0.79998168889431442"/>
        <bgColor indexed="64"/>
      </patternFill>
    </fill>
    <fill>
      <patternFill patternType="solid">
        <fgColor theme="6" tint="0.59999389629810485"/>
        <bgColor indexed="64"/>
      </patternFill>
    </fill>
  </fills>
  <borders count="39">
    <border>
      <left/>
      <right/>
      <top/>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bottom/>
      <diagonal/>
    </border>
    <border>
      <left/>
      <right/>
      <top/>
      <bottom style="thin">
        <color indexed="64"/>
      </bottom>
      <diagonal/>
    </border>
    <border>
      <left/>
      <right style="medium">
        <color rgb="FFFFFFFF"/>
      </right>
      <top/>
      <bottom/>
      <diagonal/>
    </border>
    <border>
      <left style="medium">
        <color rgb="FFFFFFFF"/>
      </left>
      <right style="medium">
        <color rgb="FFFFFFFF"/>
      </right>
      <top/>
      <bottom style="medium">
        <color rgb="FFFFFFFF"/>
      </bottom>
      <diagonal/>
    </border>
    <border>
      <left style="medium">
        <color rgb="FFFFFFFF"/>
      </left>
      <right style="medium">
        <color rgb="FFFFFFFF"/>
      </right>
      <top style="medium">
        <color rgb="FFFFFFFF"/>
      </top>
      <bottom style="thin">
        <color indexed="64"/>
      </bottom>
      <diagonal/>
    </border>
    <border>
      <left/>
      <right/>
      <top style="thin">
        <color indexed="64"/>
      </top>
      <bottom style="thin">
        <color indexed="64"/>
      </bottom>
      <diagonal/>
    </border>
    <border>
      <left style="medium">
        <color rgb="FFFFFFFF"/>
      </left>
      <right/>
      <top/>
      <bottom style="medium">
        <color rgb="FFFFFFFF"/>
      </bottom>
      <diagonal/>
    </border>
    <border>
      <left style="medium">
        <color rgb="FFFFFFFF"/>
      </left>
      <right style="medium">
        <color rgb="FFFFFFFF"/>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rgb="FFFFFFFF"/>
      </left>
      <right/>
      <top style="medium">
        <color rgb="FFFFFFFF"/>
      </top>
      <bottom/>
      <diagonal/>
    </border>
    <border>
      <left style="medium">
        <color rgb="FFFFFFFF"/>
      </left>
      <right style="medium">
        <color rgb="FFFFFFFF"/>
      </right>
      <top style="medium">
        <color rgb="FFFFFFFF"/>
      </top>
      <bottom/>
      <diagonal/>
    </border>
    <border>
      <left style="medium">
        <color rgb="FFFFFFFF"/>
      </left>
      <right style="medium">
        <color rgb="FFFFFFFF"/>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s>
  <cellStyleXfs count="3">
    <xf numFmtId="0" fontId="0" fillId="0" borderId="0"/>
    <xf numFmtId="43" fontId="27" fillId="0" borderId="0" applyFont="0" applyFill="0" applyBorder="0" applyAlignment="0" applyProtection="0"/>
    <xf numFmtId="9" fontId="27" fillId="0" borderId="0" applyFont="0" applyFill="0" applyBorder="0" applyAlignment="0" applyProtection="0"/>
  </cellStyleXfs>
  <cellXfs count="234">
    <xf numFmtId="0" fontId="0" fillId="0" borderId="0" xfId="0"/>
    <xf numFmtId="0" fontId="2" fillId="2" borderId="1" xfId="0" applyFont="1" applyFill="1" applyBorder="1" applyAlignment="1">
      <alignment horizontal="center" vertical="center" wrapText="1" readingOrder="1"/>
    </xf>
    <xf numFmtId="9" fontId="3" fillId="4" borderId="3" xfId="0" applyNumberFormat="1" applyFont="1" applyFill="1" applyBorder="1" applyAlignment="1">
      <alignment horizontal="right" vertical="center" wrapText="1" indent="1" readingOrder="1"/>
    </xf>
    <xf numFmtId="9" fontId="3" fillId="3" borderId="3" xfId="0" applyNumberFormat="1" applyFont="1" applyFill="1" applyBorder="1" applyAlignment="1">
      <alignment horizontal="right" vertical="center" wrapText="1" indent="1" readingOrder="1"/>
    </xf>
    <xf numFmtId="0" fontId="3" fillId="5" borderId="2" xfId="0" applyFont="1" applyFill="1" applyBorder="1" applyAlignment="1">
      <alignment horizontal="right" vertical="center" wrapText="1" indent="1" readingOrder="1"/>
    </xf>
    <xf numFmtId="0" fontId="3" fillId="5" borderId="3" xfId="0" applyFont="1" applyFill="1" applyBorder="1" applyAlignment="1">
      <alignment horizontal="right" vertical="center" wrapText="1" indent="1" readingOrder="1"/>
    </xf>
    <xf numFmtId="0" fontId="6" fillId="0" borderId="0" xfId="0" applyFont="1" applyAlignment="1">
      <alignment horizontal="center" vertical="center"/>
    </xf>
    <xf numFmtId="0" fontId="0" fillId="0" borderId="0" xfId="0" applyAlignment="1">
      <alignment vertical="center"/>
    </xf>
    <xf numFmtId="0" fontId="3" fillId="3" borderId="2" xfId="0" applyFont="1" applyFill="1" applyBorder="1" applyAlignment="1">
      <alignment horizontal="left" vertical="center" wrapText="1" readingOrder="1"/>
    </xf>
    <xf numFmtId="0" fontId="3" fillId="4" borderId="3" xfId="0" applyFont="1" applyFill="1" applyBorder="1" applyAlignment="1">
      <alignment horizontal="left" vertical="center" wrapText="1" readingOrder="1"/>
    </xf>
    <xf numFmtId="0" fontId="3" fillId="3" borderId="3" xfId="0" applyFont="1" applyFill="1" applyBorder="1" applyAlignment="1">
      <alignment horizontal="left" vertical="center" wrapText="1" readingOrder="1"/>
    </xf>
    <xf numFmtId="0" fontId="1" fillId="0" borderId="3" xfId="0" applyFont="1" applyBorder="1" applyAlignment="1">
      <alignment horizontal="left" vertical="center" wrapText="1"/>
    </xf>
    <xf numFmtId="0" fontId="1" fillId="0" borderId="3" xfId="0" applyFont="1" applyBorder="1" applyAlignment="1">
      <alignment horizontal="right" vertical="center" wrapText="1"/>
    </xf>
    <xf numFmtId="0" fontId="0" fillId="0" borderId="0" xfId="0" applyAlignment="1">
      <alignment horizontal="right" vertical="center" indent="1"/>
    </xf>
    <xf numFmtId="0" fontId="1" fillId="0" borderId="4" xfId="0" applyFont="1" applyBorder="1" applyAlignment="1">
      <alignment horizontal="left" vertical="center" wrapText="1"/>
    </xf>
    <xf numFmtId="0" fontId="1" fillId="0" borderId="5" xfId="0" applyFont="1" applyBorder="1" applyAlignment="1">
      <alignment horizontal="right" vertical="center" wrapText="1"/>
    </xf>
    <xf numFmtId="164" fontId="6" fillId="0" borderId="0" xfId="0" applyNumberFormat="1" applyFont="1" applyAlignment="1">
      <alignment horizontal="center" vertical="center"/>
    </xf>
    <xf numFmtId="0" fontId="5" fillId="2" borderId="1" xfId="0" applyFont="1" applyFill="1" applyBorder="1" applyAlignment="1">
      <alignment horizontal="center" vertical="center" wrapText="1" readingOrder="1"/>
    </xf>
    <xf numFmtId="165" fontId="8" fillId="0" borderId="0" xfId="0" applyNumberFormat="1" applyFont="1" applyAlignment="1">
      <alignment horizontal="center" vertical="center"/>
    </xf>
    <xf numFmtId="0" fontId="0" fillId="0" borderId="0" xfId="0" applyAlignment="1">
      <alignment horizontal="center" vertical="center"/>
    </xf>
    <xf numFmtId="0" fontId="1" fillId="0" borderId="9" xfId="0" applyFont="1" applyBorder="1" applyAlignment="1">
      <alignment horizontal="left" vertical="center" wrapText="1"/>
    </xf>
    <xf numFmtId="0" fontId="3" fillId="4" borderId="10" xfId="0" applyFont="1" applyFill="1" applyBorder="1" applyAlignment="1">
      <alignment horizontal="left" vertical="center" wrapText="1" readingOrder="1"/>
    </xf>
    <xf numFmtId="0" fontId="0" fillId="0" borderId="7" xfId="0" applyBorder="1" applyAlignment="1">
      <alignment vertical="center"/>
    </xf>
    <xf numFmtId="0" fontId="3" fillId="5" borderId="10" xfId="0" applyFont="1" applyFill="1" applyBorder="1" applyAlignment="1">
      <alignment horizontal="right" vertical="center" wrapText="1" indent="1" readingOrder="1"/>
    </xf>
    <xf numFmtId="0" fontId="0" fillId="0" borderId="7" xfId="0" applyBorder="1" applyAlignment="1">
      <alignment horizontal="right" vertical="center" indent="1"/>
    </xf>
    <xf numFmtId="0" fontId="0" fillId="0" borderId="7" xfId="0" applyBorder="1" applyAlignment="1">
      <alignment horizontal="center" vertical="center"/>
    </xf>
    <xf numFmtId="0" fontId="1" fillId="0" borderId="12" xfId="0" applyFont="1" applyBorder="1" applyAlignment="1">
      <alignment horizontal="left" vertical="center" wrapText="1"/>
    </xf>
    <xf numFmtId="0" fontId="1" fillId="0" borderId="13" xfId="0" applyFont="1" applyBorder="1" applyAlignment="1">
      <alignment horizontal="right" vertical="center" wrapText="1"/>
    </xf>
    <xf numFmtId="0" fontId="9" fillId="0" borderId="9" xfId="0" applyFont="1" applyBorder="1" applyAlignment="1">
      <alignment horizontal="left" vertical="center" wrapText="1" indent="1"/>
    </xf>
    <xf numFmtId="0" fontId="10" fillId="0" borderId="11" xfId="0" applyFont="1" applyBorder="1" applyAlignment="1">
      <alignment horizontal="center" vertical="center"/>
    </xf>
    <xf numFmtId="0" fontId="10" fillId="0" borderId="0" xfId="0" applyFont="1" applyAlignment="1">
      <alignment vertical="center"/>
    </xf>
    <xf numFmtId="0" fontId="9" fillId="0" borderId="9" xfId="0" applyFont="1" applyBorder="1" applyAlignment="1">
      <alignment horizontal="right" vertical="center" wrapText="1" indent="2"/>
    </xf>
    <xf numFmtId="165" fontId="8" fillId="0" borderId="14" xfId="0" applyNumberFormat="1" applyFont="1" applyBorder="1" applyAlignment="1">
      <alignment horizontal="center" vertical="center"/>
    </xf>
    <xf numFmtId="165" fontId="7" fillId="0" borderId="14" xfId="0" applyNumberFormat="1" applyFont="1" applyBorder="1" applyAlignment="1">
      <alignment horizontal="center" vertical="center"/>
    </xf>
    <xf numFmtId="0" fontId="9" fillId="0" borderId="9" xfId="0" applyFont="1" applyBorder="1" applyAlignment="1">
      <alignment horizontal="left" vertical="center" wrapText="1" indent="4"/>
    </xf>
    <xf numFmtId="0" fontId="7" fillId="0" borderId="14" xfId="0" applyFont="1" applyBorder="1" applyAlignment="1">
      <alignment horizontal="center" vertical="center"/>
    </xf>
    <xf numFmtId="2" fontId="0" fillId="0" borderId="0" xfId="0" applyNumberFormat="1" applyAlignment="1">
      <alignment horizontal="right" vertical="center" indent="2"/>
    </xf>
    <xf numFmtId="165" fontId="13" fillId="0" borderId="0" xfId="0" applyNumberFormat="1" applyFont="1" applyAlignment="1">
      <alignment horizontal="center" vertical="center"/>
    </xf>
    <xf numFmtId="0" fontId="0" fillId="0" borderId="0" xfId="0" applyAlignment="1">
      <alignment vertical="center" wrapText="1"/>
    </xf>
    <xf numFmtId="0" fontId="10" fillId="0" borderId="0" xfId="0" applyFont="1" applyAlignment="1">
      <alignment horizontal="right" vertical="center"/>
    </xf>
    <xf numFmtId="0" fontId="16" fillId="8" borderId="14" xfId="0" applyFont="1" applyFill="1" applyBorder="1" applyAlignment="1">
      <alignment horizontal="left" vertical="center" indent="1"/>
    </xf>
    <xf numFmtId="0" fontId="18" fillId="8" borderId="14" xfId="0" applyFont="1" applyFill="1" applyBorder="1" applyAlignment="1">
      <alignment horizontal="left" vertical="center" indent="1"/>
    </xf>
    <xf numFmtId="0" fontId="0" fillId="0" borderId="14" xfId="0" applyBorder="1"/>
    <xf numFmtId="2" fontId="0" fillId="0" borderId="14" xfId="0" applyNumberFormat="1" applyBorder="1" applyAlignment="1">
      <alignment horizontal="right" indent="1"/>
    </xf>
    <xf numFmtId="165" fontId="0" fillId="0" borderId="0" xfId="0" applyNumberFormat="1" applyAlignment="1">
      <alignment horizontal="right" vertical="center" indent="1"/>
    </xf>
    <xf numFmtId="0" fontId="16" fillId="8" borderId="14" xfId="0" applyFont="1" applyFill="1" applyBorder="1" applyAlignment="1">
      <alignment horizontal="left" vertical="center" wrapText="1" indent="1"/>
    </xf>
    <xf numFmtId="0" fontId="19" fillId="2" borderId="14" xfId="0" applyFont="1" applyFill="1" applyBorder="1" applyAlignment="1">
      <alignment horizontal="center" vertical="center" wrapText="1" readingOrder="1"/>
    </xf>
    <xf numFmtId="0" fontId="20" fillId="3" borderId="14" xfId="0" applyFont="1" applyFill="1" applyBorder="1" applyAlignment="1">
      <alignment horizontal="center" vertical="center" wrapText="1" readingOrder="1"/>
    </xf>
    <xf numFmtId="0" fontId="20" fillId="4" borderId="14" xfId="0" applyFont="1" applyFill="1" applyBorder="1" applyAlignment="1">
      <alignment horizontal="center" vertical="center" wrapText="1" readingOrder="1"/>
    </xf>
    <xf numFmtId="2" fontId="0" fillId="0" borderId="0" xfId="0" applyNumberFormat="1" applyAlignment="1">
      <alignment horizontal="right" indent="1"/>
    </xf>
    <xf numFmtId="1" fontId="11" fillId="0" borderId="7" xfId="0" applyNumberFormat="1" applyFont="1" applyBorder="1" applyAlignment="1">
      <alignment horizontal="center"/>
    </xf>
    <xf numFmtId="165" fontId="0" fillId="5" borderId="14" xfId="0" applyNumberFormat="1" applyFill="1" applyBorder="1" applyAlignment="1">
      <alignment horizontal="right" indent="1"/>
    </xf>
    <xf numFmtId="2" fontId="0" fillId="8" borderId="14" xfId="0" applyNumberFormat="1" applyFill="1" applyBorder="1" applyAlignment="1">
      <alignment horizontal="right" indent="1"/>
    </xf>
    <xf numFmtId="0" fontId="12" fillId="0" borderId="0" xfId="0" applyFont="1" applyAlignment="1">
      <alignment horizontal="right" vertical="center" indent="1"/>
    </xf>
    <xf numFmtId="0" fontId="21" fillId="3" borderId="14" xfId="0" applyFont="1" applyFill="1" applyBorder="1" applyAlignment="1">
      <alignment horizontal="center" vertical="center" wrapText="1" readingOrder="1"/>
    </xf>
    <xf numFmtId="0" fontId="21" fillId="4" borderId="14" xfId="0" applyFont="1" applyFill="1" applyBorder="1" applyAlignment="1">
      <alignment horizontal="center" vertical="center" wrapText="1" readingOrder="1"/>
    </xf>
    <xf numFmtId="165" fontId="0" fillId="0" borderId="0" xfId="0" applyNumberFormat="1"/>
    <xf numFmtId="0" fontId="22" fillId="0" borderId="18" xfId="0" applyFont="1" applyBorder="1" applyAlignment="1">
      <alignment horizontal="center" vertical="center" wrapText="1" readingOrder="1"/>
    </xf>
    <xf numFmtId="0" fontId="6" fillId="0" borderId="0" xfId="0" applyFont="1" applyAlignment="1">
      <alignment vertical="center"/>
    </xf>
    <xf numFmtId="0" fontId="23" fillId="9" borderId="18" xfId="0" applyFont="1" applyFill="1" applyBorder="1" applyAlignment="1">
      <alignment horizontal="left" vertical="center" wrapText="1" readingOrder="1"/>
    </xf>
    <xf numFmtId="0" fontId="24" fillId="0" borderId="18" xfId="0" applyFont="1" applyBorder="1" applyAlignment="1">
      <alignment horizontal="center" vertical="center" wrapText="1" readingOrder="1"/>
    </xf>
    <xf numFmtId="0" fontId="25" fillId="0" borderId="18" xfId="0" applyFont="1" applyBorder="1" applyAlignment="1">
      <alignment horizontal="center" vertical="center" wrapText="1" readingOrder="1"/>
    </xf>
    <xf numFmtId="0" fontId="26" fillId="0" borderId="18" xfId="0" applyFont="1" applyBorder="1" applyAlignment="1">
      <alignment horizontal="center" vertical="center" wrapText="1" readingOrder="1"/>
    </xf>
    <xf numFmtId="0" fontId="23" fillId="10" borderId="18" xfId="0" applyFont="1" applyFill="1" applyBorder="1" applyAlignment="1">
      <alignment horizontal="left" vertical="center" wrapText="1" readingOrder="1"/>
    </xf>
    <xf numFmtId="2" fontId="0" fillId="0" borderId="0" xfId="0" applyNumberFormat="1" applyAlignment="1">
      <alignment horizontal="right" vertical="center" indent="1"/>
    </xf>
    <xf numFmtId="0" fontId="0" fillId="0" borderId="0" xfId="0" applyAlignment="1">
      <alignment horizontal="left" vertical="center"/>
    </xf>
    <xf numFmtId="0" fontId="11" fillId="0" borderId="7" xfId="0" applyFont="1" applyBorder="1" applyAlignment="1">
      <alignment horizontal="center" vertical="center"/>
    </xf>
    <xf numFmtId="0" fontId="0" fillId="0" borderId="19" xfId="0" applyBorder="1" applyAlignment="1">
      <alignment horizontal="center" vertical="center"/>
    </xf>
    <xf numFmtId="166" fontId="0" fillId="0" borderId="21" xfId="2" applyNumberFormat="1" applyFont="1" applyBorder="1" applyAlignment="1">
      <alignment horizontal="right" vertical="center" indent="1"/>
    </xf>
    <xf numFmtId="166" fontId="0" fillId="0" borderId="22" xfId="2" applyNumberFormat="1" applyFont="1" applyBorder="1" applyAlignment="1">
      <alignment horizontal="right" vertical="center" indent="1"/>
    </xf>
    <xf numFmtId="166" fontId="11" fillId="0" borderId="23" xfId="2" applyNumberFormat="1" applyFont="1" applyBorder="1" applyAlignment="1">
      <alignment horizontal="right" vertical="center" indent="1"/>
    </xf>
    <xf numFmtId="166" fontId="0" fillId="0" borderId="24" xfId="2" applyNumberFormat="1" applyFont="1" applyBorder="1" applyAlignment="1">
      <alignment horizontal="right" vertical="center" indent="1"/>
    </xf>
    <xf numFmtId="166" fontId="0" fillId="0" borderId="0" xfId="2" applyNumberFormat="1" applyFont="1" applyBorder="1" applyAlignment="1">
      <alignment horizontal="right" vertical="center" indent="1"/>
    </xf>
    <xf numFmtId="166" fontId="11" fillId="0" borderId="25" xfId="2" applyNumberFormat="1" applyFont="1" applyBorder="1" applyAlignment="1">
      <alignment horizontal="right" vertical="center" indent="1"/>
    </xf>
    <xf numFmtId="166" fontId="0" fillId="0" borderId="19" xfId="2" applyNumberFormat="1" applyFont="1" applyBorder="1" applyAlignment="1">
      <alignment horizontal="right" vertical="center" indent="1"/>
    </xf>
    <xf numFmtId="166" fontId="0" fillId="0" borderId="7" xfId="2" applyNumberFormat="1" applyFont="1" applyBorder="1" applyAlignment="1">
      <alignment horizontal="right" vertical="center" indent="1"/>
    </xf>
    <xf numFmtId="166" fontId="11" fillId="0" borderId="20" xfId="2" applyNumberFormat="1" applyFont="1" applyBorder="1" applyAlignment="1">
      <alignment horizontal="right" vertical="center" indent="1"/>
    </xf>
    <xf numFmtId="0" fontId="0" fillId="0" borderId="0" xfId="0" applyAlignment="1">
      <alignment horizontal="left" vertical="center" indent="1"/>
    </xf>
    <xf numFmtId="0" fontId="10" fillId="0" borderId="0" xfId="0" applyFont="1" applyAlignment="1">
      <alignment horizontal="left" vertical="center" indent="1"/>
    </xf>
    <xf numFmtId="167" fontId="21" fillId="3" borderId="14" xfId="0" applyNumberFormat="1" applyFont="1" applyFill="1" applyBorder="1" applyAlignment="1">
      <alignment horizontal="center" vertical="center" wrapText="1" readingOrder="1"/>
    </xf>
    <xf numFmtId="0" fontId="12" fillId="0" borderId="0" xfId="0" applyFont="1" applyAlignment="1">
      <alignment vertical="center"/>
    </xf>
    <xf numFmtId="166" fontId="0" fillId="0" borderId="0" xfId="2" applyNumberFormat="1" applyFont="1" applyAlignment="1">
      <alignment horizontal="left" vertical="center" indent="1"/>
    </xf>
    <xf numFmtId="0" fontId="0" fillId="0" borderId="7" xfId="0" applyBorder="1" applyAlignment="1">
      <alignment horizontal="center" vertical="center" wrapText="1"/>
    </xf>
    <xf numFmtId="165" fontId="10" fillId="0" borderId="0" xfId="0" applyNumberFormat="1" applyFont="1" applyAlignment="1">
      <alignment horizontal="right" vertical="center" indent="1"/>
    </xf>
    <xf numFmtId="165" fontId="28" fillId="0" borderId="0" xfId="0" applyNumberFormat="1" applyFont="1" applyAlignment="1">
      <alignment horizontal="right" vertical="center" indent="1"/>
    </xf>
    <xf numFmtId="2" fontId="10" fillId="0" borderId="0" xfId="0" applyNumberFormat="1" applyFont="1" applyAlignment="1">
      <alignment horizontal="right" vertical="center" indent="1"/>
    </xf>
    <xf numFmtId="0" fontId="11" fillId="0" borderId="0" xfId="0" applyFont="1" applyAlignment="1">
      <alignment horizontal="center" vertical="center"/>
    </xf>
    <xf numFmtId="165" fontId="12" fillId="0" borderId="0" xfId="0" applyNumberFormat="1" applyFont="1" applyAlignment="1">
      <alignment horizontal="right" vertical="center" indent="1"/>
    </xf>
    <xf numFmtId="0" fontId="0" fillId="5" borderId="14" xfId="0" applyFill="1" applyBorder="1" applyAlignment="1">
      <alignment horizontal="center" vertical="center"/>
    </xf>
    <xf numFmtId="0" fontId="29" fillId="11" borderId="0" xfId="0" applyFont="1" applyFill="1" applyAlignment="1">
      <alignment vertical="center"/>
    </xf>
    <xf numFmtId="0" fontId="12" fillId="0" borderId="0" xfId="0" applyFont="1" applyAlignment="1">
      <alignment horizontal="right" vertical="center"/>
    </xf>
    <xf numFmtId="0" fontId="12" fillId="0" borderId="0" xfId="0" applyFont="1" applyAlignment="1">
      <alignment horizontal="center" vertical="center"/>
    </xf>
    <xf numFmtId="0" fontId="30" fillId="2" borderId="26" xfId="0" applyFont="1" applyFill="1" applyBorder="1" applyAlignment="1">
      <alignment horizontal="left" vertical="center" wrapText="1" indent="1" readingOrder="1"/>
    </xf>
    <xf numFmtId="0" fontId="30" fillId="2" borderId="1" xfId="0" applyFont="1" applyFill="1" applyBorder="1" applyAlignment="1">
      <alignment horizontal="center" vertical="center" wrapText="1" readingOrder="1"/>
    </xf>
    <xf numFmtId="6" fontId="31" fillId="4" borderId="3" xfId="0" applyNumberFormat="1" applyFont="1" applyFill="1" applyBorder="1" applyAlignment="1">
      <alignment horizontal="right" vertical="center" wrapText="1" indent="1" readingOrder="1"/>
    </xf>
    <xf numFmtId="6" fontId="31" fillId="12" borderId="3" xfId="0" applyNumberFormat="1" applyFont="1" applyFill="1" applyBorder="1" applyAlignment="1">
      <alignment horizontal="right" vertical="center" wrapText="1" indent="1" readingOrder="1"/>
    </xf>
    <xf numFmtId="6" fontId="31" fillId="12" borderId="27" xfId="0" applyNumberFormat="1" applyFont="1" applyFill="1" applyBorder="1" applyAlignment="1">
      <alignment horizontal="right" vertical="center" wrapText="1" indent="1" readingOrder="1"/>
    </xf>
    <xf numFmtId="6" fontId="31" fillId="4" borderId="28" xfId="0" applyNumberFormat="1" applyFont="1" applyFill="1" applyBorder="1" applyAlignment="1">
      <alignment horizontal="right" vertical="center" wrapText="1" indent="1" readingOrder="1"/>
    </xf>
    <xf numFmtId="6" fontId="31" fillId="4" borderId="9" xfId="0" applyNumberFormat="1" applyFont="1" applyFill="1" applyBorder="1" applyAlignment="1">
      <alignment horizontal="right" vertical="center" wrapText="1" indent="1" readingOrder="1"/>
    </xf>
    <xf numFmtId="0" fontId="32" fillId="8" borderId="0" xfId="0" applyFont="1" applyFill="1" applyAlignment="1">
      <alignment horizontal="right" vertical="center" indent="1"/>
    </xf>
    <xf numFmtId="168" fontId="32" fillId="8" borderId="0" xfId="0" applyNumberFormat="1" applyFont="1" applyFill="1" applyAlignment="1">
      <alignment horizontal="right" vertical="center" indent="1"/>
    </xf>
    <xf numFmtId="0" fontId="32" fillId="7" borderId="0" xfId="0" applyFont="1" applyFill="1" applyAlignment="1">
      <alignment horizontal="right" vertical="center" indent="1"/>
    </xf>
    <xf numFmtId="168" fontId="32" fillId="7" borderId="0" xfId="0" applyNumberFormat="1" applyFont="1" applyFill="1" applyAlignment="1">
      <alignment horizontal="right" vertical="center" indent="1"/>
    </xf>
    <xf numFmtId="0" fontId="16" fillId="8" borderId="14" xfId="0" applyFont="1" applyFill="1" applyBorder="1" applyAlignment="1">
      <alignment horizontal="left" vertical="center" wrapText="1"/>
    </xf>
    <xf numFmtId="0" fontId="34" fillId="0" borderId="29" xfId="0" applyFont="1" applyBorder="1" applyAlignment="1">
      <alignment horizontal="center"/>
    </xf>
    <xf numFmtId="0" fontId="35" fillId="0" borderId="30" xfId="0" applyFont="1" applyBorder="1" applyAlignment="1">
      <alignment horizontal="center"/>
    </xf>
    <xf numFmtId="0" fontId="35" fillId="0" borderId="31" xfId="0" applyFont="1" applyBorder="1" applyAlignment="1">
      <alignment horizontal="right"/>
    </xf>
    <xf numFmtId="0" fontId="35" fillId="0" borderId="32" xfId="0" applyFont="1" applyBorder="1" applyAlignment="1">
      <alignment horizontal="right"/>
    </xf>
    <xf numFmtId="165" fontId="0" fillId="5" borderId="14" xfId="0" applyNumberFormat="1" applyFill="1" applyBorder="1" applyAlignment="1">
      <alignment horizontal="right" vertical="center" indent="1"/>
    </xf>
    <xf numFmtId="0" fontId="36" fillId="0" borderId="0" xfId="0" applyFont="1" applyAlignment="1">
      <alignment horizontal="right" wrapText="1"/>
    </xf>
    <xf numFmtId="0" fontId="36" fillId="0" borderId="0" xfId="0" applyFont="1" applyAlignment="1">
      <alignment horizontal="center" vertical="center" wrapText="1"/>
    </xf>
    <xf numFmtId="8" fontId="0" fillId="8" borderId="14" xfId="0" applyNumberFormat="1" applyFill="1" applyBorder="1" applyAlignment="1">
      <alignment horizontal="right" vertical="center" indent="1"/>
    </xf>
    <xf numFmtId="166" fontId="0" fillId="5" borderId="21" xfId="2" applyNumberFormat="1" applyFont="1" applyFill="1" applyBorder="1" applyAlignment="1">
      <alignment horizontal="right" vertical="center" indent="1"/>
    </xf>
    <xf numFmtId="166" fontId="0" fillId="5" borderId="22" xfId="2" applyNumberFormat="1" applyFont="1" applyFill="1" applyBorder="1" applyAlignment="1">
      <alignment horizontal="right" vertical="center" indent="1"/>
    </xf>
    <xf numFmtId="166" fontId="11" fillId="5" borderId="23" xfId="2" applyNumberFormat="1" applyFont="1" applyFill="1" applyBorder="1" applyAlignment="1">
      <alignment horizontal="right" vertical="center" indent="1"/>
    </xf>
    <xf numFmtId="166" fontId="0" fillId="5" borderId="24" xfId="2" applyNumberFormat="1" applyFont="1" applyFill="1" applyBorder="1" applyAlignment="1">
      <alignment horizontal="right" vertical="center" indent="1"/>
    </xf>
    <xf numFmtId="166" fontId="0" fillId="5" borderId="0" xfId="2" applyNumberFormat="1" applyFont="1" applyFill="1" applyBorder="1" applyAlignment="1">
      <alignment horizontal="right" vertical="center" indent="1"/>
    </xf>
    <xf numFmtId="166" fontId="11" fillId="5" borderId="25" xfId="2" applyNumberFormat="1" applyFont="1" applyFill="1" applyBorder="1" applyAlignment="1">
      <alignment horizontal="right" vertical="center" indent="1"/>
    </xf>
    <xf numFmtId="166" fontId="0" fillId="5" borderId="19" xfId="2" applyNumberFormat="1" applyFont="1" applyFill="1" applyBorder="1" applyAlignment="1">
      <alignment horizontal="right" vertical="center" indent="1"/>
    </xf>
    <xf numFmtId="166" fontId="0" fillId="5" borderId="7" xfId="2" applyNumberFormat="1" applyFont="1" applyFill="1" applyBorder="1" applyAlignment="1">
      <alignment horizontal="right" vertical="center" indent="1"/>
    </xf>
    <xf numFmtId="166" fontId="11" fillId="5" borderId="20" xfId="2" applyNumberFormat="1" applyFont="1" applyFill="1" applyBorder="1" applyAlignment="1">
      <alignment horizontal="right" vertical="center" indent="1"/>
    </xf>
    <xf numFmtId="166" fontId="35" fillId="5" borderId="25" xfId="2" applyNumberFormat="1" applyFont="1" applyFill="1" applyBorder="1" applyAlignment="1">
      <alignment horizontal="right" vertical="center" indent="1"/>
    </xf>
    <xf numFmtId="165" fontId="0" fillId="0" borderId="14" xfId="0" applyNumberFormat="1" applyBorder="1" applyAlignment="1">
      <alignment horizontal="right" vertical="center" indent="1"/>
    </xf>
    <xf numFmtId="0" fontId="12" fillId="0" borderId="0" xfId="0" applyFont="1" applyAlignment="1">
      <alignment horizontal="center" vertical="center" wrapText="1"/>
    </xf>
    <xf numFmtId="0" fontId="37" fillId="0" borderId="0" xfId="0" applyFont="1" applyAlignment="1">
      <alignment vertical="center"/>
    </xf>
    <xf numFmtId="0" fontId="38" fillId="0" borderId="0" xfId="0" applyFont="1" applyAlignment="1">
      <alignment horizontal="right" vertical="center" indent="1"/>
    </xf>
    <xf numFmtId="0" fontId="38" fillId="0" borderId="0" xfId="0" applyFont="1" applyAlignment="1">
      <alignment vertical="center"/>
    </xf>
    <xf numFmtId="0" fontId="17" fillId="0" borderId="0" xfId="0" applyFont="1" applyAlignment="1">
      <alignment horizontal="center" vertical="center"/>
    </xf>
    <xf numFmtId="0" fontId="10" fillId="0" borderId="0" xfId="0" applyFont="1" applyAlignment="1">
      <alignment horizontal="left" vertical="center"/>
    </xf>
    <xf numFmtId="0" fontId="0" fillId="0" borderId="0" xfId="0" applyAlignment="1">
      <alignment horizontal="center" vertical="center" wrapText="1"/>
    </xf>
    <xf numFmtId="0" fontId="16" fillId="0" borderId="0" xfId="0" applyFont="1" applyAlignment="1">
      <alignment horizontal="left" vertical="center" indent="1"/>
    </xf>
    <xf numFmtId="0" fontId="0" fillId="0" borderId="0" xfId="0" applyAlignment="1">
      <alignment wrapText="1"/>
    </xf>
    <xf numFmtId="169" fontId="34" fillId="5" borderId="14" xfId="1" applyNumberFormat="1" applyFont="1" applyFill="1" applyBorder="1" applyAlignment="1">
      <alignment horizontal="center"/>
    </xf>
    <xf numFmtId="169" fontId="34" fillId="5" borderId="33" xfId="1" applyNumberFormat="1" applyFont="1" applyFill="1" applyBorder="1" applyAlignment="1">
      <alignment horizontal="center"/>
    </xf>
    <xf numFmtId="0" fontId="35" fillId="5" borderId="0" xfId="0" applyFont="1" applyFill="1" applyAlignment="1">
      <alignment horizontal="center" vertical="center" wrapText="1"/>
    </xf>
    <xf numFmtId="0" fontId="42" fillId="0" borderId="0" xfId="0" applyFont="1" applyAlignment="1">
      <alignment horizontal="center" vertical="center"/>
    </xf>
    <xf numFmtId="0" fontId="17" fillId="5" borderId="14" xfId="0" applyFont="1" applyFill="1" applyBorder="1" applyAlignment="1">
      <alignment horizontal="center" vertical="center"/>
    </xf>
    <xf numFmtId="0" fontId="33" fillId="5" borderId="14" xfId="0" applyFont="1" applyFill="1" applyBorder="1" applyAlignment="1">
      <alignment horizontal="center" vertical="center"/>
    </xf>
    <xf numFmtId="0" fontId="41" fillId="14" borderId="17" xfId="0" applyFont="1" applyFill="1" applyBorder="1" applyAlignment="1">
      <alignment horizontal="center" vertical="center" wrapText="1"/>
    </xf>
    <xf numFmtId="0" fontId="43" fillId="14" borderId="14" xfId="0" applyFont="1" applyFill="1" applyBorder="1" applyAlignment="1">
      <alignment horizontal="left" vertical="center" indent="1"/>
    </xf>
    <xf numFmtId="0" fontId="41" fillId="14" borderId="14" xfId="0" applyFont="1" applyFill="1" applyBorder="1" applyAlignment="1">
      <alignment vertical="center"/>
    </xf>
    <xf numFmtId="0" fontId="44" fillId="14" borderId="14" xfId="0" applyFont="1" applyFill="1" applyBorder="1" applyAlignment="1">
      <alignment vertical="center"/>
    </xf>
    <xf numFmtId="0" fontId="14" fillId="6" borderId="14" xfId="0" applyFont="1" applyFill="1" applyBorder="1" applyAlignment="1">
      <alignment horizontal="center" vertical="center" wrapText="1"/>
    </xf>
    <xf numFmtId="0" fontId="0" fillId="6" borderId="14" xfId="0" applyFill="1" applyBorder="1" applyAlignment="1">
      <alignment horizontal="center" vertical="center" wrapText="1"/>
    </xf>
    <xf numFmtId="0" fontId="15" fillId="6" borderId="14" xfId="0" applyFont="1" applyFill="1" applyBorder="1" applyAlignment="1">
      <alignment horizontal="center" vertical="center" wrapText="1"/>
    </xf>
    <xf numFmtId="165" fontId="10" fillId="0" borderId="36" xfId="0" applyNumberFormat="1" applyFont="1" applyBorder="1" applyAlignment="1">
      <alignment horizontal="right" vertical="center" indent="1"/>
    </xf>
    <xf numFmtId="165" fontId="10" fillId="0" borderId="37" xfId="0" applyNumberFormat="1" applyFont="1" applyBorder="1" applyAlignment="1">
      <alignment horizontal="right" vertical="center" indent="1"/>
    </xf>
    <xf numFmtId="165" fontId="10" fillId="0" borderId="38" xfId="0" applyNumberFormat="1" applyFont="1" applyBorder="1" applyAlignment="1">
      <alignment horizontal="right" vertical="center" indent="1"/>
    </xf>
    <xf numFmtId="0" fontId="0" fillId="0" borderId="7" xfId="0" applyBorder="1" applyAlignment="1">
      <alignment wrapText="1"/>
    </xf>
    <xf numFmtId="0" fontId="0" fillId="0" borderId="7" xfId="0" applyBorder="1" applyAlignment="1">
      <alignment horizontal="center" wrapText="1"/>
    </xf>
    <xf numFmtId="165" fontId="0" fillId="0" borderId="0" xfId="0" applyNumberFormat="1" applyAlignment="1">
      <alignment horizontal="right" indent="1"/>
    </xf>
    <xf numFmtId="0" fontId="0" fillId="5" borderId="0" xfId="0" applyFill="1" applyAlignment="1">
      <alignment vertical="center"/>
    </xf>
    <xf numFmtId="165" fontId="0" fillId="0" borderId="17" xfId="0" applyNumberFormat="1" applyBorder="1" applyAlignment="1">
      <alignment horizontal="right" vertical="center" indent="1"/>
    </xf>
    <xf numFmtId="165" fontId="0" fillId="0" borderId="34" xfId="0" applyNumberFormat="1" applyBorder="1" applyAlignment="1">
      <alignment horizontal="right" vertical="center" indent="1"/>
    </xf>
    <xf numFmtId="165" fontId="0" fillId="0" borderId="35" xfId="0" applyNumberFormat="1" applyBorder="1" applyAlignment="1">
      <alignment horizontal="right" vertical="center" indent="1"/>
    </xf>
    <xf numFmtId="0" fontId="45" fillId="0" borderId="0" xfId="0" applyFont="1" applyAlignment="1">
      <alignment horizontal="center" vertical="center"/>
    </xf>
    <xf numFmtId="165" fontId="12" fillId="0" borderId="0" xfId="0" applyNumberFormat="1" applyFont="1" applyAlignment="1">
      <alignment horizontal="center" vertical="center"/>
    </xf>
    <xf numFmtId="0" fontId="0" fillId="0" borderId="0" xfId="0" quotePrefix="1"/>
    <xf numFmtId="0" fontId="0" fillId="0" borderId="0" xfId="0" quotePrefix="1" applyAlignment="1">
      <alignment wrapText="1"/>
    </xf>
    <xf numFmtId="170" fontId="0" fillId="0" borderId="0" xfId="0" applyNumberFormat="1"/>
    <xf numFmtId="171" fontId="46" fillId="0" borderId="0" xfId="0" applyNumberFormat="1" applyFont="1"/>
    <xf numFmtId="172" fontId="47" fillId="0" borderId="0" xfId="0" applyNumberFormat="1" applyFont="1"/>
    <xf numFmtId="2" fontId="11" fillId="0" borderId="0" xfId="0" applyNumberFormat="1" applyFont="1" applyAlignment="1">
      <alignment horizontal="right" vertical="center" indent="1"/>
    </xf>
    <xf numFmtId="0" fontId="11" fillId="0" borderId="0" xfId="0" applyFont="1" applyAlignment="1">
      <alignment horizontal="left" vertical="center" indent="1"/>
    </xf>
    <xf numFmtId="9" fontId="0" fillId="0" borderId="0" xfId="2" applyFont="1" applyAlignment="1">
      <alignment horizontal="right" vertical="center" indent="1"/>
    </xf>
    <xf numFmtId="0" fontId="48" fillId="0" borderId="0" xfId="0" applyFont="1" applyAlignment="1">
      <alignment vertical="center"/>
    </xf>
    <xf numFmtId="166" fontId="11" fillId="0" borderId="0" xfId="2" applyNumberFormat="1" applyFont="1" applyBorder="1" applyAlignment="1">
      <alignment horizontal="right" vertical="center" indent="1"/>
    </xf>
    <xf numFmtId="0" fontId="0" fillId="0" borderId="22" xfId="0" quotePrefix="1" applyBorder="1"/>
    <xf numFmtId="0" fontId="0" fillId="0" borderId="22" xfId="0" applyBorder="1" applyAlignment="1">
      <alignment vertical="center"/>
    </xf>
    <xf numFmtId="9" fontId="0" fillId="0" borderId="22" xfId="2" applyFont="1" applyBorder="1" applyAlignment="1">
      <alignment horizontal="right" vertical="center" indent="1"/>
    </xf>
    <xf numFmtId="0" fontId="0" fillId="0" borderId="7" xfId="0" quotePrefix="1" applyBorder="1"/>
    <xf numFmtId="9" fontId="0" fillId="0" borderId="7" xfId="2" applyFont="1" applyBorder="1" applyAlignment="1">
      <alignment horizontal="right" vertical="center" indent="1"/>
    </xf>
    <xf numFmtId="0" fontId="0" fillId="0" borderId="24" xfId="0" quotePrefix="1" applyBorder="1" applyAlignment="1">
      <alignment horizontal="center" vertical="center"/>
    </xf>
    <xf numFmtId="9" fontId="0" fillId="0" borderId="0" xfId="2" applyFont="1" applyBorder="1" applyAlignment="1">
      <alignment horizontal="right" vertical="center" indent="1"/>
    </xf>
    <xf numFmtId="0" fontId="48" fillId="0" borderId="22" xfId="0" applyFont="1" applyBorder="1" applyAlignment="1">
      <alignment vertical="center"/>
    </xf>
    <xf numFmtId="9" fontId="48" fillId="0" borderId="22" xfId="2" applyFont="1" applyBorder="1" applyAlignment="1">
      <alignment horizontal="right" vertical="center" indent="1"/>
    </xf>
    <xf numFmtId="0" fontId="48" fillId="0" borderId="23" xfId="0" applyFont="1" applyBorder="1" applyAlignment="1">
      <alignment vertical="center"/>
    </xf>
    <xf numFmtId="9" fontId="49" fillId="0" borderId="22" xfId="2" applyFont="1" applyBorder="1" applyAlignment="1">
      <alignment horizontal="right" vertical="center" indent="1"/>
    </xf>
    <xf numFmtId="9" fontId="49" fillId="0" borderId="7" xfId="2" applyFont="1" applyBorder="1" applyAlignment="1">
      <alignment horizontal="right" vertical="center" indent="1"/>
    </xf>
    <xf numFmtId="9" fontId="49" fillId="0" borderId="0" xfId="2" applyFont="1" applyBorder="1" applyAlignment="1">
      <alignment horizontal="right" vertical="center" indent="1"/>
    </xf>
    <xf numFmtId="9" fontId="49" fillId="0" borderId="23" xfId="2" applyFont="1" applyBorder="1" applyAlignment="1">
      <alignment horizontal="right" vertical="center" indent="1"/>
    </xf>
    <xf numFmtId="9" fontId="49" fillId="0" borderId="20" xfId="2" applyFont="1" applyBorder="1" applyAlignment="1">
      <alignment horizontal="right" vertical="center" indent="1"/>
    </xf>
    <xf numFmtId="9" fontId="49" fillId="0" borderId="25" xfId="2" applyFont="1" applyBorder="1" applyAlignment="1">
      <alignment horizontal="right" vertical="center" indent="1"/>
    </xf>
    <xf numFmtId="0" fontId="0" fillId="16" borderId="0" xfId="0" applyFill="1" applyAlignment="1">
      <alignment vertical="center"/>
    </xf>
    <xf numFmtId="0" fontId="10" fillId="16" borderId="0" xfId="0" applyFont="1" applyFill="1" applyAlignment="1">
      <alignment horizontal="left" vertical="center" indent="1"/>
    </xf>
    <xf numFmtId="166" fontId="0" fillId="16" borderId="0" xfId="2" applyNumberFormat="1" applyFont="1" applyFill="1" applyBorder="1" applyAlignment="1">
      <alignment horizontal="right" vertical="center" indent="1"/>
    </xf>
    <xf numFmtId="166" fontId="11" fillId="16" borderId="0" xfId="2" applyNumberFormat="1" applyFont="1" applyFill="1" applyBorder="1" applyAlignment="1">
      <alignment horizontal="right" vertical="center" indent="1"/>
    </xf>
    <xf numFmtId="0" fontId="48" fillId="0" borderId="21" xfId="0" applyFont="1" applyBorder="1" applyAlignment="1">
      <alignment horizontal="left" vertical="center" indent="1"/>
    </xf>
    <xf numFmtId="0" fontId="48" fillId="0" borderId="22" xfId="0" applyFont="1" applyBorder="1" applyAlignment="1">
      <alignment horizontal="left" vertical="center" indent="1"/>
    </xf>
    <xf numFmtId="166" fontId="50" fillId="0" borderId="0" xfId="2" applyNumberFormat="1" applyFont="1" applyAlignment="1">
      <alignment horizontal="right" vertical="center" indent="1"/>
    </xf>
    <xf numFmtId="1" fontId="0" fillId="0" borderId="0" xfId="0" applyNumberFormat="1" applyAlignment="1">
      <alignment horizontal="right" indent="1"/>
    </xf>
    <xf numFmtId="9" fontId="0" fillId="0" borderId="0" xfId="2" applyFont="1"/>
    <xf numFmtId="0" fontId="0" fillId="17" borderId="0" xfId="0" applyFill="1"/>
    <xf numFmtId="166" fontId="51" fillId="0" borderId="0" xfId="2" applyNumberFormat="1" applyFont="1" applyAlignment="1">
      <alignment horizontal="left" vertical="center" indent="1"/>
    </xf>
    <xf numFmtId="0" fontId="16" fillId="8" borderId="0" xfId="0" applyFont="1" applyFill="1" applyAlignment="1">
      <alignment horizontal="left" vertical="center" wrapText="1" indent="1"/>
    </xf>
    <xf numFmtId="0" fontId="40" fillId="13" borderId="0" xfId="0" applyFont="1" applyFill="1" applyAlignment="1">
      <alignment horizontal="left" vertical="center"/>
    </xf>
    <xf numFmtId="0" fontId="39" fillId="13" borderId="0" xfId="0" applyFont="1" applyFill="1" applyAlignment="1">
      <alignment vertical="center"/>
    </xf>
    <xf numFmtId="0" fontId="40" fillId="14" borderId="0" xfId="0" applyFont="1" applyFill="1" applyAlignment="1">
      <alignment horizontal="left" vertical="center"/>
    </xf>
    <xf numFmtId="0" fontId="39" fillId="14" borderId="0" xfId="0" applyFont="1" applyFill="1" applyAlignment="1">
      <alignment vertical="center"/>
    </xf>
    <xf numFmtId="0" fontId="11" fillId="0" borderId="14" xfId="0" applyFont="1" applyBorder="1" applyAlignment="1">
      <alignment horizontal="left" vertical="center" wrapText="1"/>
    </xf>
    <xf numFmtId="0" fontId="0" fillId="0" borderId="14" xfId="0" applyBorder="1" applyAlignment="1">
      <alignment horizontal="left" vertical="center" wrapText="1"/>
    </xf>
    <xf numFmtId="2" fontId="38" fillId="0" borderId="0" xfId="0" applyNumberFormat="1" applyFont="1" applyAlignment="1">
      <alignment horizontal="left" vertical="center" indent="1"/>
    </xf>
    <xf numFmtId="166" fontId="51" fillId="0" borderId="0" xfId="2" applyNumberFormat="1" applyFont="1" applyAlignment="1">
      <alignment horizontal="right" vertical="center" indent="1"/>
    </xf>
    <xf numFmtId="166" fontId="0" fillId="0" borderId="0" xfId="2" applyNumberFormat="1" applyFont="1" applyAlignment="1">
      <alignment horizontal="right" vertical="center" indent="1"/>
    </xf>
    <xf numFmtId="0" fontId="0" fillId="5" borderId="0" xfId="0" applyFill="1" applyAlignment="1" applyProtection="1">
      <alignment horizontal="center" vertical="center"/>
      <protection locked="0"/>
    </xf>
    <xf numFmtId="0" fontId="0" fillId="5" borderId="0" xfId="0" applyFill="1" applyAlignment="1" applyProtection="1">
      <alignment vertical="center"/>
      <protection locked="0"/>
    </xf>
    <xf numFmtId="0" fontId="0" fillId="0" borderId="14" xfId="0" applyBorder="1" applyAlignment="1">
      <alignment horizontal="center" vertical="center" wrapText="1"/>
    </xf>
    <xf numFmtId="0" fontId="3" fillId="4" borderId="4" xfId="0" applyFont="1" applyFill="1" applyBorder="1" applyAlignment="1">
      <alignment horizontal="center" vertical="center" wrapText="1" readingOrder="1"/>
    </xf>
    <xf numFmtId="0" fontId="3" fillId="4" borderId="5" xfId="0" applyFont="1" applyFill="1" applyBorder="1" applyAlignment="1">
      <alignment horizontal="center" vertical="center" wrapText="1" readingOrder="1"/>
    </xf>
    <xf numFmtId="0" fontId="3" fillId="3" borderId="4" xfId="0" applyFont="1" applyFill="1" applyBorder="1" applyAlignment="1">
      <alignment horizontal="center" vertical="center" wrapText="1" readingOrder="1"/>
    </xf>
    <xf numFmtId="0" fontId="3" fillId="3" borderId="5" xfId="0" applyFont="1" applyFill="1" applyBorder="1" applyAlignment="1">
      <alignment horizontal="center" vertical="center" wrapText="1" readingOrder="1"/>
    </xf>
    <xf numFmtId="0" fontId="3" fillId="0" borderId="6" xfId="0" applyFont="1" applyBorder="1" applyAlignment="1">
      <alignment horizontal="right" vertical="center" wrapText="1" indent="1" readingOrder="1"/>
    </xf>
    <xf numFmtId="0" fontId="3" fillId="0" borderId="0" xfId="0" applyFont="1" applyAlignment="1">
      <alignment horizontal="right" vertical="center" wrapText="1" indent="1" readingOrder="1"/>
    </xf>
    <xf numFmtId="0" fontId="3" fillId="0" borderId="8" xfId="0" applyFont="1" applyBorder="1" applyAlignment="1">
      <alignment horizontal="right" vertical="center" wrapText="1" indent="1" readingOrder="1"/>
    </xf>
    <xf numFmtId="0" fontId="48" fillId="0" borderId="7" xfId="0" applyFont="1"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xf>
    <xf numFmtId="0" fontId="41" fillId="14" borderId="15" xfId="0" applyFont="1" applyFill="1" applyBorder="1" applyAlignment="1">
      <alignment horizontal="center" vertical="center"/>
    </xf>
    <xf numFmtId="0" fontId="41" fillId="14" borderId="11" xfId="0" applyFont="1" applyFill="1" applyBorder="1" applyAlignment="1">
      <alignment horizontal="center" vertical="center"/>
    </xf>
    <xf numFmtId="0" fontId="41" fillId="14" borderId="16" xfId="0" applyFont="1" applyFill="1" applyBorder="1" applyAlignment="1">
      <alignment horizontal="center" vertical="center"/>
    </xf>
    <xf numFmtId="0" fontId="41" fillId="14" borderId="14" xfId="0" applyFont="1" applyFill="1" applyBorder="1" applyAlignment="1">
      <alignment horizontal="center" vertical="center" wrapText="1"/>
    </xf>
    <xf numFmtId="0" fontId="41" fillId="14" borderId="14" xfId="0" applyFont="1" applyFill="1" applyBorder="1" applyAlignment="1">
      <alignment horizontal="center" vertical="center"/>
    </xf>
    <xf numFmtId="0" fontId="0" fillId="0" borderId="14" xfId="0" applyBorder="1" applyAlignment="1">
      <alignment horizontal="left" vertical="center" wrapText="1" indent="1"/>
    </xf>
    <xf numFmtId="0" fontId="0" fillId="0" borderId="21" xfId="0" quotePrefix="1" applyBorder="1" applyAlignment="1">
      <alignment horizontal="center" vertical="center"/>
    </xf>
    <xf numFmtId="0" fontId="0" fillId="0" borderId="19" xfId="0" quotePrefix="1" applyBorder="1" applyAlignment="1">
      <alignment horizontal="center" vertical="center"/>
    </xf>
    <xf numFmtId="0" fontId="0" fillId="0" borderId="24" xfId="0" quotePrefix="1" applyBorder="1" applyAlignment="1">
      <alignment horizontal="center" vertical="center"/>
    </xf>
    <xf numFmtId="0" fontId="48" fillId="0" borderId="15" xfId="0" applyFont="1" applyBorder="1" applyAlignment="1">
      <alignment horizontal="left" vertical="center" indent="1"/>
    </xf>
    <xf numFmtId="0" fontId="48" fillId="0" borderId="11" xfId="0" applyFont="1" applyBorder="1" applyAlignment="1">
      <alignment horizontal="left" vertical="center" indent="1"/>
    </xf>
    <xf numFmtId="0" fontId="0" fillId="0" borderId="14" xfId="0" applyBorder="1" applyAlignment="1">
      <alignment horizontal="left" vertical="center" indent="1"/>
    </xf>
    <xf numFmtId="0" fontId="0" fillId="0" borderId="0" xfId="0" quotePrefix="1" applyAlignment="1">
      <alignment horizontal="center" vertical="center"/>
    </xf>
    <xf numFmtId="0" fontId="11" fillId="15" borderId="0" xfId="0" quotePrefix="1" applyFont="1" applyFill="1" applyAlignment="1">
      <alignment horizontal="center" wrapText="1"/>
    </xf>
    <xf numFmtId="0" fontId="0" fillId="0" borderId="0" xfId="0" quotePrefix="1" applyAlignment="1">
      <alignment wrapText="1"/>
    </xf>
    <xf numFmtId="0" fontId="0" fillId="0" borderId="0" xfId="0" quotePrefix="1"/>
    <xf numFmtId="0" fontId="11" fillId="15" borderId="0" xfId="0" quotePrefix="1" applyFont="1" applyFill="1" applyAlignment="1">
      <alignment horizontal="center"/>
    </xf>
  </cellXfs>
  <cellStyles count="3">
    <cellStyle name="Comma" xfId="1" builtinId="3"/>
    <cellStyle name="Normal" xfId="0" builtinId="0"/>
    <cellStyle name="Percent" xfId="2" builtinId="5"/>
  </cellStyles>
  <dxfs count="25">
    <dxf>
      <fill>
        <patternFill>
          <bgColor them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ont>
        <b/>
        <i val="0"/>
        <color theme="9" tint="-0.24994659260841701"/>
      </font>
    </dxf>
    <dxf>
      <font>
        <color theme="9" tint="-0.24994659260841701"/>
      </font>
    </dxf>
    <dxf>
      <font>
        <b/>
        <i val="0"/>
        <color theme="5"/>
      </font>
    </dxf>
    <dxf>
      <font>
        <color rgb="FFC00000"/>
      </font>
    </dxf>
    <dxf>
      <font>
        <b/>
        <i val="0"/>
        <color rgb="FFC00000"/>
      </font>
    </dxf>
    <dxf>
      <fill>
        <patternFill>
          <bgColor theme="2" tint="-9.9948118533890809E-2"/>
        </patternFill>
      </fill>
    </dxf>
    <dxf>
      <font>
        <b val="0"/>
        <i/>
        <color theme="2" tint="-0.24994659260841701"/>
      </font>
    </dxf>
    <dxf>
      <font>
        <b val="0"/>
        <i/>
        <color theme="2" tint="-0.24994659260841701"/>
      </font>
    </dxf>
    <dxf>
      <font>
        <b val="0"/>
        <i/>
        <color theme="2" tint="-0.24994659260841701"/>
      </font>
    </dxf>
    <dxf>
      <font>
        <color theme="2" tint="-0.749961851863155"/>
      </font>
      <fill>
        <patternFill>
          <bgColor theme="5" tint="0.59996337778862885"/>
        </patternFill>
      </fill>
    </dxf>
    <dxf>
      <font>
        <color theme="2" tint="-0.749961851863155"/>
      </font>
      <fill>
        <patternFill>
          <bgColor theme="9" tint="0.79998168889431442"/>
        </patternFill>
      </fill>
    </dxf>
    <dxf>
      <font>
        <color theme="0"/>
      </font>
      <fill>
        <patternFill>
          <bgColor rgb="FFFF0000"/>
        </patternFill>
      </fill>
    </dxf>
    <dxf>
      <fill>
        <patternFill>
          <bgColor theme="2" tint="-9.9948118533890809E-2"/>
        </patternFill>
      </fill>
    </dxf>
    <dxf>
      <fill>
        <patternFill>
          <bgColor theme="2" tint="-9.9948118533890809E-2"/>
        </patternFill>
      </fill>
    </dxf>
    <dxf>
      <font>
        <color theme="0"/>
      </font>
      <fill>
        <patternFill>
          <bgColor rgb="FFFF0000"/>
        </patternFill>
      </fill>
    </dxf>
  </dxfs>
  <tableStyles count="0" defaultTableStyle="TableStyleMedium2" defaultPivotStyle="PivotStyleLight16"/>
  <colors>
    <mruColors>
      <color rgb="FFF695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12</xdr:col>
      <xdr:colOff>823910</xdr:colOff>
      <xdr:row>0</xdr:row>
      <xdr:rowOff>186664</xdr:rowOff>
    </xdr:from>
    <xdr:to>
      <xdr:col>13</xdr:col>
      <xdr:colOff>2044575</xdr:colOff>
      <xdr:row>2</xdr:row>
      <xdr:rowOff>114300</xdr:rowOff>
    </xdr:to>
    <xdr:sp macro="" textlink="">
      <xdr:nvSpPr>
        <xdr:cNvPr id="2" name="TextBox 95">
          <a:extLst>
            <a:ext uri="{FF2B5EF4-FFF2-40B4-BE49-F238E27FC236}">
              <a16:creationId xmlns:a16="http://schemas.microsoft.com/office/drawing/2014/main" id="{B3976C66-55AB-31E9-E15E-768791D7BE8C}"/>
            </a:ext>
          </a:extLst>
        </xdr:cNvPr>
        <xdr:cNvSpPr txBox="1"/>
      </xdr:nvSpPr>
      <xdr:spPr>
        <a:xfrm>
          <a:off x="13482635" y="186664"/>
          <a:ext cx="2173165" cy="603911"/>
        </a:xfrm>
        <a:prstGeom prst="rect">
          <a:avLst/>
        </a:prstGeom>
        <a:noFill/>
      </xdr:spPr>
      <xdr:txBody>
        <a:bodyPr wrap="square" lIns="91440" tIns="45720" rIns="91440" bIns="45720" rtlCol="0" anchor="t">
          <a:noAutofit/>
        </a:bodyPr>
        <a:lstStyle>
          <a:defPPr>
            <a:defRPr lang="en-US"/>
          </a:defPPr>
          <a:lvl1pPr marL="0" algn="l" defTabSz="1121455" rtl="0" eaLnBrk="1" latinLnBrk="0" hangingPunct="1">
            <a:defRPr sz="2208" kern="1200">
              <a:solidFill>
                <a:schemeClr val="tx1"/>
              </a:solidFill>
              <a:latin typeface="+mn-lt"/>
              <a:ea typeface="+mn-ea"/>
              <a:cs typeface="+mn-cs"/>
            </a:defRPr>
          </a:lvl1pPr>
          <a:lvl2pPr marL="560727" algn="l" defTabSz="1121455" rtl="0" eaLnBrk="1" latinLnBrk="0" hangingPunct="1">
            <a:defRPr sz="2208" kern="1200">
              <a:solidFill>
                <a:schemeClr val="tx1"/>
              </a:solidFill>
              <a:latin typeface="+mn-lt"/>
              <a:ea typeface="+mn-ea"/>
              <a:cs typeface="+mn-cs"/>
            </a:defRPr>
          </a:lvl2pPr>
          <a:lvl3pPr marL="1121455" algn="l" defTabSz="1121455" rtl="0" eaLnBrk="1" latinLnBrk="0" hangingPunct="1">
            <a:defRPr sz="2208" kern="1200">
              <a:solidFill>
                <a:schemeClr val="tx1"/>
              </a:solidFill>
              <a:latin typeface="+mn-lt"/>
              <a:ea typeface="+mn-ea"/>
              <a:cs typeface="+mn-cs"/>
            </a:defRPr>
          </a:lvl3pPr>
          <a:lvl4pPr marL="1682184" algn="l" defTabSz="1121455" rtl="0" eaLnBrk="1" latinLnBrk="0" hangingPunct="1">
            <a:defRPr sz="2208" kern="1200">
              <a:solidFill>
                <a:schemeClr val="tx1"/>
              </a:solidFill>
              <a:latin typeface="+mn-lt"/>
              <a:ea typeface="+mn-ea"/>
              <a:cs typeface="+mn-cs"/>
            </a:defRPr>
          </a:lvl4pPr>
          <a:lvl5pPr marL="2242913" algn="l" defTabSz="1121455" rtl="0" eaLnBrk="1" latinLnBrk="0" hangingPunct="1">
            <a:defRPr sz="2208" kern="1200">
              <a:solidFill>
                <a:schemeClr val="tx1"/>
              </a:solidFill>
              <a:latin typeface="+mn-lt"/>
              <a:ea typeface="+mn-ea"/>
              <a:cs typeface="+mn-cs"/>
            </a:defRPr>
          </a:lvl5pPr>
          <a:lvl6pPr marL="2803640" algn="l" defTabSz="1121455" rtl="0" eaLnBrk="1" latinLnBrk="0" hangingPunct="1">
            <a:defRPr sz="2208" kern="1200">
              <a:solidFill>
                <a:schemeClr val="tx1"/>
              </a:solidFill>
              <a:latin typeface="+mn-lt"/>
              <a:ea typeface="+mn-ea"/>
              <a:cs typeface="+mn-cs"/>
            </a:defRPr>
          </a:lvl6pPr>
          <a:lvl7pPr marL="3364367" algn="l" defTabSz="1121455" rtl="0" eaLnBrk="1" latinLnBrk="0" hangingPunct="1">
            <a:defRPr sz="2208" kern="1200">
              <a:solidFill>
                <a:schemeClr val="tx1"/>
              </a:solidFill>
              <a:latin typeface="+mn-lt"/>
              <a:ea typeface="+mn-ea"/>
              <a:cs typeface="+mn-cs"/>
            </a:defRPr>
          </a:lvl7pPr>
          <a:lvl8pPr marL="3925097" algn="l" defTabSz="1121455" rtl="0" eaLnBrk="1" latinLnBrk="0" hangingPunct="1">
            <a:defRPr sz="2208" kern="1200">
              <a:solidFill>
                <a:schemeClr val="tx1"/>
              </a:solidFill>
              <a:latin typeface="+mn-lt"/>
              <a:ea typeface="+mn-ea"/>
              <a:cs typeface="+mn-cs"/>
            </a:defRPr>
          </a:lvl8pPr>
          <a:lvl9pPr marL="4485824" algn="l" defTabSz="1121455" rtl="0" eaLnBrk="1" latinLnBrk="0" hangingPunct="1">
            <a:defRPr sz="2208" kern="1200">
              <a:solidFill>
                <a:schemeClr val="tx1"/>
              </a:solidFill>
              <a:latin typeface="+mn-lt"/>
              <a:ea typeface="+mn-ea"/>
              <a:cs typeface="+mn-cs"/>
            </a:defRPr>
          </a:lvl9pPr>
        </a:lstStyle>
        <a:p>
          <a:r>
            <a:rPr lang="en-US" sz="1000"/>
            <a:t>Indicates significant correlation between trade-off and points allocated to ambitions</a:t>
          </a:r>
          <a:endParaRPr lang="en-GB" sz="1000"/>
        </a:p>
      </xdr:txBody>
    </xdr:sp>
    <xdr:clientData/>
  </xdr:twoCellAnchor>
  <xdr:twoCellAnchor>
    <xdr:from>
      <xdr:col>12</xdr:col>
      <xdr:colOff>599796</xdr:colOff>
      <xdr:row>1</xdr:row>
      <xdr:rowOff>56054</xdr:rowOff>
    </xdr:from>
    <xdr:to>
      <xdr:col>12</xdr:col>
      <xdr:colOff>599796</xdr:colOff>
      <xdr:row>1</xdr:row>
      <xdr:rowOff>476250</xdr:rowOff>
    </xdr:to>
    <xdr:cxnSp macro="">
      <xdr:nvCxnSpPr>
        <xdr:cNvPr id="3" name="Straight Arrow Connector 2">
          <a:extLst>
            <a:ext uri="{FF2B5EF4-FFF2-40B4-BE49-F238E27FC236}">
              <a16:creationId xmlns:a16="http://schemas.microsoft.com/office/drawing/2014/main" id="{1523AEED-FB6F-8B6B-9AB2-F0920F832BD7}"/>
            </a:ext>
          </a:extLst>
        </xdr:cNvPr>
        <xdr:cNvCxnSpPr>
          <a:cxnSpLocks/>
        </xdr:cNvCxnSpPr>
      </xdr:nvCxnSpPr>
      <xdr:spPr>
        <a:xfrm flipV="1">
          <a:off x="13258521" y="246554"/>
          <a:ext cx="0" cy="42019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709610</xdr:colOff>
      <xdr:row>1</xdr:row>
      <xdr:rowOff>53725</xdr:rowOff>
    </xdr:from>
    <xdr:to>
      <xdr:col>12</xdr:col>
      <xdr:colOff>709610</xdr:colOff>
      <xdr:row>1</xdr:row>
      <xdr:rowOff>457200</xdr:rowOff>
    </xdr:to>
    <xdr:cxnSp macro="">
      <xdr:nvCxnSpPr>
        <xdr:cNvPr id="4" name="Straight Arrow Connector 3">
          <a:extLst>
            <a:ext uri="{FF2B5EF4-FFF2-40B4-BE49-F238E27FC236}">
              <a16:creationId xmlns:a16="http://schemas.microsoft.com/office/drawing/2014/main" id="{4A43924D-B109-82C5-6327-3954EB4C36C1}"/>
            </a:ext>
          </a:extLst>
        </xdr:cNvPr>
        <xdr:cNvCxnSpPr>
          <a:cxnSpLocks/>
        </xdr:cNvCxnSpPr>
      </xdr:nvCxnSpPr>
      <xdr:spPr>
        <a:xfrm>
          <a:off x="13368335" y="244225"/>
          <a:ext cx="0" cy="403475"/>
        </a:xfrm>
        <a:prstGeom prst="straightConnector1">
          <a:avLst/>
        </a:prstGeom>
        <a:ln>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592552</xdr:colOff>
      <xdr:row>2</xdr:row>
      <xdr:rowOff>67279</xdr:rowOff>
    </xdr:from>
    <xdr:to>
      <xdr:col>11</xdr:col>
      <xdr:colOff>884652</xdr:colOff>
      <xdr:row>2</xdr:row>
      <xdr:rowOff>67279</xdr:rowOff>
    </xdr:to>
    <xdr:cxnSp macro="">
      <xdr:nvCxnSpPr>
        <xdr:cNvPr id="5" name="Straight Arrow Connector 4">
          <a:extLst>
            <a:ext uri="{FF2B5EF4-FFF2-40B4-BE49-F238E27FC236}">
              <a16:creationId xmlns:a16="http://schemas.microsoft.com/office/drawing/2014/main" id="{D6A3DF81-43B7-754D-1216-3CF09CEFF1CE}"/>
            </a:ext>
          </a:extLst>
        </xdr:cNvPr>
        <xdr:cNvCxnSpPr/>
      </xdr:nvCxnSpPr>
      <xdr:spPr>
        <a:xfrm>
          <a:off x="9441277" y="743554"/>
          <a:ext cx="3149600" cy="0"/>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516419</xdr:colOff>
      <xdr:row>1</xdr:row>
      <xdr:rowOff>0</xdr:rowOff>
    </xdr:from>
    <xdr:to>
      <xdr:col>12</xdr:col>
      <xdr:colOff>42330</xdr:colOff>
      <xdr:row>2</xdr:row>
      <xdr:rowOff>0</xdr:rowOff>
    </xdr:to>
    <xdr:sp macro="" textlink="">
      <xdr:nvSpPr>
        <xdr:cNvPr id="6" name="TextBox 40">
          <a:extLst>
            <a:ext uri="{FF2B5EF4-FFF2-40B4-BE49-F238E27FC236}">
              <a16:creationId xmlns:a16="http://schemas.microsoft.com/office/drawing/2014/main" id="{1AAAE085-7ADE-D0D8-6AB3-DAAAD2922524}"/>
            </a:ext>
          </a:extLst>
        </xdr:cNvPr>
        <xdr:cNvSpPr txBox="1"/>
      </xdr:nvSpPr>
      <xdr:spPr>
        <a:xfrm>
          <a:off x="9365144" y="190500"/>
          <a:ext cx="3335911" cy="485775"/>
        </a:xfrm>
        <a:prstGeom prst="rect">
          <a:avLst/>
        </a:prstGeom>
        <a:noFill/>
      </xdr:spPr>
      <xdr:txBody>
        <a:bodyPr wrap="square" lIns="91440" tIns="45720" rIns="91440" bIns="45720" rtlCol="0" anchor="t">
          <a:noAutofit/>
        </a:bodyPr>
        <a:lstStyle>
          <a:defPPr>
            <a:defRPr lang="en-US"/>
          </a:defPPr>
          <a:lvl1pPr marL="0" algn="l" defTabSz="1121455" rtl="0" eaLnBrk="1" latinLnBrk="0" hangingPunct="1">
            <a:defRPr sz="2208" kern="1200">
              <a:solidFill>
                <a:schemeClr val="tx1"/>
              </a:solidFill>
              <a:latin typeface="+mn-lt"/>
              <a:ea typeface="+mn-ea"/>
              <a:cs typeface="+mn-cs"/>
            </a:defRPr>
          </a:lvl1pPr>
          <a:lvl2pPr marL="560727" algn="l" defTabSz="1121455" rtl="0" eaLnBrk="1" latinLnBrk="0" hangingPunct="1">
            <a:defRPr sz="2208" kern="1200">
              <a:solidFill>
                <a:schemeClr val="tx1"/>
              </a:solidFill>
              <a:latin typeface="+mn-lt"/>
              <a:ea typeface="+mn-ea"/>
              <a:cs typeface="+mn-cs"/>
            </a:defRPr>
          </a:lvl2pPr>
          <a:lvl3pPr marL="1121455" algn="l" defTabSz="1121455" rtl="0" eaLnBrk="1" latinLnBrk="0" hangingPunct="1">
            <a:defRPr sz="2208" kern="1200">
              <a:solidFill>
                <a:schemeClr val="tx1"/>
              </a:solidFill>
              <a:latin typeface="+mn-lt"/>
              <a:ea typeface="+mn-ea"/>
              <a:cs typeface="+mn-cs"/>
            </a:defRPr>
          </a:lvl3pPr>
          <a:lvl4pPr marL="1682184" algn="l" defTabSz="1121455" rtl="0" eaLnBrk="1" latinLnBrk="0" hangingPunct="1">
            <a:defRPr sz="2208" kern="1200">
              <a:solidFill>
                <a:schemeClr val="tx1"/>
              </a:solidFill>
              <a:latin typeface="+mn-lt"/>
              <a:ea typeface="+mn-ea"/>
              <a:cs typeface="+mn-cs"/>
            </a:defRPr>
          </a:lvl4pPr>
          <a:lvl5pPr marL="2242913" algn="l" defTabSz="1121455" rtl="0" eaLnBrk="1" latinLnBrk="0" hangingPunct="1">
            <a:defRPr sz="2208" kern="1200">
              <a:solidFill>
                <a:schemeClr val="tx1"/>
              </a:solidFill>
              <a:latin typeface="+mn-lt"/>
              <a:ea typeface="+mn-ea"/>
              <a:cs typeface="+mn-cs"/>
            </a:defRPr>
          </a:lvl5pPr>
          <a:lvl6pPr marL="2803640" algn="l" defTabSz="1121455" rtl="0" eaLnBrk="1" latinLnBrk="0" hangingPunct="1">
            <a:defRPr sz="2208" kern="1200">
              <a:solidFill>
                <a:schemeClr val="tx1"/>
              </a:solidFill>
              <a:latin typeface="+mn-lt"/>
              <a:ea typeface="+mn-ea"/>
              <a:cs typeface="+mn-cs"/>
            </a:defRPr>
          </a:lvl6pPr>
          <a:lvl7pPr marL="3364367" algn="l" defTabSz="1121455" rtl="0" eaLnBrk="1" latinLnBrk="0" hangingPunct="1">
            <a:defRPr sz="2208" kern="1200">
              <a:solidFill>
                <a:schemeClr val="tx1"/>
              </a:solidFill>
              <a:latin typeface="+mn-lt"/>
              <a:ea typeface="+mn-ea"/>
              <a:cs typeface="+mn-cs"/>
            </a:defRPr>
          </a:lvl7pPr>
          <a:lvl8pPr marL="3925097" algn="l" defTabSz="1121455" rtl="0" eaLnBrk="1" latinLnBrk="0" hangingPunct="1">
            <a:defRPr sz="2208" kern="1200">
              <a:solidFill>
                <a:schemeClr val="tx1"/>
              </a:solidFill>
              <a:latin typeface="+mn-lt"/>
              <a:ea typeface="+mn-ea"/>
              <a:cs typeface="+mn-cs"/>
            </a:defRPr>
          </a:lvl8pPr>
          <a:lvl9pPr marL="4485824" algn="l" defTabSz="1121455" rtl="0" eaLnBrk="1" latinLnBrk="0" hangingPunct="1">
            <a:defRPr sz="2208" kern="1200">
              <a:solidFill>
                <a:schemeClr val="tx1"/>
              </a:solidFill>
              <a:latin typeface="+mn-lt"/>
              <a:ea typeface="+mn-ea"/>
              <a:cs typeface="+mn-cs"/>
            </a:defRPr>
          </a:lvl9pPr>
        </a:lstStyle>
        <a:p>
          <a:r>
            <a:rPr lang="en-US" sz="1200"/>
            <a:t>Correlation between agreement with statement B and priority points allocated to ambition</a:t>
          </a:r>
          <a:endParaRPr lang="en-GB" sz="1200"/>
        </a:p>
      </xdr:txBody>
    </xdr:sp>
    <xdr:clientData/>
  </xdr:twoCellAnchor>
  <xdr:twoCellAnchor>
    <xdr:from>
      <xdr:col>3</xdr:col>
      <xdr:colOff>67619</xdr:colOff>
      <xdr:row>2</xdr:row>
      <xdr:rowOff>86329</xdr:rowOff>
    </xdr:from>
    <xdr:to>
      <xdr:col>6</xdr:col>
      <xdr:colOff>359719</xdr:colOff>
      <xdr:row>2</xdr:row>
      <xdr:rowOff>86329</xdr:rowOff>
    </xdr:to>
    <xdr:cxnSp macro="">
      <xdr:nvCxnSpPr>
        <xdr:cNvPr id="7" name="Straight Arrow Connector 6">
          <a:extLst>
            <a:ext uri="{FF2B5EF4-FFF2-40B4-BE49-F238E27FC236}">
              <a16:creationId xmlns:a16="http://schemas.microsoft.com/office/drawing/2014/main" id="{A7EB2868-28E4-0AD2-1947-9A1174D64BB3}"/>
            </a:ext>
          </a:extLst>
        </xdr:cNvPr>
        <xdr:cNvCxnSpPr>
          <a:cxnSpLocks/>
        </xdr:cNvCxnSpPr>
      </xdr:nvCxnSpPr>
      <xdr:spPr>
        <a:xfrm flipH="1">
          <a:off x="4153844" y="762604"/>
          <a:ext cx="3149600" cy="0"/>
        </a:xfrm>
        <a:prstGeom prst="straightConnector1">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xdr:row>
      <xdr:rowOff>61381</xdr:rowOff>
    </xdr:from>
    <xdr:to>
      <xdr:col>6</xdr:col>
      <xdr:colOff>724979</xdr:colOff>
      <xdr:row>2</xdr:row>
      <xdr:rowOff>47626</xdr:rowOff>
    </xdr:to>
    <xdr:sp macro="" textlink="">
      <xdr:nvSpPr>
        <xdr:cNvPr id="8" name="TextBox 43">
          <a:extLst>
            <a:ext uri="{FF2B5EF4-FFF2-40B4-BE49-F238E27FC236}">
              <a16:creationId xmlns:a16="http://schemas.microsoft.com/office/drawing/2014/main" id="{85D53912-83F7-DDBB-858C-38D402BECE1D}"/>
            </a:ext>
          </a:extLst>
        </xdr:cNvPr>
        <xdr:cNvSpPr txBox="1"/>
      </xdr:nvSpPr>
      <xdr:spPr>
        <a:xfrm>
          <a:off x="4086225" y="251881"/>
          <a:ext cx="3582479" cy="472020"/>
        </a:xfrm>
        <a:prstGeom prst="rect">
          <a:avLst/>
        </a:prstGeom>
        <a:noFill/>
      </xdr:spPr>
      <xdr:txBody>
        <a:bodyPr wrap="square" lIns="91440" tIns="45720" rIns="91440" bIns="45720" rtlCol="0" anchor="t">
          <a:noAutofit/>
        </a:bodyPr>
        <a:lstStyle>
          <a:defPPr>
            <a:defRPr lang="en-US"/>
          </a:defPPr>
          <a:lvl1pPr marL="0" algn="l" defTabSz="1121455" rtl="0" eaLnBrk="1" latinLnBrk="0" hangingPunct="1">
            <a:defRPr sz="2208" kern="1200">
              <a:solidFill>
                <a:schemeClr val="tx1"/>
              </a:solidFill>
              <a:latin typeface="+mn-lt"/>
              <a:ea typeface="+mn-ea"/>
              <a:cs typeface="+mn-cs"/>
            </a:defRPr>
          </a:lvl1pPr>
          <a:lvl2pPr marL="560727" algn="l" defTabSz="1121455" rtl="0" eaLnBrk="1" latinLnBrk="0" hangingPunct="1">
            <a:defRPr sz="2208" kern="1200">
              <a:solidFill>
                <a:schemeClr val="tx1"/>
              </a:solidFill>
              <a:latin typeface="+mn-lt"/>
              <a:ea typeface="+mn-ea"/>
              <a:cs typeface="+mn-cs"/>
            </a:defRPr>
          </a:lvl2pPr>
          <a:lvl3pPr marL="1121455" algn="l" defTabSz="1121455" rtl="0" eaLnBrk="1" latinLnBrk="0" hangingPunct="1">
            <a:defRPr sz="2208" kern="1200">
              <a:solidFill>
                <a:schemeClr val="tx1"/>
              </a:solidFill>
              <a:latin typeface="+mn-lt"/>
              <a:ea typeface="+mn-ea"/>
              <a:cs typeface="+mn-cs"/>
            </a:defRPr>
          </a:lvl3pPr>
          <a:lvl4pPr marL="1682184" algn="l" defTabSz="1121455" rtl="0" eaLnBrk="1" latinLnBrk="0" hangingPunct="1">
            <a:defRPr sz="2208" kern="1200">
              <a:solidFill>
                <a:schemeClr val="tx1"/>
              </a:solidFill>
              <a:latin typeface="+mn-lt"/>
              <a:ea typeface="+mn-ea"/>
              <a:cs typeface="+mn-cs"/>
            </a:defRPr>
          </a:lvl4pPr>
          <a:lvl5pPr marL="2242913" algn="l" defTabSz="1121455" rtl="0" eaLnBrk="1" latinLnBrk="0" hangingPunct="1">
            <a:defRPr sz="2208" kern="1200">
              <a:solidFill>
                <a:schemeClr val="tx1"/>
              </a:solidFill>
              <a:latin typeface="+mn-lt"/>
              <a:ea typeface="+mn-ea"/>
              <a:cs typeface="+mn-cs"/>
            </a:defRPr>
          </a:lvl5pPr>
          <a:lvl6pPr marL="2803640" algn="l" defTabSz="1121455" rtl="0" eaLnBrk="1" latinLnBrk="0" hangingPunct="1">
            <a:defRPr sz="2208" kern="1200">
              <a:solidFill>
                <a:schemeClr val="tx1"/>
              </a:solidFill>
              <a:latin typeface="+mn-lt"/>
              <a:ea typeface="+mn-ea"/>
              <a:cs typeface="+mn-cs"/>
            </a:defRPr>
          </a:lvl6pPr>
          <a:lvl7pPr marL="3364367" algn="l" defTabSz="1121455" rtl="0" eaLnBrk="1" latinLnBrk="0" hangingPunct="1">
            <a:defRPr sz="2208" kern="1200">
              <a:solidFill>
                <a:schemeClr val="tx1"/>
              </a:solidFill>
              <a:latin typeface="+mn-lt"/>
              <a:ea typeface="+mn-ea"/>
              <a:cs typeface="+mn-cs"/>
            </a:defRPr>
          </a:lvl7pPr>
          <a:lvl8pPr marL="3925097" algn="l" defTabSz="1121455" rtl="0" eaLnBrk="1" latinLnBrk="0" hangingPunct="1">
            <a:defRPr sz="2208" kern="1200">
              <a:solidFill>
                <a:schemeClr val="tx1"/>
              </a:solidFill>
              <a:latin typeface="+mn-lt"/>
              <a:ea typeface="+mn-ea"/>
              <a:cs typeface="+mn-cs"/>
            </a:defRPr>
          </a:lvl8pPr>
          <a:lvl9pPr marL="4485824" algn="l" defTabSz="1121455" rtl="0" eaLnBrk="1" latinLnBrk="0" hangingPunct="1">
            <a:defRPr sz="2208" kern="1200">
              <a:solidFill>
                <a:schemeClr val="tx1"/>
              </a:solidFill>
              <a:latin typeface="+mn-lt"/>
              <a:ea typeface="+mn-ea"/>
              <a:cs typeface="+mn-cs"/>
            </a:defRPr>
          </a:lvl9pPr>
        </a:lstStyle>
        <a:p>
          <a:r>
            <a:rPr lang="en-US" sz="1200"/>
            <a:t>Correlation between agreement with statement A and priority points allocated to ambition</a:t>
          </a:r>
          <a:endParaRPr lang="en-GB" sz="1200"/>
        </a:p>
      </xdr:txBody>
    </xdr:sp>
    <xdr:clientData/>
  </xdr:twoCellAnchor>
</xdr:wsDr>
</file>

<file path=xl/persons/person.xml><?xml version="1.0" encoding="utf-8"?>
<personList xmlns="http://schemas.microsoft.com/office/spreadsheetml/2018/threadedcomments" xmlns:x="http://schemas.openxmlformats.org/spreadsheetml/2006/main">
  <person displayName="David Pearmain" id="{1710AF1A-2DF5-4C3E-9D9D-7B65432E68CB}" userId="S::david.pearmain@impactmr.com::fb2ced98-7440-4572-a994-f562b6c5f96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4" dT="2023-09-04T13:49:55.04" personId="{1710AF1A-2DF5-4C3E-9D9D-7B65432E68CB}" id="{50A6B55E-B064-4788-BBEB-8518CD803F67}">
    <text>Select overall priority rating (low = 1 SD lower, high = 1 SD higher)</text>
  </threadedComment>
  <threadedComment ref="AG4" dT="2023-08-15T09:10:09.82" personId="{1710AF1A-2DF5-4C3E-9D9D-7B65432E68CB}" id="{682B8B6D-85F4-43EE-A4A9-78B0A87C681A}">
    <text>Created by backward extrapolation from 2035-2045 figures</text>
  </threadedComment>
  <threadedComment ref="AM4" dT="2023-08-15T09:10:09.82" personId="{1710AF1A-2DF5-4C3E-9D9D-7B65432E68CB}" id="{40BC51E7-F1B9-4C9D-A42F-29A78C8FE88C}">
    <text>Created by backward extrapolation from 2035-2045 figures</text>
  </threadedComment>
  <threadedComment ref="AA7" dT="2023-08-16T05:18:39.34" personId="{1710AF1A-2DF5-4C3E-9D9D-7B65432E68CB}" id="{212A7F4A-33FA-493F-B0BB-1957BFA4E44B}">
    <text>Direct references to LTSD2 value</text>
  </threadedComment>
  <threadedComment ref="AA12" dT="2023-08-16T05:18:39.34" personId="{1710AF1A-2DF5-4C3E-9D9D-7B65432E68CB}" id="{0CEAFF8F-123B-409A-9FCB-D616083EAF3E}">
    <text>Direct references to LTSD2 value</text>
  </threadedComment>
</ThreadedComments>
</file>

<file path=xl/threadedComments/threadedComment2.xml><?xml version="1.0" encoding="utf-8"?>
<ThreadedComments xmlns="http://schemas.microsoft.com/office/spreadsheetml/2018/threadedcomments" xmlns:x="http://schemas.openxmlformats.org/spreadsheetml/2006/main">
  <threadedComment ref="C23" dT="2023-07-18T11:42:24.66" personId="{1710AF1A-2DF5-4C3E-9D9D-7B65432E68CB}" id="{64CD7A79-F182-4C40-9458-BD7B05967A72}">
    <text>Considered but rejected, as customers unlikely to associate meter readings with drought resilience</text>
  </threadedComment>
</ThreadedComments>
</file>

<file path=xl/threadedComments/threadedComment3.xml><?xml version="1.0" encoding="utf-8"?>
<ThreadedComments xmlns="http://schemas.microsoft.com/office/spreadsheetml/2018/threadedcomments" xmlns:x="http://schemas.openxmlformats.org/spreadsheetml/2006/main">
  <threadedComment ref="Z16" dT="2023-08-07T14:37:48.89" personId="{1710AF1A-2DF5-4C3E-9D9D-7B65432E68CB}" id="{601703C8-31C7-4998-BB59-3D56A722A42A}">
    <text>Actually 2030</text>
  </threadedComment>
  <threadedComment ref="AC16" dT="2023-08-07T14:37:48.89" personId="{1710AF1A-2DF5-4C3E-9D9D-7B65432E68CB}" id="{1C844501-9AC6-4FE8-8ABD-E1600CC6EDA6}">
    <text>Actually 2030</text>
  </threadedComment>
  <threadedComment ref="Z17" dT="2023-08-07T14:38:17.22" personId="{1710AF1A-2DF5-4C3E-9D9D-7B65432E68CB}" id="{0BD8C11E-5DD0-4764-AB12-1F20B90D8897}">
    <text>2035-2045</text>
  </threadedComment>
  <threadedComment ref="AC17" dT="2023-08-16T05:27:21.81" personId="{1710AF1A-2DF5-4C3E-9D9D-7B65432E68CB}" id="{5EBE7B9F-5C8E-440D-8B16-A725A44E146A}">
    <text>To 2050</text>
  </threadedComment>
  <threadedComment ref="Z18" dT="2023-08-07T14:38:17.22" personId="{1710AF1A-2DF5-4C3E-9D9D-7B65432E68CB}" id="{E927CA02-C7B6-420F-BA5A-5C9FB9D15492}">
    <text>2035-2045</text>
  </threadedComment>
</ThreadedComment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D9153-2A5E-4451-BBA7-7CDC602AADCA}">
  <sheetPr codeName="Sheet1"/>
  <dimension ref="B1:P19"/>
  <sheetViews>
    <sheetView showGridLines="0" workbookViewId="0">
      <selection activeCell="B2" sqref="B2:B6"/>
    </sheetView>
  </sheetViews>
  <sheetFormatPr defaultColWidth="9.1796875" defaultRowHeight="14.5" x14ac:dyDescent="0.35"/>
  <cols>
    <col min="1" max="1" width="9.1796875" style="7"/>
    <col min="2" max="2" width="38.453125" style="7" customWidth="1"/>
    <col min="3" max="3" width="2.81640625" style="7" customWidth="1"/>
    <col min="4" max="4" width="18.453125" style="7" customWidth="1"/>
    <col min="5" max="5" width="9.1796875" style="7"/>
    <col min="6" max="6" width="2.81640625" style="7" customWidth="1"/>
    <col min="7" max="7" width="25" style="7" customWidth="1"/>
    <col min="8" max="8" width="2.81640625" style="7" customWidth="1"/>
    <col min="9" max="9" width="15.7265625" style="7" bestFit="1" customWidth="1"/>
    <col min="10" max="10" width="5.1796875" style="7" customWidth="1"/>
    <col min="11" max="14" width="9.1796875" style="7"/>
    <col min="15" max="15" width="2.26953125" style="7" customWidth="1"/>
    <col min="16" max="16384" width="9.1796875" style="7"/>
  </cols>
  <sheetData>
    <row r="1" spans="2:16" ht="15" thickBot="1" x14ac:dyDescent="0.4"/>
    <row r="2" spans="2:16" ht="38.5" thickBot="1" x14ac:dyDescent="0.4">
      <c r="B2" s="1" t="s">
        <v>0</v>
      </c>
      <c r="D2" s="1" t="s">
        <v>7</v>
      </c>
      <c r="E2" s="1" t="s">
        <v>8</v>
      </c>
      <c r="G2" s="1" t="s">
        <v>13</v>
      </c>
      <c r="I2" s="31" t="s">
        <v>14</v>
      </c>
    </row>
    <row r="3" spans="2:16" ht="43.5" customHeight="1" thickTop="1" thickBot="1" x14ac:dyDescent="0.4">
      <c r="B3" s="8" t="s">
        <v>1</v>
      </c>
      <c r="D3" s="8" t="s">
        <v>9</v>
      </c>
      <c r="E3" s="4">
        <v>0.5</v>
      </c>
      <c r="F3" s="13"/>
      <c r="G3" s="4">
        <v>7</v>
      </c>
      <c r="I3" s="19">
        <f>$E3*$G3</f>
        <v>3.5</v>
      </c>
    </row>
    <row r="4" spans="2:16" ht="42.75" customHeight="1" thickBot="1" x14ac:dyDescent="0.4">
      <c r="B4" s="9" t="s">
        <v>2</v>
      </c>
      <c r="D4" s="9" t="s">
        <v>10</v>
      </c>
      <c r="E4" s="5">
        <v>1</v>
      </c>
      <c r="F4" s="13"/>
      <c r="G4" s="5">
        <v>5</v>
      </c>
      <c r="I4" s="19">
        <f t="shared" ref="I4:I6" si="0">$E4*$G4</f>
        <v>5</v>
      </c>
    </row>
    <row r="5" spans="2:16" ht="42.75" customHeight="1" thickBot="1" x14ac:dyDescent="0.4">
      <c r="B5" s="10" t="s">
        <v>3</v>
      </c>
      <c r="D5" s="10" t="s">
        <v>9</v>
      </c>
      <c r="E5" s="5">
        <v>0.5</v>
      </c>
      <c r="F5" s="13"/>
      <c r="G5" s="5">
        <v>7</v>
      </c>
      <c r="I5" s="19">
        <f t="shared" si="0"/>
        <v>3.5</v>
      </c>
    </row>
    <row r="6" spans="2:16" ht="63.75" customHeight="1" x14ac:dyDescent="0.35">
      <c r="B6" s="21" t="s">
        <v>4</v>
      </c>
      <c r="C6" s="22"/>
      <c r="D6" s="21" t="s">
        <v>11</v>
      </c>
      <c r="E6" s="23">
        <v>0.1</v>
      </c>
      <c r="F6" s="24"/>
      <c r="G6" s="23">
        <v>6</v>
      </c>
      <c r="I6" s="25">
        <f t="shared" si="0"/>
        <v>0.60000000000000009</v>
      </c>
    </row>
    <row r="7" spans="2:16" ht="23" thickBot="1" x14ac:dyDescent="0.4">
      <c r="B7" s="20"/>
      <c r="D7" s="28" t="s">
        <v>20</v>
      </c>
      <c r="E7" s="29">
        <f>SUM(E3:E6)</f>
        <v>2.1</v>
      </c>
      <c r="F7" s="30"/>
      <c r="G7" s="34" t="s">
        <v>21</v>
      </c>
      <c r="I7" s="29">
        <f>SUM(I3:I6)</f>
        <v>12.6</v>
      </c>
    </row>
    <row r="8" spans="2:16" ht="16.5" customHeight="1" thickBot="1" x14ac:dyDescent="0.4">
      <c r="B8" s="20"/>
      <c r="D8" s="26"/>
      <c r="E8" s="19"/>
      <c r="G8" s="27"/>
      <c r="I8" s="19"/>
      <c r="K8" s="37" t="s">
        <v>23</v>
      </c>
      <c r="L8" s="37" t="s">
        <v>22</v>
      </c>
    </row>
    <row r="9" spans="2:16" ht="37.5" thickBot="1" x14ac:dyDescent="0.4">
      <c r="B9" s="11"/>
      <c r="D9" s="14"/>
      <c r="E9" s="16"/>
      <c r="G9" s="17" t="s">
        <v>15</v>
      </c>
      <c r="I9" s="32">
        <f>I7/E7</f>
        <v>6</v>
      </c>
      <c r="K9" s="37">
        <f>SMALL(G3:G6,1)</f>
        <v>5</v>
      </c>
      <c r="L9" s="37">
        <f>LARGE(G3:G6,1)</f>
        <v>7</v>
      </c>
    </row>
    <row r="10" spans="2:16" ht="9.75" customHeight="1" thickBot="1" x14ac:dyDescent="0.4">
      <c r="B10" s="11"/>
      <c r="D10" s="14"/>
      <c r="E10" s="16"/>
      <c r="F10" s="16"/>
      <c r="G10" s="16"/>
      <c r="I10" s="18"/>
    </row>
    <row r="11" spans="2:16" ht="24" thickBot="1" x14ac:dyDescent="0.4">
      <c r="B11" s="11"/>
      <c r="D11" s="14"/>
      <c r="E11" s="15"/>
      <c r="G11" s="12"/>
      <c r="I11" s="6"/>
      <c r="K11" s="1">
        <v>2035</v>
      </c>
      <c r="L11" s="1">
        <v>2040</v>
      </c>
      <c r="M11" s="1">
        <v>2045</v>
      </c>
      <c r="N11" s="1">
        <v>2050</v>
      </c>
    </row>
    <row r="12" spans="2:16" ht="8.25" customHeight="1" thickBot="1" x14ac:dyDescent="0.4">
      <c r="B12" s="11"/>
      <c r="D12" s="14"/>
      <c r="E12" s="15"/>
    </row>
    <row r="13" spans="2:16" ht="21.75" customHeight="1" thickBot="1" x14ac:dyDescent="0.4">
      <c r="D13" s="207" t="s">
        <v>5</v>
      </c>
      <c r="E13" s="208"/>
      <c r="G13" s="211" t="s">
        <v>16</v>
      </c>
      <c r="H13" s="212"/>
      <c r="I13" s="212"/>
      <c r="K13" s="2">
        <v>0.5</v>
      </c>
      <c r="L13" s="2">
        <v>0.3</v>
      </c>
      <c r="M13" s="2">
        <v>0.2</v>
      </c>
      <c r="N13" s="2">
        <v>0.1</v>
      </c>
      <c r="P13" s="7" t="s">
        <v>17</v>
      </c>
    </row>
    <row r="14" spans="2:16" ht="21.5" thickBot="1" x14ac:dyDescent="0.4">
      <c r="D14" s="209" t="s">
        <v>6</v>
      </c>
      <c r="E14" s="210"/>
      <c r="G14" s="211" t="s">
        <v>12</v>
      </c>
      <c r="H14" s="213"/>
      <c r="I14" s="3">
        <v>-0.1</v>
      </c>
      <c r="K14" s="3">
        <v>-0.1</v>
      </c>
      <c r="L14" s="3">
        <v>-0.06</v>
      </c>
      <c r="M14" s="3">
        <v>-0.03</v>
      </c>
      <c r="N14" s="3">
        <v>0</v>
      </c>
      <c r="P14" s="7" t="s">
        <v>18</v>
      </c>
    </row>
    <row r="16" spans="2:16" ht="21" x14ac:dyDescent="0.35">
      <c r="I16" s="35" t="s">
        <v>19</v>
      </c>
      <c r="K16" s="33">
        <f>$I$9*K13*(1+K14)</f>
        <v>2.7</v>
      </c>
      <c r="L16" s="33">
        <f t="shared" ref="L16:N16" si="1">$I$9*L13*(1+L14)</f>
        <v>1.6919999999999997</v>
      </c>
      <c r="M16" s="33">
        <f t="shared" si="1"/>
        <v>1.1640000000000001</v>
      </c>
      <c r="N16" s="33">
        <f t="shared" si="1"/>
        <v>0.60000000000000009</v>
      </c>
    </row>
    <row r="17" spans="9:14" ht="7.5" customHeight="1" x14ac:dyDescent="0.35"/>
    <row r="18" spans="9:14" x14ac:dyDescent="0.35">
      <c r="I18" s="13" t="s">
        <v>23</v>
      </c>
      <c r="J18" s="37">
        <f>K9/I9</f>
        <v>0.83333333333333337</v>
      </c>
      <c r="K18" s="36">
        <f>$J18*K16</f>
        <v>2.2500000000000004</v>
      </c>
      <c r="L18" s="36">
        <f t="shared" ref="L18:N18" si="2">$J18*L16</f>
        <v>1.41</v>
      </c>
      <c r="M18" s="36">
        <f t="shared" si="2"/>
        <v>0.9700000000000002</v>
      </c>
      <c r="N18" s="36">
        <f t="shared" si="2"/>
        <v>0.50000000000000011</v>
      </c>
    </row>
    <row r="19" spans="9:14" x14ac:dyDescent="0.35">
      <c r="I19" s="13" t="s">
        <v>22</v>
      </c>
      <c r="J19" s="37">
        <f>L9/I9</f>
        <v>1.1666666666666667</v>
      </c>
      <c r="K19" s="36">
        <f>$J19*K16</f>
        <v>3.1500000000000004</v>
      </c>
      <c r="L19" s="36">
        <f t="shared" ref="L19:N19" si="3">$J19*L16</f>
        <v>1.9739999999999998</v>
      </c>
      <c r="M19" s="36">
        <f t="shared" si="3"/>
        <v>1.3580000000000003</v>
      </c>
      <c r="N19" s="36">
        <f t="shared" si="3"/>
        <v>0.70000000000000018</v>
      </c>
    </row>
  </sheetData>
  <mergeCells count="4">
    <mergeCell ref="D13:E13"/>
    <mergeCell ref="D14:E14"/>
    <mergeCell ref="G13:I13"/>
    <mergeCell ref="G14:H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91585-6654-4EB2-B02F-2EFC0EE07D1C}">
  <sheetPr codeName="Sheet10">
    <tabColor theme="4" tint="0.59999389629810485"/>
  </sheetPr>
  <dimension ref="A1:AC40"/>
  <sheetViews>
    <sheetView workbookViewId="0">
      <pane xSplit="2" ySplit="4" topLeftCell="C5" activePane="bottomRight" state="frozen"/>
      <selection pane="topRight" activeCell="C1" sqref="C1"/>
      <selection pane="bottomLeft" activeCell="A5" sqref="A5"/>
      <selection pane="bottomRight" activeCell="E12" sqref="E12"/>
    </sheetView>
  </sheetViews>
  <sheetFormatPr defaultColWidth="9.1796875" defaultRowHeight="14.5" outlineLevelRow="1" x14ac:dyDescent="0.35"/>
  <cols>
    <col min="1" max="1" width="14.7265625" style="7" customWidth="1"/>
    <col min="2" max="2" width="33.81640625" style="7" customWidth="1"/>
    <col min="3" max="5" width="9.1796875" style="7"/>
    <col min="6" max="6" width="9.1796875" style="7" customWidth="1"/>
    <col min="7" max="16384" width="9.1796875" style="7"/>
  </cols>
  <sheetData>
    <row r="1" spans="1:29" x14ac:dyDescent="0.35">
      <c r="B1" s="7" t="s">
        <v>282</v>
      </c>
    </row>
    <row r="3" spans="1:29" s="65" customFormat="1" ht="34.5" customHeight="1" x14ac:dyDescent="0.35">
      <c r="C3" s="228" t="s">
        <v>34</v>
      </c>
      <c r="D3" s="228"/>
      <c r="E3" s="228"/>
      <c r="F3" s="222" t="s">
        <v>29</v>
      </c>
      <c r="G3" s="222"/>
      <c r="H3" s="222"/>
      <c r="I3" s="222" t="s">
        <v>30</v>
      </c>
      <c r="J3" s="222"/>
      <c r="K3" s="222"/>
      <c r="L3" s="222" t="s">
        <v>35</v>
      </c>
      <c r="M3" s="222"/>
      <c r="N3" s="222"/>
      <c r="O3" s="222" t="s">
        <v>32</v>
      </c>
      <c r="P3" s="222"/>
      <c r="Q3" s="222"/>
      <c r="R3" s="222" t="s">
        <v>27</v>
      </c>
      <c r="S3" s="222"/>
      <c r="T3" s="222"/>
      <c r="U3" s="222" t="s">
        <v>31</v>
      </c>
      <c r="V3" s="222"/>
      <c r="W3" s="222"/>
      <c r="X3" s="222" t="s">
        <v>28</v>
      </c>
      <c r="Y3" s="222"/>
      <c r="Z3" s="222"/>
      <c r="AA3" s="222" t="s">
        <v>33</v>
      </c>
      <c r="AB3" s="222"/>
      <c r="AC3" s="222" t="s">
        <v>26</v>
      </c>
    </row>
    <row r="4" spans="1:29" outlineLevel="1" x14ac:dyDescent="0.35">
      <c r="B4" s="7" t="s">
        <v>200</v>
      </c>
      <c r="C4" s="67" t="s">
        <v>151</v>
      </c>
      <c r="D4" s="25" t="s">
        <v>152</v>
      </c>
      <c r="E4" s="66" t="s">
        <v>153</v>
      </c>
      <c r="F4" s="25" t="s">
        <v>151</v>
      </c>
      <c r="G4" s="25" t="s">
        <v>152</v>
      </c>
      <c r="H4" s="66" t="s">
        <v>153</v>
      </c>
      <c r="I4" s="25" t="s">
        <v>151</v>
      </c>
      <c r="J4" s="25" t="s">
        <v>152</v>
      </c>
      <c r="K4" s="66" t="s">
        <v>153</v>
      </c>
      <c r="L4" s="25" t="s">
        <v>151</v>
      </c>
      <c r="M4" s="25" t="s">
        <v>152</v>
      </c>
      <c r="N4" s="66" t="s">
        <v>153</v>
      </c>
      <c r="O4" s="25" t="s">
        <v>151</v>
      </c>
      <c r="P4" s="25" t="s">
        <v>152</v>
      </c>
      <c r="Q4" s="66" t="s">
        <v>153</v>
      </c>
      <c r="R4" s="25" t="s">
        <v>151</v>
      </c>
      <c r="S4" s="25" t="s">
        <v>152</v>
      </c>
      <c r="T4" s="66" t="s">
        <v>153</v>
      </c>
      <c r="U4" s="25" t="s">
        <v>151</v>
      </c>
      <c r="V4" s="25" t="s">
        <v>152</v>
      </c>
      <c r="W4" s="66" t="s">
        <v>153</v>
      </c>
      <c r="X4" s="25" t="s">
        <v>151</v>
      </c>
      <c r="Y4" s="25" t="s">
        <v>152</v>
      </c>
      <c r="Z4" s="66" t="s">
        <v>153</v>
      </c>
      <c r="AA4" s="25" t="s">
        <v>151</v>
      </c>
      <c r="AB4" s="25" t="s">
        <v>152</v>
      </c>
      <c r="AC4" s="66" t="s">
        <v>153</v>
      </c>
    </row>
    <row r="5" spans="1:29" outlineLevel="1" x14ac:dyDescent="0.35">
      <c r="B5" s="77" t="s">
        <v>154</v>
      </c>
      <c r="C5" s="68">
        <v>6.9290281176019999E-2</v>
      </c>
      <c r="D5" s="69">
        <v>6.913805115169E-2</v>
      </c>
      <c r="E5" s="70">
        <v>6.9228795438910001E-2</v>
      </c>
      <c r="F5" s="68">
        <v>4.026440758146E-2</v>
      </c>
      <c r="G5" s="69">
        <v>3.7536109993619997E-2</v>
      </c>
      <c r="H5" s="70">
        <v>3.9137763396340002E-2</v>
      </c>
      <c r="I5" s="68">
        <v>5.8559933946860002E-2</v>
      </c>
      <c r="J5" s="69">
        <v>3.9743825915179998E-2</v>
      </c>
      <c r="K5" s="70">
        <v>5.1398428397529998E-2</v>
      </c>
      <c r="L5" s="68"/>
      <c r="M5" s="69"/>
      <c r="N5" s="70"/>
      <c r="O5" s="68">
        <v>6.8420411650640001E-2</v>
      </c>
      <c r="P5" s="69">
        <v>0.10187414950690001</v>
      </c>
      <c r="Q5" s="70">
        <v>7.9437947449150004E-2</v>
      </c>
      <c r="R5" s="68">
        <v>5.7816162189819997E-2</v>
      </c>
      <c r="S5" s="69">
        <v>6.1895528117989998E-2</v>
      </c>
      <c r="T5" s="70">
        <v>5.9695350755270001E-2</v>
      </c>
      <c r="U5" s="68"/>
      <c r="V5" s="69"/>
      <c r="W5" s="70"/>
      <c r="X5" s="68"/>
      <c r="Y5" s="69"/>
      <c r="Z5" s="70"/>
      <c r="AA5" s="68"/>
      <c r="AB5" s="69"/>
      <c r="AC5" s="70"/>
    </row>
    <row r="6" spans="1:29" outlineLevel="1" x14ac:dyDescent="0.35">
      <c r="A6" s="7">
        <v>2035</v>
      </c>
      <c r="B6" s="77" t="s">
        <v>155</v>
      </c>
      <c r="C6" s="71">
        <v>0.36123881946940001</v>
      </c>
      <c r="D6" s="72">
        <v>0.36870645930219997</v>
      </c>
      <c r="E6" s="73">
        <v>0.36425500068369998</v>
      </c>
      <c r="F6" s="71">
        <v>0.42417137458659998</v>
      </c>
      <c r="G6" s="72">
        <v>0.43818064016090003</v>
      </c>
      <c r="H6" s="73">
        <v>0.4299564684369</v>
      </c>
      <c r="I6" s="71">
        <v>0.37674729358920001</v>
      </c>
      <c r="J6" s="72">
        <v>0.35028938409650001</v>
      </c>
      <c r="K6" s="73">
        <v>0.36667727988940002</v>
      </c>
      <c r="L6" s="71"/>
      <c r="M6" s="72"/>
      <c r="N6" s="73"/>
      <c r="O6" s="71">
        <v>0.29150389805229998</v>
      </c>
      <c r="P6" s="72">
        <v>0.15974912088750001</v>
      </c>
      <c r="Q6" s="73">
        <v>0.24811224536830001</v>
      </c>
      <c r="R6" s="71">
        <v>0.40047395880109998</v>
      </c>
      <c r="S6" s="72">
        <v>0.35061102742389999</v>
      </c>
      <c r="T6" s="73">
        <v>0.37750424925940002</v>
      </c>
      <c r="U6" s="71"/>
      <c r="V6" s="72"/>
      <c r="W6" s="73"/>
      <c r="X6" s="71"/>
      <c r="Y6" s="72"/>
      <c r="Z6" s="73"/>
      <c r="AA6" s="71"/>
      <c r="AB6" s="72"/>
      <c r="AC6" s="73"/>
    </row>
    <row r="7" spans="1:29" outlineLevel="1" x14ac:dyDescent="0.35">
      <c r="A7" s="7">
        <v>2040</v>
      </c>
      <c r="B7" s="77" t="s">
        <v>156</v>
      </c>
      <c r="C7" s="71">
        <v>0.2306003240751</v>
      </c>
      <c r="D7" s="72">
        <v>0.18252125229310001</v>
      </c>
      <c r="E7" s="73">
        <v>0.21118117741610001</v>
      </c>
      <c r="F7" s="71">
        <v>0.19995049950929999</v>
      </c>
      <c r="G7" s="72">
        <v>0.22100590965309999</v>
      </c>
      <c r="H7" s="73">
        <v>0.2086452824793</v>
      </c>
      <c r="I7" s="71">
        <v>0.2158597522339</v>
      </c>
      <c r="J7" s="72">
        <v>0.1868305551917</v>
      </c>
      <c r="K7" s="73">
        <v>0.2048110935336</v>
      </c>
      <c r="L7" s="71"/>
      <c r="M7" s="72"/>
      <c r="N7" s="73"/>
      <c r="O7" s="71">
        <v>0.1762091044089</v>
      </c>
      <c r="P7" s="72">
        <v>0.16393226705370001</v>
      </c>
      <c r="Q7" s="73">
        <v>0.17216589418120001</v>
      </c>
      <c r="R7" s="71">
        <v>0.1562706686799</v>
      </c>
      <c r="S7" s="72">
        <v>0.18315523206209999</v>
      </c>
      <c r="T7" s="73">
        <v>0.1686552316205</v>
      </c>
      <c r="U7" s="71"/>
      <c r="V7" s="72"/>
      <c r="W7" s="73"/>
      <c r="X7" s="71"/>
      <c r="Y7" s="72"/>
      <c r="Z7" s="73"/>
      <c r="AA7" s="71"/>
      <c r="AB7" s="72"/>
      <c r="AC7" s="73"/>
    </row>
    <row r="8" spans="1:29" outlineLevel="1" x14ac:dyDescent="0.35">
      <c r="A8" s="7">
        <v>2045</v>
      </c>
      <c r="B8" s="77" t="s">
        <v>157</v>
      </c>
      <c r="C8" s="71">
        <v>8.2896851640020003E-2</v>
      </c>
      <c r="D8" s="72">
        <v>8.1314955738789996E-2</v>
      </c>
      <c r="E8" s="73">
        <v>8.2257923570769997E-2</v>
      </c>
      <c r="F8" s="71">
        <v>0.1354424739193</v>
      </c>
      <c r="G8" s="72">
        <v>8.2828582155980005E-2</v>
      </c>
      <c r="H8" s="73">
        <v>0.1137156888809</v>
      </c>
      <c r="I8" s="71">
        <v>7.2005128078019995E-2</v>
      </c>
      <c r="J8" s="72">
        <v>8.0695014330200002E-2</v>
      </c>
      <c r="K8" s="73">
        <v>7.5312542582299996E-2</v>
      </c>
      <c r="L8" s="71"/>
      <c r="M8" s="72"/>
      <c r="N8" s="73"/>
      <c r="O8" s="71">
        <v>9.8752325514139996E-2</v>
      </c>
      <c r="P8" s="72">
        <v>0.1010742406655</v>
      </c>
      <c r="Q8" s="73">
        <v>9.9517016844329995E-2</v>
      </c>
      <c r="R8" s="71">
        <v>9.2862292390500006E-2</v>
      </c>
      <c r="S8" s="72">
        <v>0.1136610157451</v>
      </c>
      <c r="T8" s="73">
        <v>0.1024433703796</v>
      </c>
      <c r="U8" s="71"/>
      <c r="V8" s="72"/>
      <c r="W8" s="73"/>
      <c r="X8" s="71"/>
      <c r="Y8" s="72"/>
      <c r="Z8" s="73"/>
      <c r="AA8" s="71"/>
      <c r="AB8" s="72"/>
      <c r="AC8" s="73"/>
    </row>
    <row r="9" spans="1:29" outlineLevel="1" x14ac:dyDescent="0.35">
      <c r="B9" s="77" t="s">
        <v>158</v>
      </c>
      <c r="C9" s="71">
        <v>0.21764185511270001</v>
      </c>
      <c r="D9" s="72">
        <v>0.25002931004279999</v>
      </c>
      <c r="E9" s="73">
        <v>0.2307231546031</v>
      </c>
      <c r="F9" s="71">
        <v>0.16507746494969999</v>
      </c>
      <c r="G9" s="72">
        <v>0.19936228017470001</v>
      </c>
      <c r="H9" s="73">
        <v>0.17923530018120001</v>
      </c>
      <c r="I9" s="71">
        <v>0.2335518253877</v>
      </c>
      <c r="J9" s="72">
        <v>0.29521198181530001</v>
      </c>
      <c r="K9" s="73">
        <v>0.2570199916889</v>
      </c>
      <c r="L9" s="71"/>
      <c r="M9" s="72"/>
      <c r="N9" s="73"/>
      <c r="O9" s="71">
        <v>0.29960231563549999</v>
      </c>
      <c r="P9" s="72">
        <v>0.38118374420450002</v>
      </c>
      <c r="Q9" s="73">
        <v>0.3264700550079</v>
      </c>
      <c r="R9" s="71">
        <v>0.2487430519296</v>
      </c>
      <c r="S9" s="72">
        <v>0.26747400644929997</v>
      </c>
      <c r="T9" s="73">
        <v>0.25737159768239998</v>
      </c>
      <c r="U9" s="71"/>
      <c r="V9" s="72"/>
      <c r="W9" s="73"/>
      <c r="X9" s="71"/>
      <c r="Y9" s="72"/>
      <c r="Z9" s="73"/>
      <c r="AA9" s="71"/>
      <c r="AB9" s="72"/>
      <c r="AC9" s="73"/>
    </row>
    <row r="10" spans="1:29" outlineLevel="1" x14ac:dyDescent="0.35">
      <c r="B10" s="77" t="s">
        <v>159</v>
      </c>
      <c r="C10" s="74">
        <v>3.8331868526729998E-2</v>
      </c>
      <c r="D10" s="75">
        <v>4.8289971471400003E-2</v>
      </c>
      <c r="E10" s="76">
        <v>4.2353948287429999E-2</v>
      </c>
      <c r="F10" s="74">
        <v>3.5093779453589997E-2</v>
      </c>
      <c r="G10" s="75">
        <v>2.1086477861759999E-2</v>
      </c>
      <c r="H10" s="76">
        <v>2.9309496625339999E-2</v>
      </c>
      <c r="I10" s="74">
        <v>4.3276066764329997E-2</v>
      </c>
      <c r="J10" s="75">
        <v>4.72292386511E-2</v>
      </c>
      <c r="K10" s="76">
        <v>4.4780663908269999E-2</v>
      </c>
      <c r="L10" s="74"/>
      <c r="M10" s="75"/>
      <c r="N10" s="76"/>
      <c r="O10" s="74">
        <v>6.5511944738600003E-2</v>
      </c>
      <c r="P10" s="75">
        <v>9.2186477681919995E-2</v>
      </c>
      <c r="Q10" s="76">
        <v>7.4296841149110004E-2</v>
      </c>
      <c r="R10" s="74">
        <v>4.3833866009149999E-2</v>
      </c>
      <c r="S10" s="75">
        <v>2.3203190201599999E-2</v>
      </c>
      <c r="T10" s="76">
        <v>3.4330200302809998E-2</v>
      </c>
      <c r="U10" s="74"/>
      <c r="V10" s="75"/>
      <c r="W10" s="76"/>
      <c r="X10" s="74"/>
      <c r="Y10" s="75"/>
      <c r="Z10" s="76"/>
      <c r="AA10" s="74"/>
      <c r="AB10" s="75"/>
      <c r="AC10" s="76"/>
    </row>
    <row r="11" spans="1:29" outlineLevel="1" x14ac:dyDescent="0.35">
      <c r="A11" s="7">
        <v>2050</v>
      </c>
      <c r="B11" s="78" t="s">
        <v>160</v>
      </c>
      <c r="C11" s="74">
        <f>SUM(C9:C10)</f>
        <v>0.25597372363943</v>
      </c>
      <c r="D11" s="75">
        <f t="shared" ref="D11:T11" si="0">SUM(D9:D10)</f>
        <v>0.29831928151420001</v>
      </c>
      <c r="E11" s="76">
        <f t="shared" si="0"/>
        <v>0.27307710289053</v>
      </c>
      <c r="F11" s="74">
        <f t="shared" si="0"/>
        <v>0.20017124440328998</v>
      </c>
      <c r="G11" s="75">
        <f t="shared" si="0"/>
        <v>0.22044875803646</v>
      </c>
      <c r="H11" s="76">
        <f t="shared" si="0"/>
        <v>0.20854479680654001</v>
      </c>
      <c r="I11" s="74">
        <f t="shared" si="0"/>
        <v>0.27682789215203002</v>
      </c>
      <c r="J11" s="75">
        <f t="shared" si="0"/>
        <v>0.34244122046640002</v>
      </c>
      <c r="K11" s="76">
        <f t="shared" si="0"/>
        <v>0.30180065559717001</v>
      </c>
      <c r="L11" s="74"/>
      <c r="M11" s="75"/>
      <c r="N11" s="76"/>
      <c r="O11" s="74">
        <f t="shared" ref="O11:Q11" si="1">SUM(O9:O10)</f>
        <v>0.3651142603741</v>
      </c>
      <c r="P11" s="75">
        <f t="shared" si="1"/>
        <v>0.47337022188642003</v>
      </c>
      <c r="Q11" s="76">
        <f t="shared" si="1"/>
        <v>0.40076689615701</v>
      </c>
      <c r="R11" s="74">
        <f t="shared" si="0"/>
        <v>0.29257691793875001</v>
      </c>
      <c r="S11" s="75">
        <f t="shared" si="0"/>
        <v>0.29067719665089997</v>
      </c>
      <c r="T11" s="76">
        <f t="shared" si="0"/>
        <v>0.29170179798520995</v>
      </c>
      <c r="U11" s="74"/>
      <c r="V11" s="75"/>
      <c r="W11" s="76"/>
      <c r="X11" s="74"/>
      <c r="Y11" s="75"/>
      <c r="Z11" s="76"/>
      <c r="AA11" s="74"/>
      <c r="AB11" s="75"/>
      <c r="AC11" s="76"/>
    </row>
    <row r="12" spans="1:29" outlineLevel="1" x14ac:dyDescent="0.35"/>
    <row r="13" spans="1:29" s="65" customFormat="1" ht="34.5" customHeight="1" outlineLevel="1" x14ac:dyDescent="0.35">
      <c r="C13" s="228" t="s">
        <v>34</v>
      </c>
      <c r="D13" s="228"/>
      <c r="E13" s="228"/>
      <c r="F13" s="222" t="s">
        <v>29</v>
      </c>
      <c r="G13" s="222"/>
      <c r="H13" s="222"/>
      <c r="I13" s="222" t="s">
        <v>30</v>
      </c>
      <c r="J13" s="222"/>
      <c r="K13" s="222"/>
      <c r="L13" s="222" t="s">
        <v>35</v>
      </c>
      <c r="M13" s="222"/>
      <c r="N13" s="222"/>
      <c r="O13" s="222" t="s">
        <v>32</v>
      </c>
      <c r="P13" s="222"/>
      <c r="Q13" s="222"/>
      <c r="R13" s="222" t="s">
        <v>27</v>
      </c>
      <c r="S13" s="222"/>
      <c r="T13" s="222"/>
      <c r="U13" s="222" t="s">
        <v>31</v>
      </c>
      <c r="V13" s="222"/>
      <c r="W13" s="222"/>
      <c r="X13" s="222" t="s">
        <v>28</v>
      </c>
      <c r="Y13" s="222"/>
      <c r="Z13" s="222"/>
      <c r="AA13" s="222" t="s">
        <v>33</v>
      </c>
      <c r="AB13" s="222"/>
      <c r="AC13" s="222" t="s">
        <v>26</v>
      </c>
    </row>
    <row r="14" spans="1:29" outlineLevel="1" x14ac:dyDescent="0.35">
      <c r="B14" s="65" t="s">
        <v>201</v>
      </c>
      <c r="C14" s="67" t="s">
        <v>151</v>
      </c>
      <c r="D14" s="25" t="s">
        <v>152</v>
      </c>
      <c r="E14" s="66" t="s">
        <v>153</v>
      </c>
      <c r="F14" s="25" t="s">
        <v>151</v>
      </c>
      <c r="G14" s="25" t="s">
        <v>152</v>
      </c>
      <c r="H14" s="66" t="s">
        <v>153</v>
      </c>
      <c r="I14" s="25" t="s">
        <v>151</v>
      </c>
      <c r="J14" s="25" t="s">
        <v>152</v>
      </c>
      <c r="K14" s="66" t="s">
        <v>153</v>
      </c>
      <c r="L14" s="25" t="s">
        <v>151</v>
      </c>
      <c r="M14" s="25" t="s">
        <v>152</v>
      </c>
      <c r="N14" s="66" t="s">
        <v>153</v>
      </c>
      <c r="O14" s="25" t="s">
        <v>151</v>
      </c>
      <c r="P14" s="25" t="s">
        <v>152</v>
      </c>
      <c r="Q14" s="66" t="s">
        <v>153</v>
      </c>
      <c r="R14" s="25" t="s">
        <v>151</v>
      </c>
      <c r="S14" s="25" t="s">
        <v>152</v>
      </c>
      <c r="T14" s="66" t="s">
        <v>153</v>
      </c>
      <c r="U14" s="25" t="s">
        <v>151</v>
      </c>
      <c r="V14" s="25" t="s">
        <v>152</v>
      </c>
      <c r="W14" s="66" t="s">
        <v>153</v>
      </c>
      <c r="X14" s="25" t="s">
        <v>151</v>
      </c>
      <c r="Y14" s="25" t="s">
        <v>152</v>
      </c>
      <c r="Z14" s="66" t="s">
        <v>153</v>
      </c>
      <c r="AA14" s="25" t="s">
        <v>151</v>
      </c>
      <c r="AB14" s="25" t="s">
        <v>152</v>
      </c>
      <c r="AC14" s="66" t="s">
        <v>153</v>
      </c>
    </row>
    <row r="15" spans="1:29" outlineLevel="1" x14ac:dyDescent="0.35">
      <c r="B15" s="77" t="s">
        <v>154</v>
      </c>
      <c r="C15" s="68">
        <v>0.10714285714290001</v>
      </c>
      <c r="D15" s="69">
        <v>0</v>
      </c>
      <c r="E15" s="70">
        <v>6.8181818181819995E-2</v>
      </c>
      <c r="F15" s="68">
        <v>0</v>
      </c>
      <c r="G15" s="69">
        <v>0</v>
      </c>
      <c r="H15" s="70">
        <v>0</v>
      </c>
      <c r="I15" s="68">
        <v>0</v>
      </c>
      <c r="J15" s="69">
        <v>0</v>
      </c>
      <c r="K15" s="70">
        <v>0</v>
      </c>
      <c r="L15" s="68">
        <v>0.13636363636359999</v>
      </c>
      <c r="M15" s="69">
        <v>0.125</v>
      </c>
      <c r="N15" s="70">
        <v>0.14285714285709999</v>
      </c>
      <c r="O15" s="68">
        <v>0.32142857142859999</v>
      </c>
      <c r="P15" s="69">
        <v>0</v>
      </c>
      <c r="Q15" s="70">
        <v>0.20454545454549999</v>
      </c>
      <c r="R15" s="68">
        <v>0.14285714285709999</v>
      </c>
      <c r="S15" s="69">
        <v>6.25E-2</v>
      </c>
      <c r="T15" s="70">
        <v>0.11363636363640001</v>
      </c>
      <c r="U15" s="68">
        <v>0.21428571428570001</v>
      </c>
      <c r="V15" s="69">
        <v>0.125</v>
      </c>
      <c r="W15" s="70">
        <v>0.1818181818182</v>
      </c>
      <c r="X15" s="112"/>
      <c r="Y15" s="113"/>
      <c r="Z15" s="114">
        <f>1-SUM(Z16:Z20)</f>
        <v>0.10999999999999999</v>
      </c>
      <c r="AA15" s="112"/>
      <c r="AB15" s="113"/>
      <c r="AC15" s="114">
        <f>1-SUM(AC16:AC20)</f>
        <v>0.24999999999999989</v>
      </c>
    </row>
    <row r="16" spans="1:29" outlineLevel="1" x14ac:dyDescent="0.35">
      <c r="A16" s="7">
        <v>2035</v>
      </c>
      <c r="B16" s="77" t="s">
        <v>155</v>
      </c>
      <c r="C16" s="71">
        <v>0.17857142857139999</v>
      </c>
      <c r="D16" s="72">
        <v>0.125</v>
      </c>
      <c r="E16" s="73">
        <v>0.15909090909090001</v>
      </c>
      <c r="F16" s="71">
        <v>0.53571428571430002</v>
      </c>
      <c r="G16" s="72">
        <v>0.1875</v>
      </c>
      <c r="H16" s="73">
        <v>0.40909090909090001</v>
      </c>
      <c r="I16" s="71">
        <v>0.32142857142859999</v>
      </c>
      <c r="J16" s="72">
        <v>6.25E-2</v>
      </c>
      <c r="K16" s="73">
        <v>0.22727272727270001</v>
      </c>
      <c r="L16" s="71">
        <v>0.59090909090910004</v>
      </c>
      <c r="M16" s="72">
        <v>0.6875</v>
      </c>
      <c r="N16" s="73">
        <v>0.53571428571430002</v>
      </c>
      <c r="O16" s="71">
        <v>0.14285714285709999</v>
      </c>
      <c r="P16" s="72">
        <v>6.25E-2</v>
      </c>
      <c r="Q16" s="73">
        <v>0.11363636363640001</v>
      </c>
      <c r="R16" s="71">
        <v>7.1428571428569995E-2</v>
      </c>
      <c r="S16" s="72">
        <v>0.1875</v>
      </c>
      <c r="T16" s="73">
        <v>0.11363636363640001</v>
      </c>
      <c r="U16" s="71">
        <v>0.10714285714290001</v>
      </c>
      <c r="V16" s="72">
        <v>0.125</v>
      </c>
      <c r="W16" s="73">
        <v>0.11363636363640001</v>
      </c>
      <c r="X16" s="115"/>
      <c r="Y16" s="116"/>
      <c r="Z16" s="117">
        <v>0.27</v>
      </c>
      <c r="AA16" s="115"/>
      <c r="AB16" s="116"/>
      <c r="AC16" s="117">
        <v>0.27</v>
      </c>
    </row>
    <row r="17" spans="1:29" outlineLevel="1" x14ac:dyDescent="0.35">
      <c r="A17" s="7">
        <v>2040</v>
      </c>
      <c r="B17" s="77" t="s">
        <v>156</v>
      </c>
      <c r="C17" s="71">
        <v>0.25</v>
      </c>
      <c r="D17" s="72">
        <v>0.375</v>
      </c>
      <c r="E17" s="73">
        <v>0.29545454545450001</v>
      </c>
      <c r="F17" s="71">
        <v>0.28571428571430002</v>
      </c>
      <c r="G17" s="72">
        <v>0.375</v>
      </c>
      <c r="H17" s="73">
        <v>0.31818181818180002</v>
      </c>
      <c r="I17" s="71">
        <v>0.32142857142859999</v>
      </c>
      <c r="J17" s="72">
        <v>0.5</v>
      </c>
      <c r="K17" s="73">
        <v>0.38636363636359999</v>
      </c>
      <c r="L17" s="71">
        <v>6.8181818181819995E-2</v>
      </c>
      <c r="M17" s="72">
        <v>0.125</v>
      </c>
      <c r="N17" s="73">
        <v>3.5714285714290001E-2</v>
      </c>
      <c r="O17" s="71">
        <v>0.10714285714290001</v>
      </c>
      <c r="P17" s="72">
        <v>0.1875</v>
      </c>
      <c r="Q17" s="73">
        <v>0.13636363636359999</v>
      </c>
      <c r="R17" s="71">
        <v>0.35714285714290001</v>
      </c>
      <c r="S17" s="72">
        <v>0.375</v>
      </c>
      <c r="T17" s="73">
        <v>0.36363636363640001</v>
      </c>
      <c r="U17" s="71">
        <v>0.17857142857139999</v>
      </c>
      <c r="V17" s="72">
        <v>0.375</v>
      </c>
      <c r="W17" s="73">
        <v>0.25</v>
      </c>
      <c r="X17" s="115"/>
      <c r="Y17" s="116"/>
      <c r="Z17" s="117">
        <f>34%/2</f>
        <v>0.17</v>
      </c>
      <c r="AA17" s="115"/>
      <c r="AB17" s="116"/>
      <c r="AC17" s="121">
        <f t="shared" ref="AC17:AC18" si="2">48%/3</f>
        <v>0.16</v>
      </c>
    </row>
    <row r="18" spans="1:29" outlineLevel="1" x14ac:dyDescent="0.35">
      <c r="A18" s="7">
        <v>2045</v>
      </c>
      <c r="B18" s="77" t="s">
        <v>157</v>
      </c>
      <c r="C18" s="71">
        <v>0.14285714285709999</v>
      </c>
      <c r="D18" s="72">
        <v>0.1875</v>
      </c>
      <c r="E18" s="73">
        <v>0.15909090909090001</v>
      </c>
      <c r="F18" s="71">
        <v>0.14285714285709999</v>
      </c>
      <c r="G18" s="72">
        <v>6.25E-2</v>
      </c>
      <c r="H18" s="73">
        <v>0.11363636363640001</v>
      </c>
      <c r="I18" s="71">
        <v>0.14285714285709999</v>
      </c>
      <c r="J18" s="72">
        <v>0.125</v>
      </c>
      <c r="K18" s="73">
        <v>0.13636363636359999</v>
      </c>
      <c r="L18" s="71">
        <v>0.11363636363640001</v>
      </c>
      <c r="M18" s="72">
        <v>0</v>
      </c>
      <c r="N18" s="73">
        <v>0.17857142857139999</v>
      </c>
      <c r="O18" s="71">
        <v>0.10714285714290001</v>
      </c>
      <c r="P18" s="72">
        <v>6.25E-2</v>
      </c>
      <c r="Q18" s="73">
        <v>9.0909090909089996E-2</v>
      </c>
      <c r="R18" s="71">
        <v>0.14285714285709999</v>
      </c>
      <c r="S18" s="72">
        <v>0</v>
      </c>
      <c r="T18" s="73">
        <v>9.0909090909089996E-2</v>
      </c>
      <c r="U18" s="71">
        <v>0.28571428571430002</v>
      </c>
      <c r="V18" s="72">
        <v>0.1875</v>
      </c>
      <c r="W18" s="73">
        <v>0.25</v>
      </c>
      <c r="X18" s="115"/>
      <c r="Y18" s="116"/>
      <c r="Z18" s="117">
        <f>34%/2</f>
        <v>0.17</v>
      </c>
      <c r="AA18" s="115"/>
      <c r="AB18" s="116"/>
      <c r="AC18" s="121">
        <f t="shared" si="2"/>
        <v>0.16</v>
      </c>
    </row>
    <row r="19" spans="1:29" outlineLevel="1" x14ac:dyDescent="0.35">
      <c r="B19" s="77" t="s">
        <v>158</v>
      </c>
      <c r="C19" s="71">
        <v>0.32142857142859999</v>
      </c>
      <c r="D19" s="72">
        <v>0.3125</v>
      </c>
      <c r="E19" s="73">
        <v>0.31818181818180002</v>
      </c>
      <c r="F19" s="71">
        <v>3.5714285714290001E-2</v>
      </c>
      <c r="G19" s="72">
        <v>0.375</v>
      </c>
      <c r="H19" s="73">
        <v>0.15909090909090001</v>
      </c>
      <c r="I19" s="71">
        <v>0.21428571428570001</v>
      </c>
      <c r="J19" s="72">
        <v>0.3125</v>
      </c>
      <c r="K19" s="73">
        <v>0.25</v>
      </c>
      <c r="L19" s="71">
        <v>6.8181818181819995E-2</v>
      </c>
      <c r="M19" s="72">
        <v>6.25E-2</v>
      </c>
      <c r="N19" s="73">
        <v>7.1428571428569995E-2</v>
      </c>
      <c r="O19" s="71">
        <v>0.28571428571430002</v>
      </c>
      <c r="P19" s="72">
        <v>0.5</v>
      </c>
      <c r="Q19" s="73">
        <v>0.36363636363640001</v>
      </c>
      <c r="R19" s="71">
        <v>0.25</v>
      </c>
      <c r="S19" s="72">
        <v>0.375</v>
      </c>
      <c r="T19" s="73">
        <v>0.29545454545450001</v>
      </c>
      <c r="U19" s="71">
        <v>0.17857142857139999</v>
      </c>
      <c r="V19" s="72">
        <v>0.1875</v>
      </c>
      <c r="W19" s="73">
        <v>0.1818181818182</v>
      </c>
      <c r="X19" s="115"/>
      <c r="Y19" s="116"/>
      <c r="Z19" s="121">
        <f>0.89-SUM(Z16:Z18)</f>
        <v>0.27999999999999992</v>
      </c>
      <c r="AA19" s="115"/>
      <c r="AB19" s="116"/>
      <c r="AC19" s="121">
        <f>48%/3</f>
        <v>0.16</v>
      </c>
    </row>
    <row r="20" spans="1:29" outlineLevel="1" x14ac:dyDescent="0.35">
      <c r="B20" s="77" t="s">
        <v>159</v>
      </c>
      <c r="C20" s="74">
        <v>0</v>
      </c>
      <c r="D20" s="75">
        <v>0</v>
      </c>
      <c r="E20" s="76">
        <v>0</v>
      </c>
      <c r="F20" s="74">
        <v>0</v>
      </c>
      <c r="G20" s="75">
        <v>0</v>
      </c>
      <c r="H20" s="76">
        <v>0</v>
      </c>
      <c r="I20" s="74">
        <v>0</v>
      </c>
      <c r="J20" s="75">
        <v>0</v>
      </c>
      <c r="K20" s="76">
        <v>0</v>
      </c>
      <c r="L20" s="74">
        <v>2.2727272727270001E-2</v>
      </c>
      <c r="M20" s="75">
        <v>0</v>
      </c>
      <c r="N20" s="76">
        <v>3.5714285714290001E-2</v>
      </c>
      <c r="O20" s="74">
        <v>3.5714285714290001E-2</v>
      </c>
      <c r="P20" s="75">
        <v>0.1875</v>
      </c>
      <c r="Q20" s="76">
        <v>9.0909090909089996E-2</v>
      </c>
      <c r="R20" s="74">
        <v>3.5714285714290001E-2</v>
      </c>
      <c r="S20" s="75">
        <v>0</v>
      </c>
      <c r="T20" s="76">
        <v>2.2727272727270001E-2</v>
      </c>
      <c r="U20" s="74">
        <v>3.5714285714290001E-2</v>
      </c>
      <c r="V20" s="75">
        <v>0</v>
      </c>
      <c r="W20" s="76">
        <v>2.2727272727270001E-2</v>
      </c>
      <c r="X20" s="118"/>
      <c r="Y20" s="119"/>
      <c r="Z20" s="120"/>
      <c r="AA20" s="118"/>
      <c r="AB20" s="119"/>
      <c r="AC20" s="120"/>
    </row>
    <row r="21" spans="1:29" outlineLevel="1" x14ac:dyDescent="0.35">
      <c r="A21" s="7">
        <v>2050</v>
      </c>
      <c r="B21" s="78" t="s">
        <v>160</v>
      </c>
      <c r="C21" s="74">
        <f t="shared" ref="C21:K21" si="3">SUM(C19:C20)</f>
        <v>0.32142857142859999</v>
      </c>
      <c r="D21" s="75">
        <f t="shared" si="3"/>
        <v>0.3125</v>
      </c>
      <c r="E21" s="76">
        <f t="shared" si="3"/>
        <v>0.31818181818180002</v>
      </c>
      <c r="F21" s="74">
        <f t="shared" si="3"/>
        <v>3.5714285714290001E-2</v>
      </c>
      <c r="G21" s="75">
        <f t="shared" si="3"/>
        <v>0.375</v>
      </c>
      <c r="H21" s="76">
        <f t="shared" si="3"/>
        <v>0.15909090909090001</v>
      </c>
      <c r="I21" s="74">
        <f t="shared" si="3"/>
        <v>0.21428571428570001</v>
      </c>
      <c r="J21" s="75">
        <f t="shared" si="3"/>
        <v>0.3125</v>
      </c>
      <c r="K21" s="76">
        <f t="shared" si="3"/>
        <v>0.25</v>
      </c>
      <c r="L21" s="74">
        <f t="shared" ref="L21" si="4">SUM(L19:L20)</f>
        <v>9.0909090909089996E-2</v>
      </c>
      <c r="M21" s="75">
        <f t="shared" ref="M21" si="5">SUM(M19:M20)</f>
        <v>6.25E-2</v>
      </c>
      <c r="N21" s="76">
        <f t="shared" ref="N21:T21" si="6">SUM(N19:N20)</f>
        <v>0.10714285714286</v>
      </c>
      <c r="O21" s="74">
        <f t="shared" si="6"/>
        <v>0.32142857142859005</v>
      </c>
      <c r="P21" s="75">
        <f t="shared" si="6"/>
        <v>0.6875</v>
      </c>
      <c r="Q21" s="76">
        <f t="shared" si="6"/>
        <v>0.45454545454549</v>
      </c>
      <c r="R21" s="74">
        <f t="shared" si="6"/>
        <v>0.28571428571429003</v>
      </c>
      <c r="S21" s="75">
        <f t="shared" si="6"/>
        <v>0.375</v>
      </c>
      <c r="T21" s="76">
        <f t="shared" si="6"/>
        <v>0.31818181818176999</v>
      </c>
      <c r="U21" s="74">
        <f t="shared" ref="U21:W21" si="7">SUM(U19:U20)</f>
        <v>0.21428571428568999</v>
      </c>
      <c r="V21" s="75">
        <f t="shared" si="7"/>
        <v>0.1875</v>
      </c>
      <c r="W21" s="76">
        <f t="shared" si="7"/>
        <v>0.20454545454547002</v>
      </c>
      <c r="X21" s="74">
        <f t="shared" ref="X21" si="8">SUM(X19:X20)</f>
        <v>0</v>
      </c>
      <c r="Y21" s="75">
        <f t="shared" ref="Y21" si="9">SUM(Y19:Y20)</f>
        <v>0</v>
      </c>
      <c r="Z21" s="76">
        <f t="shared" ref="Z21" si="10">SUM(Z19:Z20)</f>
        <v>0.27999999999999992</v>
      </c>
      <c r="AA21" s="74">
        <f t="shared" ref="AA21" si="11">SUM(AA19:AA20)</f>
        <v>0</v>
      </c>
      <c r="AB21" s="75">
        <f t="shared" ref="AB21" si="12">SUM(AB19:AB20)</f>
        <v>0</v>
      </c>
      <c r="AC21" s="76">
        <f t="shared" ref="AC21" si="13">SUM(AC19:AC20)</f>
        <v>0.16</v>
      </c>
    </row>
    <row r="22" spans="1:29" outlineLevel="1" x14ac:dyDescent="0.35">
      <c r="B22" s="78"/>
      <c r="C22" s="72"/>
      <c r="D22" s="72"/>
      <c r="E22" s="166"/>
      <c r="F22" s="72"/>
      <c r="G22" s="72"/>
      <c r="H22" s="166"/>
      <c r="I22" s="72"/>
      <c r="J22" s="72"/>
      <c r="K22" s="166"/>
      <c r="L22" s="72"/>
      <c r="M22" s="72"/>
      <c r="N22" s="166"/>
      <c r="O22" s="72"/>
      <c r="P22" s="72"/>
      <c r="Q22" s="166"/>
      <c r="R22" s="72"/>
      <c r="S22" s="72"/>
      <c r="T22" s="166"/>
      <c r="U22" s="72"/>
      <c r="V22" s="72"/>
      <c r="W22" s="166"/>
      <c r="X22" s="72"/>
      <c r="Y22" s="72"/>
      <c r="Z22" s="166"/>
      <c r="AA22" s="72"/>
      <c r="AB22" s="72"/>
      <c r="AC22" s="166"/>
    </row>
    <row r="23" spans="1:29" s="183" customFormat="1" ht="6.75" customHeight="1" outlineLevel="1" x14ac:dyDescent="0.35">
      <c r="B23" s="184"/>
      <c r="C23" s="185"/>
      <c r="D23" s="185"/>
      <c r="E23" s="186"/>
      <c r="F23" s="185"/>
      <c r="G23" s="185"/>
      <c r="H23" s="186"/>
      <c r="I23" s="185"/>
      <c r="J23" s="185"/>
      <c r="K23" s="186"/>
      <c r="L23" s="185"/>
      <c r="M23" s="185"/>
      <c r="N23" s="186"/>
      <c r="O23" s="185"/>
      <c r="P23" s="185"/>
      <c r="Q23" s="186"/>
      <c r="R23" s="185"/>
      <c r="S23" s="185"/>
      <c r="T23" s="186"/>
      <c r="U23" s="185"/>
      <c r="V23" s="185"/>
      <c r="W23" s="186"/>
      <c r="X23" s="185"/>
      <c r="Y23" s="185"/>
      <c r="Z23" s="186"/>
      <c r="AA23" s="185"/>
      <c r="AB23" s="185"/>
      <c r="AC23" s="186"/>
    </row>
    <row r="24" spans="1:29" x14ac:dyDescent="0.35">
      <c r="B24" s="78"/>
      <c r="C24" s="72"/>
      <c r="D24" s="72"/>
      <c r="E24" s="166"/>
      <c r="F24" s="72"/>
      <c r="G24" s="72"/>
      <c r="H24" s="166"/>
      <c r="I24" s="72"/>
      <c r="J24" s="72"/>
      <c r="K24" s="166"/>
      <c r="L24" s="72"/>
      <c r="M24" s="72"/>
      <c r="N24" s="166"/>
      <c r="O24" s="72"/>
      <c r="P24" s="72"/>
      <c r="Q24" s="166"/>
      <c r="R24" s="72"/>
      <c r="S24" s="72"/>
      <c r="T24" s="166"/>
      <c r="U24" s="72"/>
      <c r="V24" s="72"/>
      <c r="W24" s="166"/>
      <c r="X24" s="72"/>
      <c r="Y24" s="72"/>
      <c r="Z24" s="166"/>
      <c r="AA24" s="72"/>
      <c r="AB24" s="72"/>
      <c r="AC24" s="166"/>
    </row>
    <row r="25" spans="1:29" x14ac:dyDescent="0.35">
      <c r="A25" s="155">
        <f>MATCH(B25,Control!$I$2:$I$3,0)</f>
        <v>1</v>
      </c>
      <c r="B25" s="151" t="s">
        <v>291</v>
      </c>
      <c r="C25" s="91">
        <v>1</v>
      </c>
      <c r="D25" s="91">
        <v>1</v>
      </c>
      <c r="F25" s="91">
        <v>2</v>
      </c>
      <c r="G25" s="91">
        <v>1</v>
      </c>
      <c r="I25" s="91">
        <v>1</v>
      </c>
      <c r="J25" s="91">
        <v>2</v>
      </c>
      <c r="L25" s="91">
        <v>3</v>
      </c>
      <c r="M25" s="91">
        <v>1</v>
      </c>
      <c r="O25" s="91">
        <v>1</v>
      </c>
      <c r="P25" s="91">
        <v>3</v>
      </c>
      <c r="R25" s="91">
        <v>2</v>
      </c>
      <c r="S25" s="91">
        <v>2</v>
      </c>
      <c r="U25" s="91">
        <v>2</v>
      </c>
      <c r="V25" s="91">
        <v>3</v>
      </c>
      <c r="X25" s="91">
        <v>3</v>
      </c>
      <c r="Y25" s="91">
        <v>3</v>
      </c>
      <c r="AA25" s="91">
        <v>3</v>
      </c>
      <c r="AB25" s="91">
        <v>2</v>
      </c>
    </row>
    <row r="26" spans="1:29" s="165" customFormat="1" ht="15.5" x14ac:dyDescent="0.35">
      <c r="A26" s="226" t="s">
        <v>281</v>
      </c>
      <c r="B26" s="227"/>
      <c r="C26" s="174"/>
      <c r="D26" s="175">
        <f ca="1">(D28*WTP!$C$3+'LTDS 2'!D29*WTP!$C$4)/WTP!$C$5</f>
        <v>0.44294368396901362</v>
      </c>
      <c r="E26" s="174"/>
      <c r="F26" s="174"/>
      <c r="G26" s="175">
        <f ca="1">(G28*WTP!$C$3+'LTDS 2'!G29*WTP!$C$4)/WTP!$C$5</f>
        <v>0.76932914561226584</v>
      </c>
      <c r="H26" s="174"/>
      <c r="I26" s="174"/>
      <c r="J26" s="175">
        <f ca="1">(J28*WTP!$C$3+'LTDS 2'!J29*WTP!$C$4)/WTP!$C$5</f>
        <v>0.62668835553479985</v>
      </c>
      <c r="K26" s="174"/>
      <c r="L26" s="174"/>
      <c r="M26" s="175">
        <f ca="1">(M28*WTP!$C$3+'LTDS 2'!M29*WTP!$C$4)/WTP!$C$5</f>
        <v>0.61993493339552086</v>
      </c>
      <c r="N26" s="174"/>
      <c r="O26" s="174"/>
      <c r="P26" s="175">
        <f ca="1">(P28*WTP!$C$3+'LTDS 2'!P29*WTP!$C$4)/WTP!$C$5</f>
        <v>0.25</v>
      </c>
      <c r="Q26" s="174"/>
      <c r="R26" s="174"/>
      <c r="S26" s="175">
        <f ca="1">(S28*WTP!$C$3+'LTDS 2'!S29*WTP!$C$4)/WTP!$C$5</f>
        <v>0.45551940744192049</v>
      </c>
      <c r="T26" s="174"/>
      <c r="U26" s="174"/>
      <c r="V26" s="175">
        <f ca="1">(V28*WTP!$C$3+'LTDS 2'!V29*WTP!$C$4)/WTP!$C$5</f>
        <v>0.32883105190712075</v>
      </c>
      <c r="W26" s="174"/>
      <c r="X26" s="174"/>
      <c r="Y26" s="175">
        <f ca="1">(Y28*WTP!$C$3+'LTDS 2'!Y29*WTP!$C$4)/WTP!$C$5</f>
        <v>0.54448059255807957</v>
      </c>
      <c r="Z26" s="174"/>
      <c r="AA26" s="174"/>
      <c r="AB26" s="175">
        <f ca="1">(AB28*WTP!$C$3+'LTDS 2'!AB29*WTP!$C$4)/WTP!$C$5</f>
        <v>0.43036796049610676</v>
      </c>
      <c r="AC26" s="176"/>
    </row>
    <row r="27" spans="1:29" s="165" customFormat="1" ht="5.25" customHeight="1" x14ac:dyDescent="0.35">
      <c r="A27" s="187"/>
      <c r="B27" s="188"/>
      <c r="C27" s="174"/>
      <c r="D27" s="175"/>
      <c r="E27" s="174"/>
      <c r="F27" s="174"/>
      <c r="G27" s="175"/>
      <c r="H27" s="174"/>
      <c r="I27" s="174"/>
      <c r="J27" s="175"/>
      <c r="K27" s="174"/>
      <c r="L27" s="174"/>
      <c r="M27" s="175"/>
      <c r="N27" s="174"/>
      <c r="O27" s="174"/>
      <c r="P27" s="175"/>
      <c r="Q27" s="174"/>
      <c r="R27" s="174"/>
      <c r="S27" s="175"/>
      <c r="T27" s="174"/>
      <c r="U27" s="174"/>
      <c r="V27" s="175"/>
      <c r="W27" s="174"/>
      <c r="X27" s="174"/>
      <c r="Y27" s="175"/>
      <c r="Z27" s="174"/>
      <c r="AA27" s="174"/>
      <c r="AB27" s="175"/>
    </row>
    <row r="28" spans="1:29" x14ac:dyDescent="0.35">
      <c r="A28" s="223" t="s">
        <v>247</v>
      </c>
      <c r="B28" s="167" t="s">
        <v>248</v>
      </c>
      <c r="C28" s="168"/>
      <c r="D28" s="169">
        <f ca="1">OFFSET('TQ Qual Tables'!$D5,('LTDS 2'!C$25-1)*17,('LTDS 2'!D$25-1)*6+$A$25-1)</f>
        <v>0.42857142857140001</v>
      </c>
      <c r="E28" s="177">
        <f ca="1">(D28-D$26)/D$26</f>
        <v>-3.244713925894703E-2</v>
      </c>
      <c r="F28" s="168"/>
      <c r="G28" s="169">
        <f ca="1">OFFSET('TQ Qual Tables'!$D5,('LTDS 2'!F$25-1)*17,('LTDS 2'!G$25-1)*6+$A$25-1)</f>
        <v>0.82142857142860004</v>
      </c>
      <c r="H28" s="177">
        <f t="shared" ref="H28:AC40" ca="1" si="14">(G28-G$26)/G$26</f>
        <v>6.7720592822297393E-2</v>
      </c>
      <c r="I28" s="168"/>
      <c r="J28" s="169">
        <f ca="1">OFFSET('TQ Qual Tables'!$D5,('LTDS 2'!I$25-1)*17,('LTDS 2'!J$25-1)*6+$A$25-1)</f>
        <v>0.64285714285710005</v>
      </c>
      <c r="K28" s="177">
        <f t="shared" ref="K28" ca="1" si="15">(J28-J$26)/J$26</f>
        <v>2.5800363417479131E-2</v>
      </c>
      <c r="L28" s="168"/>
      <c r="M28" s="169">
        <f ca="1">OFFSET('TQ Qual Tables'!$D5,('LTDS 2'!L$25-1)*17,('LTDS 2'!M$25-1)*6+$A$25-1)</f>
        <v>0.57142857142860004</v>
      </c>
      <c r="N28" s="177">
        <f t="shared" ref="N28" ca="1" si="16">(M28-M$26)/M$26</f>
        <v>-7.8244279123360155E-2</v>
      </c>
      <c r="O28" s="168"/>
      <c r="P28" s="169">
        <f ca="1">OFFSET('TQ Qual Tables'!$D5,('LTDS 2'!O$25-1)*17,('LTDS 2'!P$25-1)*6+$A$25-1)</f>
        <v>0.25</v>
      </c>
      <c r="Q28" s="177">
        <f t="shared" ref="Q28" ca="1" si="17">(P28-P$26)/P$26</f>
        <v>0</v>
      </c>
      <c r="R28" s="168"/>
      <c r="S28" s="169">
        <f ca="1">OFFSET('TQ Qual Tables'!$D5,('LTDS 2'!R$25-1)*17,('LTDS 2'!S$25-1)*6+$A$25-1)</f>
        <v>0.42857142857140001</v>
      </c>
      <c r="T28" s="177">
        <f t="shared" ref="T28" ca="1" si="18">(S28-S$26)/S$26</f>
        <v>-5.9158794181467203E-2</v>
      </c>
      <c r="U28" s="168"/>
      <c r="V28" s="169">
        <f ca="1">OFFSET('TQ Qual Tables'!$D5,('LTDS 2'!U$25-1)*17,('LTDS 2'!V$25-1)*6+$A$25-1)</f>
        <v>0.28571428571430002</v>
      </c>
      <c r="W28" s="177">
        <f t="shared" ref="W28" ca="1" si="19">(V28-V$26)/V$26</f>
        <v>-0.13112133401865947</v>
      </c>
      <c r="X28" s="168"/>
      <c r="Y28" s="169">
        <f ca="1">OFFSET('TQ Qual Tables'!$D5,('LTDS 2'!X$25-1)*17,('LTDS 2'!Y$25-1)*6+$A$25-1)</f>
        <v>0.57142857142860004</v>
      </c>
      <c r="Z28" s="177">
        <f t="shared" ref="Z28" ca="1" si="20">(Y28-Y$26)/Y$26</f>
        <v>4.9493001658541098E-2</v>
      </c>
      <c r="AA28" s="168"/>
      <c r="AB28" s="169">
        <f ca="1">OFFSET('TQ Qual Tables'!$D5,('LTDS 2'!AA$25-1)*17,('LTDS 2'!AB$25-1)*6+$A$25-1)</f>
        <v>0.42857142857140001</v>
      </c>
      <c r="AC28" s="180">
        <f t="shared" ref="AC28" ca="1" si="21">(AB28-AB$26)/AB$26</f>
        <v>-4.1744090862056576E-3</v>
      </c>
    </row>
    <row r="29" spans="1:29" x14ac:dyDescent="0.35">
      <c r="A29" s="224" t="s">
        <v>249</v>
      </c>
      <c r="B29" s="170" t="s">
        <v>250</v>
      </c>
      <c r="C29" s="22"/>
      <c r="D29" s="171">
        <f ca="1">OFFSET('TQ Qual Tables'!$D6,('LTDS 2'!C$25-1)*17,('LTDS 2'!D$25-1)*6+$A$25-1)</f>
        <v>0.5</v>
      </c>
      <c r="E29" s="178">
        <f t="shared" ref="E29:E40" ca="1" si="22">(D29-D$26)/D$26</f>
        <v>0.12881167086463702</v>
      </c>
      <c r="F29" s="22"/>
      <c r="G29" s="171">
        <f ca="1">OFFSET('TQ Qual Tables'!$D6,('LTDS 2'!F$25-1)*17,('LTDS 2'!G$25-1)*6+$A$25-1)</f>
        <v>0.5625</v>
      </c>
      <c r="H29" s="178">
        <f t="shared" ca="1" si="14"/>
        <v>-0.26884350708910443</v>
      </c>
      <c r="I29" s="22"/>
      <c r="J29" s="171">
        <f ca="1">OFFSET('TQ Qual Tables'!$D6,('LTDS 2'!I$25-1)*17,('LTDS 2'!J$25-1)*6+$A$25-1)</f>
        <v>0.5625</v>
      </c>
      <c r="K29" s="178">
        <f t="shared" ca="1" si="14"/>
        <v>-0.102424682009646</v>
      </c>
      <c r="L29" s="22"/>
      <c r="M29" s="171">
        <f ca="1">OFFSET('TQ Qual Tables'!$D6,('LTDS 2'!L$25-1)*17,('LTDS 2'!M$25-1)*6+$A$25-1)</f>
        <v>0.8125</v>
      </c>
      <c r="N29" s="178">
        <f t="shared" ca="1" si="14"/>
        <v>0.31062141562140666</v>
      </c>
      <c r="O29" s="22"/>
      <c r="P29" s="171">
        <f ca="1">OFFSET('TQ Qual Tables'!$D6,('LTDS 2'!O$25-1)*17,('LTDS 2'!P$25-1)*6+$A$25-1)</f>
        <v>0.25</v>
      </c>
      <c r="Q29" s="178">
        <f t="shared" ca="1" si="14"/>
        <v>0</v>
      </c>
      <c r="R29" s="22"/>
      <c r="S29" s="171">
        <f ca="1">OFFSET('TQ Qual Tables'!$D6,('LTDS 2'!R$25-1)*17,('LTDS 2'!S$25-1)*6+$A$25-1)</f>
        <v>0.5625</v>
      </c>
      <c r="T29" s="178">
        <f t="shared" ca="1" si="14"/>
        <v>0.23485408263690657</v>
      </c>
      <c r="U29" s="22"/>
      <c r="V29" s="171">
        <f ca="1">OFFSET('TQ Qual Tables'!$D6,('LTDS 2'!U$25-1)*17,('LTDS 2'!V$25-1)*6+$A$25-1)</f>
        <v>0.5</v>
      </c>
      <c r="W29" s="178">
        <f t="shared" ca="1" si="14"/>
        <v>0.52053766546726976</v>
      </c>
      <c r="X29" s="22"/>
      <c r="Y29" s="171">
        <f ca="1">OFFSET('TQ Qual Tables'!$D6,('LTDS 2'!X$25-1)*17,('LTDS 2'!Y$25-1)*6+$A$25-1)</f>
        <v>0.4375</v>
      </c>
      <c r="Z29" s="178">
        <f t="shared" ca="1" si="14"/>
        <v>-0.19648192060521971</v>
      </c>
      <c r="AA29" s="22"/>
      <c r="AB29" s="171">
        <f ca="1">OFFSET('TQ Qual Tables'!$D6,('LTDS 2'!AA$25-1)*17,('LTDS 2'!AB$25-1)*6+$A$25-1)</f>
        <v>0.4375</v>
      </c>
      <c r="AC29" s="181">
        <f t="shared" ca="1" si="14"/>
        <v>1.6571957391232794E-2</v>
      </c>
    </row>
    <row r="30" spans="1:29" ht="5.25" customHeight="1" x14ac:dyDescent="0.35">
      <c r="A30" s="172"/>
      <c r="B30" s="157"/>
      <c r="G30" s="173"/>
      <c r="H30" s="179"/>
      <c r="J30" s="173"/>
      <c r="K30" s="179"/>
      <c r="M30" s="173"/>
      <c r="N30" s="179"/>
      <c r="P30" s="173"/>
      <c r="Q30" s="179"/>
      <c r="S30" s="173"/>
      <c r="T30" s="179"/>
      <c r="V30" s="173"/>
      <c r="W30" s="179"/>
      <c r="Y30" s="173"/>
      <c r="Z30" s="179"/>
      <c r="AB30" s="173"/>
    </row>
    <row r="31" spans="1:29" x14ac:dyDescent="0.35">
      <c r="A31" s="223" t="s">
        <v>251</v>
      </c>
      <c r="B31" s="167" t="s">
        <v>252</v>
      </c>
      <c r="C31" s="168"/>
      <c r="D31" s="169">
        <f ca="1">OFFSET('TQ Qual Tables'!$D8,('LTDS 2'!C$25-1)*17,('LTDS 2'!D$25-1)*6+$A$25-1)</f>
        <v>0.4</v>
      </c>
      <c r="E31" s="177">
        <f t="shared" ca="1" si="22"/>
        <v>-9.6950663308290344E-2</v>
      </c>
      <c r="F31" s="168"/>
      <c r="G31" s="169">
        <f ca="1">OFFSET('TQ Qual Tables'!$D8,('LTDS 2'!F$25-1)*17,('LTDS 2'!G$25-1)*6+$A$25-1)</f>
        <v>0.75</v>
      </c>
      <c r="H31" s="177">
        <f t="shared" ca="1" si="14"/>
        <v>-2.5124676118805898E-2</v>
      </c>
      <c r="I31" s="168"/>
      <c r="J31" s="169">
        <f ca="1">OFFSET('TQ Qual Tables'!$D8,('LTDS 2'!I$25-1)*17,('LTDS 2'!J$25-1)*6+$A$25-1)</f>
        <v>0.6</v>
      </c>
      <c r="K31" s="177">
        <f t="shared" ca="1" si="14"/>
        <v>-4.258632747695576E-2</v>
      </c>
      <c r="L31" s="168"/>
      <c r="M31" s="169">
        <f ca="1">OFFSET('TQ Qual Tables'!$D8,('LTDS 2'!L$25-1)*17,('LTDS 2'!M$25-1)*6+$A$25-1)</f>
        <v>0.6</v>
      </c>
      <c r="N31" s="177">
        <f t="shared" ca="1" si="14"/>
        <v>-3.2156493079576659E-2</v>
      </c>
      <c r="O31" s="168"/>
      <c r="P31" s="169">
        <f ca="1">OFFSET('TQ Qual Tables'!$D8,('LTDS 2'!O$25-1)*17,('LTDS 2'!P$25-1)*6+$A$25-1)</f>
        <v>0.25</v>
      </c>
      <c r="Q31" s="177">
        <f t="shared" ca="1" si="14"/>
        <v>0</v>
      </c>
      <c r="R31" s="168"/>
      <c r="S31" s="169">
        <f ca="1">OFFSET('TQ Qual Tables'!$D8,('LTDS 2'!R$25-1)*17,('LTDS 2'!S$25-1)*6+$A$25-1)</f>
        <v>0.4</v>
      </c>
      <c r="T31" s="177">
        <f t="shared" ca="1" si="14"/>
        <v>-0.1218815412359775</v>
      </c>
      <c r="U31" s="168"/>
      <c r="V31" s="169">
        <f ca="1">OFFSET('TQ Qual Tables'!$D8,('LTDS 2'!U$25-1)*17,('LTDS 2'!V$25-1)*6+$A$25-1)</f>
        <v>0.55000000000000004</v>
      </c>
      <c r="W31" s="177">
        <f t="shared" ca="1" si="14"/>
        <v>0.67259143201399685</v>
      </c>
      <c r="X31" s="168"/>
      <c r="Y31" s="169">
        <f ca="1">OFFSET('TQ Qual Tables'!$D8,('LTDS 2'!X$25-1)*17,('LTDS 2'!Y$25-1)*6+$A$25-1)</f>
        <v>0.6</v>
      </c>
      <c r="Z31" s="177">
        <f t="shared" ca="1" si="14"/>
        <v>0.10196765174141294</v>
      </c>
      <c r="AA31" s="168"/>
      <c r="AB31" s="169">
        <f ca="1">OFFSET('TQ Qual Tables'!$D8,('LTDS 2'!AA$25-1)*17,('LTDS 2'!AB$25-1)*6+$A$25-1)</f>
        <v>0.4</v>
      </c>
      <c r="AC31" s="180">
        <f t="shared" ca="1" si="14"/>
        <v>-7.0562781813729963E-2</v>
      </c>
    </row>
    <row r="32" spans="1:29" x14ac:dyDescent="0.35">
      <c r="A32" s="224" t="s">
        <v>249</v>
      </c>
      <c r="B32" s="170" t="s">
        <v>253</v>
      </c>
      <c r="C32" s="22"/>
      <c r="D32" s="171">
        <f ca="1">OFFSET('TQ Qual Tables'!$D9,('LTDS 2'!C$25-1)*17,('LTDS 2'!D$25-1)*6+$A$25-1)</f>
        <v>0.5</v>
      </c>
      <c r="E32" s="178">
        <f t="shared" ca="1" si="22"/>
        <v>0.12881167086463702</v>
      </c>
      <c r="F32" s="22"/>
      <c r="G32" s="171">
        <f ca="1">OFFSET('TQ Qual Tables'!$D9,('LTDS 2'!F$25-1)*17,('LTDS 2'!G$25-1)*6+$A$25-1)</f>
        <v>0.70833333333329995</v>
      </c>
      <c r="H32" s="178">
        <f t="shared" ca="1" si="14"/>
        <v>-7.9284416334471183E-2</v>
      </c>
      <c r="I32" s="22"/>
      <c r="J32" s="171">
        <f ca="1">OFFSET('TQ Qual Tables'!$D9,('LTDS 2'!I$25-1)*17,('LTDS 2'!J$25-1)*6+$A$25-1)</f>
        <v>0.625</v>
      </c>
      <c r="K32" s="178">
        <f t="shared" ca="1" si="14"/>
        <v>-2.6940911218288812E-3</v>
      </c>
      <c r="L32" s="22"/>
      <c r="M32" s="171">
        <f ca="1">OFFSET('TQ Qual Tables'!$D9,('LTDS 2'!L$25-1)*17,('LTDS 2'!M$25-1)*6+$A$25-1)</f>
        <v>0.70833333333329995</v>
      </c>
      <c r="N32" s="178">
        <f t="shared" ca="1" si="14"/>
        <v>0.14259302900322376</v>
      </c>
      <c r="O32" s="22"/>
      <c r="P32" s="171">
        <f ca="1">OFFSET('TQ Qual Tables'!$D9,('LTDS 2'!O$25-1)*17,('LTDS 2'!P$25-1)*6+$A$25-1)</f>
        <v>0.25</v>
      </c>
      <c r="Q32" s="178">
        <f t="shared" ca="1" si="14"/>
        <v>0</v>
      </c>
      <c r="R32" s="22"/>
      <c r="S32" s="171">
        <f ca="1">OFFSET('TQ Qual Tables'!$D9,('LTDS 2'!R$25-1)*17,('LTDS 2'!S$25-1)*6+$A$25-1)</f>
        <v>0.54166666666670005</v>
      </c>
      <c r="T32" s="178">
        <f t="shared" ca="1" si="14"/>
        <v>0.18911874624302036</v>
      </c>
      <c r="U32" s="22"/>
      <c r="V32" s="171">
        <f ca="1">OFFSET('TQ Qual Tables'!$D9,('LTDS 2'!U$25-1)*17,('LTDS 2'!V$25-1)*6+$A$25-1)</f>
        <v>0.20833333333330001</v>
      </c>
      <c r="W32" s="178">
        <f t="shared" ca="1" si="14"/>
        <v>-0.36644263938873894</v>
      </c>
      <c r="X32" s="22"/>
      <c r="Y32" s="171">
        <f ca="1">OFFSET('TQ Qual Tables'!$D9,('LTDS 2'!X$25-1)*17,('LTDS 2'!Y$25-1)*6+$A$25-1)</f>
        <v>0.45833333333330001</v>
      </c>
      <c r="Z32" s="178">
        <f t="shared" ca="1" si="14"/>
        <v>-0.15821915491981517</v>
      </c>
      <c r="AA32" s="22"/>
      <c r="AB32" s="171">
        <f ca="1">OFFSET('TQ Qual Tables'!$D9,('LTDS 2'!AA$25-1)*17,('LTDS 2'!AB$25-1)*6+$A$25-1)</f>
        <v>0.45833333333330001</v>
      </c>
      <c r="AC32" s="181">
        <f t="shared" ca="1" si="14"/>
        <v>6.4980145838356915E-2</v>
      </c>
    </row>
    <row r="33" spans="1:29" ht="5.25" customHeight="1" x14ac:dyDescent="0.35">
      <c r="A33" s="172"/>
      <c r="B33" s="157"/>
      <c r="G33" s="173"/>
      <c r="H33" s="179"/>
      <c r="J33" s="173"/>
      <c r="K33" s="179"/>
      <c r="M33" s="173"/>
      <c r="N33" s="179"/>
      <c r="P33" s="173"/>
      <c r="Q33" s="179"/>
      <c r="S33" s="173"/>
      <c r="T33" s="179"/>
      <c r="V33" s="173"/>
      <c r="W33" s="179"/>
      <c r="Y33" s="173"/>
      <c r="Z33" s="179"/>
      <c r="AB33" s="173"/>
    </row>
    <row r="34" spans="1:29" x14ac:dyDescent="0.35">
      <c r="A34" s="223" t="s">
        <v>254</v>
      </c>
      <c r="B34" s="167" t="s">
        <v>255</v>
      </c>
      <c r="C34" s="168"/>
      <c r="D34" s="169">
        <f ca="1">OFFSET('TQ Qual Tables'!$D11,('LTDS 2'!C$25-1)*17,('LTDS 2'!D$25-1)*6+$A$25-1)</f>
        <v>1</v>
      </c>
      <c r="E34" s="177">
        <f t="shared" ca="1" si="22"/>
        <v>1.2576233417292739</v>
      </c>
      <c r="F34" s="168"/>
      <c r="G34" s="169">
        <f ca="1">OFFSET('TQ Qual Tables'!$D11,('LTDS 2'!F$25-1)*17,('LTDS 2'!G$25-1)*6+$A$25-1)</f>
        <v>0.6</v>
      </c>
      <c r="H34" s="177">
        <f t="shared" ca="1" si="14"/>
        <v>-0.22009974089504475</v>
      </c>
      <c r="I34" s="168"/>
      <c r="J34" s="169">
        <f ca="1">OFFSET('TQ Qual Tables'!$D11,('LTDS 2'!I$25-1)*17,('LTDS 2'!J$25-1)*6+$A$25-1)</f>
        <v>1</v>
      </c>
      <c r="K34" s="177">
        <f t="shared" ca="1" si="14"/>
        <v>0.5956894542050738</v>
      </c>
      <c r="L34" s="168"/>
      <c r="M34" s="169">
        <f ca="1">OFFSET('TQ Qual Tables'!$D11,('LTDS 2'!L$25-1)*17,('LTDS 2'!M$25-1)*6+$A$25-1)</f>
        <v>0.6</v>
      </c>
      <c r="N34" s="177">
        <f t="shared" ca="1" si="14"/>
        <v>-3.2156493079576659E-2</v>
      </c>
      <c r="O34" s="168"/>
      <c r="P34" s="169">
        <f ca="1">OFFSET('TQ Qual Tables'!$D11,('LTDS 2'!O$25-1)*17,('LTDS 2'!P$25-1)*6+$A$25-1)</f>
        <v>0.2</v>
      </c>
      <c r="Q34" s="177">
        <f t="shared" ca="1" si="14"/>
        <v>-0.19999999999999996</v>
      </c>
      <c r="R34" s="168"/>
      <c r="S34" s="169">
        <f ca="1">OFFSET('TQ Qual Tables'!$D11,('LTDS 2'!R$25-1)*17,('LTDS 2'!S$25-1)*6+$A$25-1)</f>
        <v>0.2</v>
      </c>
      <c r="T34" s="177">
        <f t="shared" ca="1" si="14"/>
        <v>-0.56094077061798875</v>
      </c>
      <c r="U34" s="168"/>
      <c r="V34" s="169">
        <f ca="1">OFFSET('TQ Qual Tables'!$D11,('LTDS 2'!U$25-1)*17,('LTDS 2'!V$25-1)*6+$A$25-1)</f>
        <v>0.2</v>
      </c>
      <c r="W34" s="177">
        <f t="shared" ca="1" si="14"/>
        <v>-0.39178493381309204</v>
      </c>
      <c r="X34" s="168"/>
      <c r="Y34" s="169">
        <f ca="1">OFFSET('TQ Qual Tables'!$D11,('LTDS 2'!X$25-1)*17,('LTDS 2'!Y$25-1)*6+$A$25-1)</f>
        <v>0.4</v>
      </c>
      <c r="Z34" s="177">
        <f t="shared" ca="1" si="14"/>
        <v>-0.265354898839058</v>
      </c>
      <c r="AA34" s="168"/>
      <c r="AB34" s="169">
        <f ca="1">OFFSET('TQ Qual Tables'!$D11,('LTDS 2'!AA$25-1)*17,('LTDS 2'!AB$25-1)*6+$A$25-1)</f>
        <v>0.6</v>
      </c>
      <c r="AC34" s="180">
        <f t="shared" ca="1" si="14"/>
        <v>0.3941558272794049</v>
      </c>
    </row>
    <row r="35" spans="1:29" x14ac:dyDescent="0.35">
      <c r="A35" s="225" t="s">
        <v>249</v>
      </c>
      <c r="B35" s="157" t="s">
        <v>256</v>
      </c>
      <c r="D35" s="173">
        <f ca="1">OFFSET('TQ Qual Tables'!$D12,('LTDS 2'!C$25-1)*17,('LTDS 2'!D$25-1)*6+$A$25-1)</f>
        <v>0.31578947368420002</v>
      </c>
      <c r="E35" s="179">
        <f t="shared" ca="1" si="22"/>
        <v>-0.28706631313814773</v>
      </c>
      <c r="G35" s="173">
        <f ca="1">OFFSET('TQ Qual Tables'!$D12,('LTDS 2'!F$25-1)*17,('LTDS 2'!G$25-1)*6+$A$25-1)</f>
        <v>0.78947368421050002</v>
      </c>
      <c r="H35" s="179">
        <f t="shared" ca="1" si="14"/>
        <v>2.6184551453854343E-2</v>
      </c>
      <c r="J35" s="173">
        <f ca="1">OFFSET('TQ Qual Tables'!$D12,('LTDS 2'!I$25-1)*17,('LTDS 2'!J$25-1)*6+$A$25-1)</f>
        <v>0.36842105263160002</v>
      </c>
      <c r="K35" s="179">
        <f t="shared" ca="1" si="14"/>
        <v>-0.41211441160862339</v>
      </c>
      <c r="M35" s="173">
        <f ca="1">OFFSET('TQ Qual Tables'!$D12,('LTDS 2'!L$25-1)*17,('LTDS 2'!M$25-1)*6+$A$25-1)</f>
        <v>0.68421052631580004</v>
      </c>
      <c r="N35" s="179">
        <f t="shared" ca="1" si="14"/>
        <v>0.10368119210225422</v>
      </c>
      <c r="P35" s="173">
        <f ca="1">OFFSET('TQ Qual Tables'!$D12,('LTDS 2'!O$25-1)*17,('LTDS 2'!P$25-1)*6+$A$25-1)</f>
        <v>0.26315789473680001</v>
      </c>
      <c r="Q35" s="179">
        <f t="shared" ca="1" si="14"/>
        <v>5.2631578947200053E-2</v>
      </c>
      <c r="S35" s="173">
        <f ca="1">OFFSET('TQ Qual Tables'!$D12,('LTDS 2'!R$25-1)*17,('LTDS 2'!S$25-1)*6+$A$25-1)</f>
        <v>0.4736842105263</v>
      </c>
      <c r="T35" s="179">
        <f t="shared" ca="1" si="14"/>
        <v>3.9877122220518244E-2</v>
      </c>
      <c r="V35" s="173">
        <f ca="1">OFFSET('TQ Qual Tables'!$D12,('LTDS 2'!U$25-1)*17,('LTDS 2'!V$25-1)*6+$A$25-1)</f>
        <v>0.36842105263160002</v>
      </c>
      <c r="W35" s="179">
        <f t="shared" ca="1" si="14"/>
        <v>0.12039617455489446</v>
      </c>
      <c r="Y35" s="173">
        <f ca="1">OFFSET('TQ Qual Tables'!$D12,('LTDS 2'!X$25-1)*17,('LTDS 2'!Y$25-1)*6+$A$25-1)</f>
        <v>0.4736842105263</v>
      </c>
      <c r="Z35" s="179">
        <f t="shared" ca="1" si="14"/>
        <v>-0.13002553809891348</v>
      </c>
      <c r="AB35" s="173">
        <f ca="1">OFFSET('TQ Qual Tables'!$D12,('LTDS 2'!AA$25-1)*17,('LTDS 2'!AB$25-1)*6+$A$25-1)</f>
        <v>0.31578947368420002</v>
      </c>
      <c r="AC35" s="182">
        <f t="shared" ca="1" si="14"/>
        <v>-0.26623377511612706</v>
      </c>
    </row>
    <row r="36" spans="1:29" x14ac:dyDescent="0.35">
      <c r="A36" s="225" t="s">
        <v>249</v>
      </c>
      <c r="B36" s="157" t="s">
        <v>257</v>
      </c>
      <c r="D36" s="173">
        <f ca="1">OFFSET('TQ Qual Tables'!$D13,('LTDS 2'!C$25-1)*17,('LTDS 2'!D$25-1)*6+$A$25-1)</f>
        <v>0.5</v>
      </c>
      <c r="E36" s="179">
        <f t="shared" ca="1" si="22"/>
        <v>0.12881167086463702</v>
      </c>
      <c r="G36" s="173">
        <f ca="1">OFFSET('TQ Qual Tables'!$D13,('LTDS 2'!F$25-1)*17,('LTDS 2'!G$25-1)*6+$A$25-1)</f>
        <v>0.8</v>
      </c>
      <c r="H36" s="179">
        <f t="shared" ca="1" si="14"/>
        <v>3.9867012139940435E-2</v>
      </c>
      <c r="J36" s="173">
        <f ca="1">OFFSET('TQ Qual Tables'!$D13,('LTDS 2'!I$25-1)*17,('LTDS 2'!J$25-1)*6+$A$25-1)</f>
        <v>0.9</v>
      </c>
      <c r="K36" s="179">
        <f t="shared" ca="1" si="14"/>
        <v>0.43612050878456643</v>
      </c>
      <c r="M36" s="173">
        <f ca="1">OFFSET('TQ Qual Tables'!$D13,('LTDS 2'!L$25-1)*17,('LTDS 2'!M$25-1)*6+$A$25-1)</f>
        <v>0.7</v>
      </c>
      <c r="N36" s="179">
        <f t="shared" ca="1" si="14"/>
        <v>0.1291507580738272</v>
      </c>
      <c r="P36" s="173">
        <f ca="1">OFFSET('TQ Qual Tables'!$D13,('LTDS 2'!O$25-1)*17,('LTDS 2'!P$25-1)*6+$A$25-1)</f>
        <v>0.3</v>
      </c>
      <c r="Q36" s="179">
        <f t="shared" ca="1" si="14"/>
        <v>0.19999999999999996</v>
      </c>
      <c r="S36" s="173">
        <f ca="1">OFFSET('TQ Qual Tables'!$D13,('LTDS 2'!R$25-1)*17,('LTDS 2'!S$25-1)*6+$A$25-1)</f>
        <v>0.8</v>
      </c>
      <c r="T36" s="179">
        <f t="shared" ca="1" si="14"/>
        <v>0.75623691752804501</v>
      </c>
      <c r="V36" s="173">
        <f ca="1">OFFSET('TQ Qual Tables'!$D13,('LTDS 2'!U$25-1)*17,('LTDS 2'!V$25-1)*6+$A$25-1)</f>
        <v>0.4</v>
      </c>
      <c r="W36" s="179">
        <f t="shared" ca="1" si="14"/>
        <v>0.21643013237381589</v>
      </c>
      <c r="Y36" s="173">
        <f ca="1">OFFSET('TQ Qual Tables'!$D13,('LTDS 2'!X$25-1)*17,('LTDS 2'!Y$25-1)*6+$A$25-1)</f>
        <v>0.9</v>
      </c>
      <c r="Z36" s="179">
        <f t="shared" ca="1" si="14"/>
        <v>0.65295147761211947</v>
      </c>
      <c r="AB36" s="173">
        <f ca="1">OFFSET('TQ Qual Tables'!$D13,('LTDS 2'!AA$25-1)*17,('LTDS 2'!AB$25-1)*6+$A$25-1)</f>
        <v>0.6</v>
      </c>
      <c r="AC36" s="182">
        <f t="shared" ca="1" si="14"/>
        <v>0.3941558272794049</v>
      </c>
    </row>
    <row r="37" spans="1:29" x14ac:dyDescent="0.35">
      <c r="A37" s="225" t="s">
        <v>249</v>
      </c>
      <c r="B37" s="157" t="s">
        <v>258</v>
      </c>
      <c r="D37" s="173">
        <f ca="1">OFFSET('TQ Qual Tables'!$D14,('LTDS 2'!C$25-1)*17,('LTDS 2'!D$25-1)*6+$A$25-1)</f>
        <v>0.37931034482760001</v>
      </c>
      <c r="E37" s="179">
        <f t="shared" ca="1" si="22"/>
        <v>-0.14366011175783042</v>
      </c>
      <c r="G37" s="173">
        <f ca="1">OFFSET('TQ Qual Tables'!$D14,('LTDS 2'!F$25-1)*17,('LTDS 2'!G$25-1)*6+$A$25-1)</f>
        <v>0.79310344827589996</v>
      </c>
      <c r="H37" s="179">
        <f t="shared" ca="1" si="14"/>
        <v>3.0902641345679795E-2</v>
      </c>
      <c r="J37" s="173">
        <f ca="1">OFFSET('TQ Qual Tables'!$D14,('LTDS 2'!I$25-1)*17,('LTDS 2'!J$25-1)*6+$A$25-1)</f>
        <v>0.55172413793099995</v>
      </c>
      <c r="K37" s="179">
        <f t="shared" ca="1" si="14"/>
        <v>-0.11961961147311785</v>
      </c>
      <c r="M37" s="173">
        <f ca="1">OFFSET('TQ Qual Tables'!$D14,('LTDS 2'!L$25-1)*17,('LTDS 2'!M$25-1)*6+$A$25-1)</f>
        <v>0.68965517241380003</v>
      </c>
      <c r="N37" s="179">
        <f t="shared" ca="1" si="14"/>
        <v>0.11246380105796909</v>
      </c>
      <c r="P37" s="173">
        <f ca="1">OFFSET('TQ Qual Tables'!$D14,('LTDS 2'!O$25-1)*17,('LTDS 2'!P$25-1)*6+$A$25-1)</f>
        <v>0.27586206896549997</v>
      </c>
      <c r="Q37" s="179">
        <f t="shared" ca="1" si="14"/>
        <v>0.10344827586199989</v>
      </c>
      <c r="S37" s="173">
        <f ca="1">OFFSET('TQ Qual Tables'!$D14,('LTDS 2'!R$25-1)*17,('LTDS 2'!S$25-1)*6+$A$25-1)</f>
        <v>0.5862068965517</v>
      </c>
      <c r="T37" s="179">
        <f t="shared" ca="1" si="14"/>
        <v>0.28689774129204887</v>
      </c>
      <c r="V37" s="173">
        <f ca="1">OFFSET('TQ Qual Tables'!$D14,('LTDS 2'!U$25-1)*17,('LTDS 2'!V$25-1)*6+$A$25-1)</f>
        <v>0.37931034482760001</v>
      </c>
      <c r="W37" s="179">
        <f t="shared" ca="1" si="14"/>
        <v>0.15351133242348802</v>
      </c>
      <c r="Y37" s="173">
        <f ca="1">OFFSET('TQ Qual Tables'!$D14,('LTDS 2'!X$25-1)*17,('LTDS 2'!Y$25-1)*6+$A$25-1)</f>
        <v>0.62068965517240005</v>
      </c>
      <c r="Z37" s="179">
        <f t="shared" ca="1" si="14"/>
        <v>0.13996653628419506</v>
      </c>
      <c r="AB37" s="173">
        <f ca="1">OFFSET('TQ Qual Tables'!$D14,('LTDS 2'!AA$25-1)*17,('LTDS 2'!AB$25-1)*6+$A$25-1)</f>
        <v>0.4137931034483</v>
      </c>
      <c r="AC37" s="182">
        <f t="shared" ca="1" si="14"/>
        <v>-3.8513222565871509E-2</v>
      </c>
    </row>
    <row r="38" spans="1:29" x14ac:dyDescent="0.35">
      <c r="A38" s="225" t="s">
        <v>249</v>
      </c>
      <c r="B38" s="157" t="s">
        <v>259</v>
      </c>
      <c r="D38" s="173">
        <f ca="1">OFFSET('TQ Qual Tables'!$D15,('LTDS 2'!C$25-1)*17,('LTDS 2'!D$25-1)*6+$A$25-1)</f>
        <v>0.47058823529409999</v>
      </c>
      <c r="E38" s="179">
        <f t="shared" ca="1" si="22"/>
        <v>6.2410984343147909E-2</v>
      </c>
      <c r="G38" s="173">
        <f ca="1">OFFSET('TQ Qual Tables'!$D15,('LTDS 2'!F$25-1)*17,('LTDS 2'!G$25-1)*6+$A$25-1)</f>
        <v>0.76470588235290005</v>
      </c>
      <c r="H38" s="179">
        <f t="shared" ca="1" si="14"/>
        <v>-6.0094736898163399E-3</v>
      </c>
      <c r="J38" s="173">
        <f ca="1">OFFSET('TQ Qual Tables'!$D15,('LTDS 2'!I$25-1)*17,('LTDS 2'!J$25-1)*6+$A$25-1)</f>
        <v>0.61764705882350002</v>
      </c>
      <c r="K38" s="179">
        <f t="shared" ca="1" si="14"/>
        <v>-1.4427101814560153E-2</v>
      </c>
      <c r="M38" s="173">
        <f ca="1">OFFSET('TQ Qual Tables'!$D15,('LTDS 2'!L$25-1)*17,('LTDS 2'!M$25-1)*6+$A$25-1)</f>
        <v>0.67647058823530004</v>
      </c>
      <c r="N38" s="179">
        <f t="shared" ca="1" si="14"/>
        <v>9.1196110743624145E-2</v>
      </c>
      <c r="P38" s="173">
        <f ca="1">OFFSET('TQ Qual Tables'!$D15,('LTDS 2'!O$25-1)*17,('LTDS 2'!P$25-1)*6+$A$25-1)</f>
        <v>0.26470588235289999</v>
      </c>
      <c r="Q38" s="179">
        <f t="shared" ca="1" si="14"/>
        <v>5.8823529411599962E-2</v>
      </c>
      <c r="S38" s="173">
        <f ca="1">OFFSET('TQ Qual Tables'!$D15,('LTDS 2'!R$25-1)*17,('LTDS 2'!S$25-1)*6+$A$25-1)</f>
        <v>0.52941176470590001</v>
      </c>
      <c r="T38" s="179">
        <f t="shared" ca="1" si="14"/>
        <v>0.16221560718771555</v>
      </c>
      <c r="V38" s="173">
        <f ca="1">OFFSET('TQ Qual Tables'!$D15,('LTDS 2'!U$25-1)*17,('LTDS 2'!V$25-1)*6+$A$25-1)</f>
        <v>0.35294117647060003</v>
      </c>
      <c r="W38" s="179">
        <f t="shared" ca="1" si="14"/>
        <v>7.3320705035755704E-2</v>
      </c>
      <c r="Y38" s="173">
        <f ca="1">OFFSET('TQ Qual Tables'!$D15,('LTDS 2'!X$25-1)*17,('LTDS 2'!Y$25-1)*6+$A$25-1)</f>
        <v>0.5882352941176</v>
      </c>
      <c r="Z38" s="179">
        <f t="shared" ca="1" si="14"/>
        <v>8.0360442883651795E-2</v>
      </c>
      <c r="AB38" s="173">
        <f ca="1">OFFSET('TQ Qual Tables'!$D15,('LTDS 2'!AA$25-1)*17,('LTDS 2'!AB$25-1)*6+$A$25-1)</f>
        <v>0.44117647058819998</v>
      </c>
      <c r="AC38" s="182">
        <f t="shared" ca="1" si="14"/>
        <v>2.5114578881833358E-2</v>
      </c>
    </row>
    <row r="39" spans="1:29" x14ac:dyDescent="0.35">
      <c r="A39" s="225" t="s">
        <v>249</v>
      </c>
      <c r="B39" s="157" t="s">
        <v>195</v>
      </c>
      <c r="D39" s="173">
        <f ca="1">OFFSET('TQ Qual Tables'!$D16,('LTDS 2'!C$25-1)*17,('LTDS 2'!D$25-1)*6+$A$25-1)</f>
        <v>0.4</v>
      </c>
      <c r="E39" s="179">
        <f t="shared" ca="1" si="22"/>
        <v>-9.6950663308290344E-2</v>
      </c>
      <c r="G39" s="173">
        <f ca="1">OFFSET('TQ Qual Tables'!$D16,('LTDS 2'!F$25-1)*17,('LTDS 2'!G$25-1)*6+$A$25-1)</f>
        <v>0.6</v>
      </c>
      <c r="H39" s="179">
        <f t="shared" ca="1" si="14"/>
        <v>-0.22009974089504475</v>
      </c>
      <c r="J39" s="173">
        <f ca="1">OFFSET('TQ Qual Tables'!$D16,('LTDS 2'!I$25-1)*17,('LTDS 2'!J$25-1)*6+$A$25-1)</f>
        <v>0.6</v>
      </c>
      <c r="K39" s="179">
        <f t="shared" ca="1" si="14"/>
        <v>-4.258632747695576E-2</v>
      </c>
      <c r="M39" s="173">
        <f ca="1">OFFSET('TQ Qual Tables'!$D16,('LTDS 2'!L$25-1)*17,('LTDS 2'!M$25-1)*6+$A$25-1)</f>
        <v>0.6</v>
      </c>
      <c r="N39" s="179">
        <f t="shared" ca="1" si="14"/>
        <v>-3.2156493079576659E-2</v>
      </c>
      <c r="P39" s="173">
        <f ca="1">OFFSET('TQ Qual Tables'!$D16,('LTDS 2'!O$25-1)*17,('LTDS 2'!P$25-1)*6+$A$25-1)</f>
        <v>0.2</v>
      </c>
      <c r="Q39" s="179">
        <f t="shared" ca="1" si="14"/>
        <v>-0.19999999999999996</v>
      </c>
      <c r="S39" s="173">
        <f ca="1">OFFSET('TQ Qual Tables'!$D16,('LTDS 2'!R$25-1)*17,('LTDS 2'!S$25-1)*6+$A$25-1)</f>
        <v>0.3</v>
      </c>
      <c r="T39" s="179">
        <f t="shared" ca="1" si="14"/>
        <v>-0.34141115592698318</v>
      </c>
      <c r="V39" s="173">
        <f ca="1">OFFSET('TQ Qual Tables'!$D16,('LTDS 2'!U$25-1)*17,('LTDS 2'!V$25-1)*6+$A$25-1)</f>
        <v>0.4</v>
      </c>
      <c r="W39" s="179">
        <f t="shared" ca="1" si="14"/>
        <v>0.21643013237381589</v>
      </c>
      <c r="Y39" s="173">
        <f ca="1">OFFSET('TQ Qual Tables'!$D16,('LTDS 2'!X$25-1)*17,('LTDS 2'!Y$25-1)*6+$A$25-1)</f>
        <v>0.3</v>
      </c>
      <c r="Z39" s="179">
        <f t="shared" ca="1" si="14"/>
        <v>-0.44901617412929351</v>
      </c>
      <c r="AB39" s="173">
        <f ca="1">OFFSET('TQ Qual Tables'!$D16,('LTDS 2'!AA$25-1)*17,('LTDS 2'!AB$25-1)*6+$A$25-1)</f>
        <v>0.4</v>
      </c>
      <c r="AC39" s="182">
        <f t="shared" ca="1" si="14"/>
        <v>-7.0562781813729963E-2</v>
      </c>
    </row>
    <row r="40" spans="1:29" x14ac:dyDescent="0.35">
      <c r="A40" s="224" t="s">
        <v>249</v>
      </c>
      <c r="B40" s="170" t="s">
        <v>260</v>
      </c>
      <c r="C40" s="22"/>
      <c r="D40" s="171">
        <f ca="1">OFFSET('TQ Qual Tables'!$D17,('LTDS 2'!C$25-1)*17,('LTDS 2'!D$25-1)*6+$A$25-1)</f>
        <v>0.45454545454549999</v>
      </c>
      <c r="E40" s="178">
        <f t="shared" ca="1" si="22"/>
        <v>2.6192428058863525E-2</v>
      </c>
      <c r="F40" s="22"/>
      <c r="G40" s="171">
        <f ca="1">OFFSET('TQ Qual Tables'!$D17,('LTDS 2'!F$25-1)*17,('LTDS 2'!G$25-1)*6+$A$25-1)</f>
        <v>0.72727272727269998</v>
      </c>
      <c r="H40" s="178">
        <f t="shared" ca="1" si="14"/>
        <v>-5.4666352600089681E-2</v>
      </c>
      <c r="I40" s="22"/>
      <c r="J40" s="171">
        <f ca="1">OFFSET('TQ Qual Tables'!$D17,('LTDS 2'!I$25-1)*17,('LTDS 2'!J$25-1)*6+$A$25-1)</f>
        <v>0.61363636363639995</v>
      </c>
      <c r="K40" s="178">
        <f t="shared" ca="1" si="14"/>
        <v>-2.0826925828646772E-2</v>
      </c>
      <c r="L40" s="22"/>
      <c r="M40" s="171">
        <f ca="1">OFFSET('TQ Qual Tables'!$D17,('LTDS 2'!L$25-1)*17,('LTDS 2'!M$25-1)*6+$A$25-1)</f>
        <v>0.65909090909089996</v>
      </c>
      <c r="N40" s="178">
        <f t="shared" ca="1" si="14"/>
        <v>6.3161428056510954E-2</v>
      </c>
      <c r="O40" s="22"/>
      <c r="P40" s="171">
        <f ca="1">OFFSET('TQ Qual Tables'!$D17,('LTDS 2'!O$25-1)*17,('LTDS 2'!P$25-1)*6+$A$25-1)</f>
        <v>0.25</v>
      </c>
      <c r="Q40" s="178">
        <f t="shared" ca="1" si="14"/>
        <v>0</v>
      </c>
      <c r="R40" s="22"/>
      <c r="S40" s="171">
        <f ca="1">OFFSET('TQ Qual Tables'!$D17,('LTDS 2'!R$25-1)*17,('LTDS 2'!S$25-1)*6+$A$25-1)</f>
        <v>0.47727272727269998</v>
      </c>
      <c r="T40" s="178">
        <f t="shared" ca="1" si="14"/>
        <v>4.7754979207012341E-2</v>
      </c>
      <c r="U40" s="22"/>
      <c r="V40" s="171">
        <f ca="1">OFFSET('TQ Qual Tables'!$D17,('LTDS 2'!U$25-1)*17,('LTDS 2'!V$25-1)*6+$A$25-1)</f>
        <v>0.36363636363640001</v>
      </c>
      <c r="W40" s="178">
        <f t="shared" ca="1" si="14"/>
        <v>0.10584557488539771</v>
      </c>
      <c r="X40" s="22"/>
      <c r="Y40" s="171">
        <f ca="1">OFFSET('TQ Qual Tables'!$D17,('LTDS 2'!X$25-1)*17,('LTDS 2'!Y$25-1)*6+$A$25-1)</f>
        <v>0.52272727272730002</v>
      </c>
      <c r="Z40" s="178">
        <f t="shared" ca="1" si="14"/>
        <v>-3.9952424619173421E-2</v>
      </c>
      <c r="AA40" s="22"/>
      <c r="AB40" s="171">
        <f ca="1">OFFSET('TQ Qual Tables'!$D17,('LTDS 2'!AA$25-1)*17,('LTDS 2'!AB$25-1)*6+$A$25-1)</f>
        <v>0.43181818181819998</v>
      </c>
      <c r="AC40" s="181">
        <f t="shared" ca="1" si="14"/>
        <v>3.3697241784018304E-3</v>
      </c>
    </row>
  </sheetData>
  <mergeCells count="22">
    <mergeCell ref="AA3:AC3"/>
    <mergeCell ref="C3:E3"/>
    <mergeCell ref="F3:H3"/>
    <mergeCell ref="I3:K3"/>
    <mergeCell ref="L3:N3"/>
    <mergeCell ref="R3:T3"/>
    <mergeCell ref="U3:W3"/>
    <mergeCell ref="X3:Z3"/>
    <mergeCell ref="A31:A32"/>
    <mergeCell ref="A34:A40"/>
    <mergeCell ref="A26:B26"/>
    <mergeCell ref="O3:Q3"/>
    <mergeCell ref="C13:E13"/>
    <mergeCell ref="F13:H13"/>
    <mergeCell ref="I13:K13"/>
    <mergeCell ref="L13:N13"/>
    <mergeCell ref="O13:Q13"/>
    <mergeCell ref="U13:W13"/>
    <mergeCell ref="X13:Z13"/>
    <mergeCell ref="AA13:AC13"/>
    <mergeCell ref="R13:T13"/>
    <mergeCell ref="A28:A29"/>
  </mergeCells>
  <conditionalFormatting sqref="C26:AB27 C28:D29 F28:G40 I28:J40 L28:M40 O28:P40 R28:S40 U28:V40 X28:Y40 AA28:AB40 C31:D32 C30:E30 C34:D40 C33:E33">
    <cfRule type="colorScale" priority="30">
      <colorScale>
        <cfvo type="min"/>
        <cfvo type="percentile" val="50"/>
        <cfvo type="max"/>
        <color theme="5" tint="0.39997558519241921"/>
        <color theme="0"/>
        <color theme="9" tint="0.39997558519241921"/>
      </colorScale>
    </cfRule>
  </conditionalFormatting>
  <conditionalFormatting sqref="E28:E29 E31:E32 E34:E40">
    <cfRule type="colorScale" priority="9">
      <colorScale>
        <cfvo type="min"/>
        <cfvo type="percentile" val="50"/>
        <cfvo type="max"/>
        <color rgb="FFF6958E"/>
        <color theme="0"/>
        <color theme="8" tint="0.59999389629810485"/>
      </colorScale>
    </cfRule>
  </conditionalFormatting>
  <conditionalFormatting sqref="H28:H40">
    <cfRule type="colorScale" priority="8">
      <colorScale>
        <cfvo type="min"/>
        <cfvo type="percentile" val="50"/>
        <cfvo type="max"/>
        <color rgb="FFF6958E"/>
        <color theme="0"/>
        <color theme="8" tint="0.59999389629810485"/>
      </colorScale>
    </cfRule>
  </conditionalFormatting>
  <conditionalFormatting sqref="K28:K40">
    <cfRule type="colorScale" priority="7">
      <colorScale>
        <cfvo type="min"/>
        <cfvo type="percentile" val="50"/>
        <cfvo type="max"/>
        <color rgb="FFF6958E"/>
        <color theme="0"/>
        <color theme="8" tint="0.59999389629810485"/>
      </colorScale>
    </cfRule>
  </conditionalFormatting>
  <conditionalFormatting sqref="N28:N40">
    <cfRule type="colorScale" priority="6">
      <colorScale>
        <cfvo type="min"/>
        <cfvo type="percentile" val="50"/>
        <cfvo type="max"/>
        <color rgb="FFF6958E"/>
        <color theme="0"/>
        <color theme="8" tint="0.59999389629810485"/>
      </colorScale>
    </cfRule>
  </conditionalFormatting>
  <conditionalFormatting sqref="Q28:Q40">
    <cfRule type="colorScale" priority="5">
      <colorScale>
        <cfvo type="min"/>
        <cfvo type="percentile" val="50"/>
        <cfvo type="max"/>
        <color rgb="FFF6958E"/>
        <color theme="0"/>
        <color theme="8" tint="0.59999389629810485"/>
      </colorScale>
    </cfRule>
  </conditionalFormatting>
  <conditionalFormatting sqref="T28:T40">
    <cfRule type="colorScale" priority="4">
      <colorScale>
        <cfvo type="min"/>
        <cfvo type="percentile" val="50"/>
        <cfvo type="max"/>
        <color rgb="FFF6958E"/>
        <color theme="0"/>
        <color theme="8" tint="0.59999389629810485"/>
      </colorScale>
    </cfRule>
  </conditionalFormatting>
  <conditionalFormatting sqref="W28:W40">
    <cfRule type="colorScale" priority="3">
      <colorScale>
        <cfvo type="min"/>
        <cfvo type="percentile" val="50"/>
        <cfvo type="max"/>
        <color rgb="FFF6958E"/>
        <color theme="0"/>
        <color theme="8" tint="0.59999389629810485"/>
      </colorScale>
    </cfRule>
  </conditionalFormatting>
  <conditionalFormatting sqref="Z28:Z40">
    <cfRule type="colorScale" priority="2">
      <colorScale>
        <cfvo type="min"/>
        <cfvo type="percentile" val="50"/>
        <cfvo type="max"/>
        <color rgb="FFF6958E"/>
        <color theme="0"/>
        <color theme="8" tint="0.59999389629810485"/>
      </colorScale>
    </cfRule>
  </conditionalFormatting>
  <conditionalFormatting sqref="AC26">
    <cfRule type="colorScale" priority="10">
      <colorScale>
        <cfvo type="min"/>
        <cfvo type="percentile" val="50"/>
        <cfvo type="max"/>
        <color theme="5" tint="0.39997558519241921"/>
        <color theme="0"/>
        <color theme="9" tint="0.39997558519241921"/>
      </colorScale>
    </cfRule>
  </conditionalFormatting>
  <conditionalFormatting sqref="AC28:AC29 AC31:AC32 AC34:AC40">
    <cfRule type="colorScale" priority="1">
      <colorScale>
        <cfvo type="min"/>
        <cfvo type="percentile" val="50"/>
        <cfvo type="max"/>
        <color rgb="FFF6958E"/>
        <color theme="0"/>
        <color theme="8" tint="0.59999389629810485"/>
      </colorScale>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E4FF8726-4CBC-4DDD-BE63-2CFB08A26BFF}">
          <x14:formula1>
            <xm:f>Control!$I$2:$I$3</xm:f>
          </x14:formula1>
          <xm:sqref>B25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C8401-5765-4E77-8914-8E2643B7849C}">
  <sheetPr codeName="Sheet11"/>
  <dimension ref="C1:N25"/>
  <sheetViews>
    <sheetView workbookViewId="0">
      <selection activeCell="H14" sqref="H14"/>
    </sheetView>
  </sheetViews>
  <sheetFormatPr defaultColWidth="9.1796875" defaultRowHeight="14.5" x14ac:dyDescent="0.35"/>
  <cols>
    <col min="1" max="2" width="9.1796875" style="7"/>
    <col min="3" max="3" width="43" style="7" customWidth="1"/>
    <col min="4" max="13" width="14.26953125" style="7" customWidth="1"/>
    <col min="14" max="14" width="43" style="7" customWidth="1"/>
    <col min="15" max="16384" width="9.1796875" style="7"/>
  </cols>
  <sheetData>
    <row r="1" spans="3:14" x14ac:dyDescent="0.35">
      <c r="D1" t="s">
        <v>149</v>
      </c>
    </row>
    <row r="2" spans="3:14" ht="38.25" customHeight="1" x14ac:dyDescent="0.35"/>
    <row r="3" spans="3:14" ht="38.25" customHeight="1" x14ac:dyDescent="0.35"/>
    <row r="4" spans="3:14" s="58" customFormat="1" ht="62.5" x14ac:dyDescent="0.35">
      <c r="C4" s="57" t="s">
        <v>99</v>
      </c>
      <c r="D4" s="57" t="s">
        <v>26</v>
      </c>
      <c r="E4" s="57" t="s">
        <v>27</v>
      </c>
      <c r="F4" s="57" t="s">
        <v>28</v>
      </c>
      <c r="G4" s="57" t="s">
        <v>29</v>
      </c>
      <c r="H4" s="57" t="s">
        <v>30</v>
      </c>
      <c r="I4" s="57" t="s">
        <v>31</v>
      </c>
      <c r="J4" s="57" t="s">
        <v>32</v>
      </c>
      <c r="K4" s="57" t="s">
        <v>33</v>
      </c>
      <c r="L4" s="57" t="s">
        <v>34</v>
      </c>
      <c r="M4" s="57" t="s">
        <v>35</v>
      </c>
      <c r="N4" s="57" t="s">
        <v>100</v>
      </c>
    </row>
    <row r="5" spans="3:14" s="58" customFormat="1" ht="25" x14ac:dyDescent="0.35">
      <c r="C5" s="59" t="s">
        <v>101</v>
      </c>
      <c r="D5" s="60" t="s">
        <v>102</v>
      </c>
      <c r="E5" s="60" t="s">
        <v>103</v>
      </c>
      <c r="F5" s="60" t="s">
        <v>104</v>
      </c>
      <c r="G5" s="61" t="s">
        <v>105</v>
      </c>
      <c r="H5" s="61" t="s">
        <v>106</v>
      </c>
      <c r="I5" s="61" t="s">
        <v>107</v>
      </c>
      <c r="J5" s="61" t="s">
        <v>108</v>
      </c>
      <c r="K5" s="62" t="s">
        <v>109</v>
      </c>
      <c r="L5" s="62" t="s">
        <v>110</v>
      </c>
      <c r="M5" s="62" t="s">
        <v>111</v>
      </c>
      <c r="N5" s="63" t="s">
        <v>112</v>
      </c>
    </row>
    <row r="6" spans="3:14" s="58" customFormat="1" ht="50" x14ac:dyDescent="0.35">
      <c r="C6" s="59" t="s">
        <v>113</v>
      </c>
      <c r="D6" s="60" t="s">
        <v>103</v>
      </c>
      <c r="E6" s="60" t="s">
        <v>114</v>
      </c>
      <c r="F6" s="60" t="s">
        <v>104</v>
      </c>
      <c r="G6" s="61" t="s">
        <v>105</v>
      </c>
      <c r="H6" s="61" t="s">
        <v>115</v>
      </c>
      <c r="I6" s="61" t="s">
        <v>116</v>
      </c>
      <c r="J6" s="61" t="s">
        <v>108</v>
      </c>
      <c r="K6" s="61" t="s">
        <v>116</v>
      </c>
      <c r="L6" s="61" t="s">
        <v>117</v>
      </c>
      <c r="M6" s="62" t="s">
        <v>109</v>
      </c>
      <c r="N6" s="63" t="s">
        <v>118</v>
      </c>
    </row>
    <row r="7" spans="3:14" s="58" customFormat="1" ht="25" x14ac:dyDescent="0.35">
      <c r="C7" s="59" t="s">
        <v>119</v>
      </c>
      <c r="D7" s="60" t="s">
        <v>120</v>
      </c>
      <c r="E7" s="60" t="s">
        <v>104</v>
      </c>
      <c r="F7" s="60" t="s">
        <v>114</v>
      </c>
      <c r="G7" s="61" t="s">
        <v>106</v>
      </c>
      <c r="H7" s="61" t="s">
        <v>121</v>
      </c>
      <c r="I7" s="61" t="s">
        <v>121</v>
      </c>
      <c r="J7" s="61" t="s">
        <v>108</v>
      </c>
      <c r="K7" s="61" t="s">
        <v>115</v>
      </c>
      <c r="L7" s="61" t="s">
        <v>116</v>
      </c>
      <c r="M7" s="62" t="s">
        <v>122</v>
      </c>
      <c r="N7" s="63" t="s">
        <v>123</v>
      </c>
    </row>
    <row r="8" spans="3:14" s="58" customFormat="1" ht="62.5" x14ac:dyDescent="0.35">
      <c r="C8" s="59" t="s">
        <v>124</v>
      </c>
      <c r="D8" s="60" t="s">
        <v>125</v>
      </c>
      <c r="E8" s="61" t="s">
        <v>126</v>
      </c>
      <c r="F8" s="61" t="s">
        <v>127</v>
      </c>
      <c r="G8" s="61" t="s">
        <v>106</v>
      </c>
      <c r="H8" s="61" t="s">
        <v>115</v>
      </c>
      <c r="I8" s="61" t="s">
        <v>128</v>
      </c>
      <c r="J8" s="61" t="s">
        <v>129</v>
      </c>
      <c r="K8" s="61" t="s">
        <v>116</v>
      </c>
      <c r="L8" s="61" t="s">
        <v>130</v>
      </c>
      <c r="M8" s="61" t="s">
        <v>108</v>
      </c>
      <c r="N8" s="63" t="s">
        <v>131</v>
      </c>
    </row>
    <row r="9" spans="3:14" s="58" customFormat="1" ht="37.5" x14ac:dyDescent="0.35">
      <c r="C9" s="59" t="s">
        <v>124</v>
      </c>
      <c r="D9" s="61" t="s">
        <v>126</v>
      </c>
      <c r="E9" s="61" t="s">
        <v>132</v>
      </c>
      <c r="F9" s="61" t="s">
        <v>133</v>
      </c>
      <c r="G9" s="60" t="s">
        <v>134</v>
      </c>
      <c r="H9" s="61" t="s">
        <v>135</v>
      </c>
      <c r="I9" s="61" t="s">
        <v>126</v>
      </c>
      <c r="J9" s="61" t="s">
        <v>127</v>
      </c>
      <c r="K9" s="61" t="s">
        <v>129</v>
      </c>
      <c r="L9" s="61" t="s">
        <v>133</v>
      </c>
      <c r="M9" s="62" t="s">
        <v>136</v>
      </c>
      <c r="N9" s="63" t="s">
        <v>137</v>
      </c>
    </row>
    <row r="10" spans="3:14" s="58" customFormat="1" ht="25" x14ac:dyDescent="0.35">
      <c r="C10" s="59" t="s">
        <v>138</v>
      </c>
      <c r="D10" s="60" t="s">
        <v>139</v>
      </c>
      <c r="E10" s="60" t="s">
        <v>103</v>
      </c>
      <c r="F10" s="60" t="s">
        <v>140</v>
      </c>
      <c r="G10" s="60" t="s">
        <v>141</v>
      </c>
      <c r="H10" s="61" t="s">
        <v>107</v>
      </c>
      <c r="I10" s="61" t="s">
        <v>108</v>
      </c>
      <c r="J10" s="61" t="s">
        <v>108</v>
      </c>
      <c r="K10" s="61" t="s">
        <v>116</v>
      </c>
      <c r="L10" s="62" t="s">
        <v>110</v>
      </c>
      <c r="M10" s="62" t="s">
        <v>142</v>
      </c>
      <c r="N10" s="63" t="s">
        <v>143</v>
      </c>
    </row>
    <row r="11" spans="3:14" s="58" customFormat="1" ht="50" x14ac:dyDescent="0.35">
      <c r="C11" s="59" t="s">
        <v>144</v>
      </c>
      <c r="D11" s="61" t="s">
        <v>145</v>
      </c>
      <c r="E11" s="60" t="s">
        <v>134</v>
      </c>
      <c r="F11" s="60" t="s">
        <v>146</v>
      </c>
      <c r="G11" s="61" t="s">
        <v>128</v>
      </c>
      <c r="H11" s="61" t="s">
        <v>107</v>
      </c>
      <c r="I11" s="61" t="s">
        <v>106</v>
      </c>
      <c r="J11" s="61" t="s">
        <v>117</v>
      </c>
      <c r="K11" s="61" t="s">
        <v>147</v>
      </c>
      <c r="L11" s="61" t="s">
        <v>116</v>
      </c>
      <c r="M11" s="62" t="s">
        <v>148</v>
      </c>
      <c r="N11" s="63" t="s">
        <v>143</v>
      </c>
    </row>
    <row r="13" spans="3:14" ht="58" x14ac:dyDescent="0.35">
      <c r="D13" s="82" t="s">
        <v>26</v>
      </c>
      <c r="E13" s="82" t="s">
        <v>27</v>
      </c>
      <c r="F13" s="82" t="s">
        <v>28</v>
      </c>
      <c r="G13" s="82" t="s">
        <v>29</v>
      </c>
      <c r="H13" s="82" t="s">
        <v>30</v>
      </c>
      <c r="I13" s="82" t="s">
        <v>31</v>
      </c>
      <c r="J13" s="82" t="s">
        <v>32</v>
      </c>
      <c r="K13" s="82" t="s">
        <v>33</v>
      </c>
      <c r="L13" s="82" t="s">
        <v>34</v>
      </c>
      <c r="M13" s="82" t="s">
        <v>35</v>
      </c>
    </row>
    <row r="14" spans="3:14" x14ac:dyDescent="0.35">
      <c r="D14" s="64">
        <f>VALUE(MID(D5,1,FIND(" ",D5)))</f>
        <v>-0.19</v>
      </c>
      <c r="E14" s="64">
        <f t="shared" ref="E14:M14" si="0">VALUE(MID(E5,1,FIND(" ",E5)))</f>
        <v>-0.18</v>
      </c>
      <c r="F14" s="64">
        <f t="shared" si="0"/>
        <v>-0.1</v>
      </c>
      <c r="G14" s="64">
        <f t="shared" si="0"/>
        <v>-0.09</v>
      </c>
      <c r="H14" s="64">
        <f t="shared" si="0"/>
        <v>-0.08</v>
      </c>
      <c r="I14" s="64">
        <f t="shared" si="0"/>
        <v>-0.03</v>
      </c>
      <c r="J14" s="64">
        <f t="shared" si="0"/>
        <v>0.05</v>
      </c>
      <c r="K14" s="64">
        <f t="shared" si="0"/>
        <v>0.11</v>
      </c>
      <c r="L14" s="64">
        <f t="shared" si="0"/>
        <v>0.14000000000000001</v>
      </c>
      <c r="M14" s="64">
        <f t="shared" si="0"/>
        <v>0.21</v>
      </c>
    </row>
    <row r="15" spans="3:14" x14ac:dyDescent="0.35">
      <c r="D15" s="64">
        <f t="shared" ref="D15:M15" si="1">VALUE(MID(D6,1,FIND(" ",D6)))</f>
        <v>-0.18</v>
      </c>
      <c r="E15" s="64">
        <f t="shared" si="1"/>
        <v>-0.13</v>
      </c>
      <c r="F15" s="64">
        <f t="shared" si="1"/>
        <v>-0.1</v>
      </c>
      <c r="G15" s="64">
        <f t="shared" si="1"/>
        <v>-0.09</v>
      </c>
      <c r="H15" s="64">
        <f t="shared" si="1"/>
        <v>-0.01</v>
      </c>
      <c r="I15" s="64">
        <f t="shared" si="1"/>
        <v>7.0000000000000007E-2</v>
      </c>
      <c r="J15" s="64">
        <f t="shared" si="1"/>
        <v>0.05</v>
      </c>
      <c r="K15" s="64">
        <f t="shared" si="1"/>
        <v>7.0000000000000007E-2</v>
      </c>
      <c r="L15" s="64">
        <f t="shared" si="1"/>
        <v>0.09</v>
      </c>
      <c r="M15" s="64">
        <f t="shared" si="1"/>
        <v>0.11</v>
      </c>
    </row>
    <row r="16" spans="3:14" x14ac:dyDescent="0.35">
      <c r="D16" s="64">
        <f t="shared" ref="D16:M16" si="2">VALUE(MID(D7,1,FIND(" ",D7)))</f>
        <v>-0.15</v>
      </c>
      <c r="E16" s="64">
        <f t="shared" si="2"/>
        <v>-0.1</v>
      </c>
      <c r="F16" s="64">
        <f t="shared" si="2"/>
        <v>-0.13</v>
      </c>
      <c r="G16" s="64">
        <f t="shared" si="2"/>
        <v>-0.08</v>
      </c>
      <c r="H16" s="64">
        <f t="shared" si="2"/>
        <v>0.02</v>
      </c>
      <c r="I16" s="64">
        <f t="shared" si="2"/>
        <v>0.02</v>
      </c>
      <c r="J16" s="64">
        <f t="shared" si="2"/>
        <v>0.05</v>
      </c>
      <c r="K16" s="64">
        <f t="shared" si="2"/>
        <v>-0.01</v>
      </c>
      <c r="L16" s="64">
        <f t="shared" si="2"/>
        <v>7.0000000000000007E-2</v>
      </c>
      <c r="M16" s="64">
        <f t="shared" si="2"/>
        <v>0.16</v>
      </c>
    </row>
    <row r="17" spans="3:13" x14ac:dyDescent="0.35">
      <c r="D17" s="64">
        <f t="shared" ref="D17:M17" si="3">VALUE(MID(D8,1,FIND(" ",D8)))</f>
        <v>-0.11</v>
      </c>
      <c r="E17" s="64">
        <f t="shared" si="3"/>
        <v>-0.02</v>
      </c>
      <c r="F17" s="64">
        <f t="shared" si="3"/>
        <v>-0.06</v>
      </c>
      <c r="G17" s="64">
        <f t="shared" si="3"/>
        <v>-0.08</v>
      </c>
      <c r="H17" s="64">
        <f t="shared" si="3"/>
        <v>-0.01</v>
      </c>
      <c r="I17" s="64">
        <f t="shared" si="3"/>
        <v>0.04</v>
      </c>
      <c r="J17" s="64">
        <f t="shared" si="3"/>
        <v>0.01</v>
      </c>
      <c r="K17" s="64">
        <f t="shared" si="3"/>
        <v>7.0000000000000007E-2</v>
      </c>
      <c r="L17" s="64">
        <f t="shared" si="3"/>
        <v>0.06</v>
      </c>
      <c r="M17" s="64">
        <f t="shared" si="3"/>
        <v>0.05</v>
      </c>
    </row>
    <row r="18" spans="3:13" x14ac:dyDescent="0.35">
      <c r="D18" s="64">
        <f t="shared" ref="D18:M18" si="4">VALUE(MID(D9,1,FIND(" ",D9)))</f>
        <v>-0.02</v>
      </c>
      <c r="E18" s="64">
        <f t="shared" si="4"/>
        <v>0.03</v>
      </c>
      <c r="F18" s="64">
        <f t="shared" si="4"/>
        <v>0</v>
      </c>
      <c r="G18" s="64">
        <f t="shared" si="4"/>
        <v>-0.14000000000000001</v>
      </c>
      <c r="H18" s="64">
        <f t="shared" si="4"/>
        <v>-0.05</v>
      </c>
      <c r="I18" s="64">
        <f t="shared" si="4"/>
        <v>-0.02</v>
      </c>
      <c r="J18" s="64">
        <f t="shared" si="4"/>
        <v>-0.06</v>
      </c>
      <c r="K18" s="64">
        <f t="shared" si="4"/>
        <v>0.01</v>
      </c>
      <c r="L18" s="64">
        <f t="shared" si="4"/>
        <v>0</v>
      </c>
      <c r="M18" s="64">
        <f t="shared" si="4"/>
        <v>0.22</v>
      </c>
    </row>
    <row r="19" spans="3:13" x14ac:dyDescent="0.35">
      <c r="D19" s="64">
        <f t="shared" ref="D19:M19" si="5">VALUE(MID(D10,1,FIND(" ",D10)))</f>
        <v>-0.2</v>
      </c>
      <c r="E19" s="64">
        <f t="shared" si="5"/>
        <v>-0.18</v>
      </c>
      <c r="F19" s="64">
        <f t="shared" si="5"/>
        <v>-0.12</v>
      </c>
      <c r="G19" s="64">
        <f t="shared" si="5"/>
        <v>-0.17</v>
      </c>
      <c r="H19" s="64">
        <f t="shared" si="5"/>
        <v>-0.03</v>
      </c>
      <c r="I19" s="64">
        <f t="shared" si="5"/>
        <v>0.05</v>
      </c>
      <c r="J19" s="64">
        <f t="shared" si="5"/>
        <v>0.05</v>
      </c>
      <c r="K19" s="64">
        <f t="shared" si="5"/>
        <v>7.0000000000000007E-2</v>
      </c>
      <c r="L19" s="64">
        <f t="shared" si="5"/>
        <v>0.14000000000000001</v>
      </c>
      <c r="M19" s="64">
        <f t="shared" si="5"/>
        <v>0.23</v>
      </c>
    </row>
    <row r="20" spans="3:13" x14ac:dyDescent="0.35">
      <c r="D20" s="64">
        <f t="shared" ref="D20:M20" si="6">VALUE(MID(D11,1,FIND(" ",D11)))</f>
        <v>-0.1</v>
      </c>
      <c r="E20" s="64">
        <f t="shared" si="6"/>
        <v>-0.14000000000000001</v>
      </c>
      <c r="F20" s="64">
        <f t="shared" si="6"/>
        <v>-0.28000000000000003</v>
      </c>
      <c r="G20" s="64">
        <f t="shared" si="6"/>
        <v>0.04</v>
      </c>
      <c r="H20" s="64">
        <f t="shared" si="6"/>
        <v>-0.03</v>
      </c>
      <c r="I20" s="64">
        <f t="shared" si="6"/>
        <v>-0.08</v>
      </c>
      <c r="J20" s="64">
        <f t="shared" si="6"/>
        <v>0.09</v>
      </c>
      <c r="K20" s="64">
        <f t="shared" si="6"/>
        <v>0.1</v>
      </c>
      <c r="L20" s="64">
        <f t="shared" si="6"/>
        <v>7.0000000000000007E-2</v>
      </c>
      <c r="M20" s="64">
        <f t="shared" si="6"/>
        <v>0.17</v>
      </c>
    </row>
    <row r="22" spans="3:13" x14ac:dyDescent="0.35">
      <c r="C22" s="7" t="s">
        <v>66</v>
      </c>
      <c r="D22" s="64">
        <f>MIN(D14:D20)</f>
        <v>-0.2</v>
      </c>
      <c r="E22" s="64">
        <f t="shared" ref="E22:M22" si="7">MIN(E14:E20)</f>
        <v>-0.18</v>
      </c>
      <c r="F22" s="64">
        <f t="shared" si="7"/>
        <v>-0.28000000000000003</v>
      </c>
      <c r="G22" s="64">
        <f t="shared" si="7"/>
        <v>-0.17</v>
      </c>
      <c r="H22" s="64">
        <f t="shared" si="7"/>
        <v>-0.08</v>
      </c>
      <c r="I22" s="64">
        <f t="shared" si="7"/>
        <v>-0.08</v>
      </c>
      <c r="J22" s="64">
        <f t="shared" si="7"/>
        <v>-0.06</v>
      </c>
      <c r="K22" s="64">
        <f t="shared" si="7"/>
        <v>-0.01</v>
      </c>
      <c r="L22" s="64">
        <f t="shared" si="7"/>
        <v>0</v>
      </c>
      <c r="M22" s="64">
        <f t="shared" si="7"/>
        <v>0.05</v>
      </c>
    </row>
    <row r="23" spans="3:13" x14ac:dyDescent="0.35">
      <c r="C23" s="7" t="s">
        <v>67</v>
      </c>
      <c r="D23" s="64">
        <f>MAX(D14:D20)</f>
        <v>-0.02</v>
      </c>
      <c r="E23" s="64">
        <f t="shared" ref="E23:M23" si="8">MAX(E14:E20)</f>
        <v>0.03</v>
      </c>
      <c r="F23" s="64">
        <f t="shared" si="8"/>
        <v>0</v>
      </c>
      <c r="G23" s="64">
        <f t="shared" si="8"/>
        <v>0.04</v>
      </c>
      <c r="H23" s="64">
        <f t="shared" si="8"/>
        <v>0.02</v>
      </c>
      <c r="I23" s="64">
        <f t="shared" si="8"/>
        <v>7.0000000000000007E-2</v>
      </c>
      <c r="J23" s="64">
        <f t="shared" si="8"/>
        <v>0.09</v>
      </c>
      <c r="K23" s="64">
        <f t="shared" si="8"/>
        <v>0.11</v>
      </c>
      <c r="L23" s="64">
        <f t="shared" si="8"/>
        <v>0.14000000000000001</v>
      </c>
      <c r="M23" s="64">
        <f t="shared" si="8"/>
        <v>0.23</v>
      </c>
    </row>
    <row r="24" spans="3:13" x14ac:dyDescent="0.35">
      <c r="D24" s="13"/>
      <c r="E24" s="13"/>
      <c r="F24" s="13"/>
      <c r="G24" s="13"/>
      <c r="H24" s="13"/>
      <c r="I24" s="13"/>
      <c r="J24" s="13"/>
      <c r="K24" s="13"/>
      <c r="L24" s="13"/>
      <c r="M24" s="13"/>
    </row>
    <row r="25" spans="3:13" x14ac:dyDescent="0.35">
      <c r="C25" s="7" t="s">
        <v>150</v>
      </c>
      <c r="D25" s="64">
        <f>IF(ABS(D22)&gt;ABS(D23),D22,D23)</f>
        <v>-0.2</v>
      </c>
      <c r="E25" s="64">
        <f t="shared" ref="E25:M25" si="9">IF(ABS(E22)&gt;ABS(E23),E22,E23)</f>
        <v>-0.18</v>
      </c>
      <c r="F25" s="64">
        <f t="shared" si="9"/>
        <v>-0.28000000000000003</v>
      </c>
      <c r="G25" s="64">
        <f t="shared" si="9"/>
        <v>-0.17</v>
      </c>
      <c r="H25" s="64">
        <f t="shared" si="9"/>
        <v>-0.08</v>
      </c>
      <c r="I25" s="64">
        <f t="shared" si="9"/>
        <v>-0.08</v>
      </c>
      <c r="J25" s="64">
        <f t="shared" si="9"/>
        <v>0.09</v>
      </c>
      <c r="K25" s="64">
        <f t="shared" si="9"/>
        <v>0.11</v>
      </c>
      <c r="L25" s="64">
        <f t="shared" si="9"/>
        <v>0.14000000000000001</v>
      </c>
      <c r="M25" s="64">
        <f t="shared" si="9"/>
        <v>0.23</v>
      </c>
    </row>
  </sheetData>
  <conditionalFormatting sqref="D25:M25">
    <cfRule type="colorScale" priority="1">
      <colorScale>
        <cfvo type="min"/>
        <cfvo type="percentile" val="50"/>
        <cfvo type="max"/>
        <color rgb="FFF8696B"/>
        <color rgb="FFFCFCFF"/>
        <color rgb="FF63BE7B"/>
      </colorScale>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0A4E9-0C3A-4230-B74E-A0893B974CD2}">
  <sheetPr codeName="Sheet12"/>
  <dimension ref="A1:Q51"/>
  <sheetViews>
    <sheetView workbookViewId="0">
      <pane xSplit="2" ySplit="4" topLeftCell="C5" activePane="bottomRight" state="frozen"/>
      <selection pane="topRight" activeCell="C1" sqref="C1"/>
      <selection pane="bottomLeft" activeCell="A5" sqref="A5"/>
      <selection pane="bottomRight" activeCell="E15" sqref="E15"/>
    </sheetView>
  </sheetViews>
  <sheetFormatPr defaultRowHeight="14.5" x14ac:dyDescent="0.35"/>
  <cols>
    <col min="1" max="1" width="17.81640625" customWidth="1"/>
    <col min="2" max="2" width="28.453125" customWidth="1"/>
    <col min="3" max="5" width="11.453125" customWidth="1"/>
    <col min="7" max="7" width="20.453125" customWidth="1"/>
    <col min="8" max="8" width="28.81640625" customWidth="1"/>
    <col min="9" max="11" width="10.453125" customWidth="1"/>
    <col min="13" max="13" width="15.81640625" customWidth="1"/>
    <col min="14" max="14" width="27.1796875" customWidth="1"/>
    <col min="15" max="17" width="11.453125" customWidth="1"/>
  </cols>
  <sheetData>
    <row r="1" spans="1:17" x14ac:dyDescent="0.35">
      <c r="A1" t="s">
        <v>283</v>
      </c>
    </row>
    <row r="3" spans="1:17" x14ac:dyDescent="0.35">
      <c r="A3" s="233" t="s">
        <v>241</v>
      </c>
      <c r="B3" s="233"/>
      <c r="C3" s="233"/>
      <c r="D3" s="233"/>
      <c r="E3" s="233"/>
      <c r="F3" s="157"/>
      <c r="G3" s="230" t="s">
        <v>242</v>
      </c>
      <c r="H3" s="230"/>
      <c r="I3" s="230"/>
      <c r="J3" s="230"/>
      <c r="K3" s="157"/>
      <c r="L3" s="157"/>
      <c r="M3" s="230" t="s">
        <v>243</v>
      </c>
      <c r="N3" s="230"/>
      <c r="O3" s="230"/>
      <c r="P3" s="230"/>
      <c r="Q3" s="230"/>
    </row>
    <row r="4" spans="1:17" ht="58" x14ac:dyDescent="0.35">
      <c r="A4" s="231" t="s">
        <v>244</v>
      </c>
      <c r="B4" s="232" t="s">
        <v>244</v>
      </c>
      <c r="C4" s="158" t="s">
        <v>245</v>
      </c>
      <c r="D4" s="158" t="s">
        <v>156</v>
      </c>
      <c r="E4" s="158" t="s">
        <v>246</v>
      </c>
      <c r="F4" s="157"/>
      <c r="G4" s="231" t="s">
        <v>244</v>
      </c>
      <c r="H4" s="232" t="s">
        <v>244</v>
      </c>
      <c r="I4" s="158" t="s">
        <v>245</v>
      </c>
      <c r="J4" s="158" t="s">
        <v>156</v>
      </c>
      <c r="K4" s="158" t="s">
        <v>246</v>
      </c>
      <c r="L4" s="157"/>
      <c r="M4" s="231" t="s">
        <v>244</v>
      </c>
      <c r="N4" s="232" t="s">
        <v>244</v>
      </c>
      <c r="O4" s="158" t="s">
        <v>245</v>
      </c>
      <c r="P4" s="158" t="s">
        <v>156</v>
      </c>
      <c r="Q4" s="158" t="s">
        <v>246</v>
      </c>
    </row>
    <row r="5" spans="1:17" x14ac:dyDescent="0.35">
      <c r="A5" s="229" t="s">
        <v>247</v>
      </c>
      <c r="B5" s="157" t="s">
        <v>248</v>
      </c>
      <c r="C5" s="159">
        <v>0.10714285714290001</v>
      </c>
      <c r="D5" s="159">
        <v>0.42857142857140001</v>
      </c>
      <c r="E5" s="159">
        <v>0.46428571428569998</v>
      </c>
      <c r="F5" s="157"/>
      <c r="G5" s="229" t="s">
        <v>247</v>
      </c>
      <c r="H5" s="157" t="s">
        <v>248</v>
      </c>
      <c r="I5" s="159">
        <v>0</v>
      </c>
      <c r="J5" s="159">
        <v>0.64285714285710005</v>
      </c>
      <c r="K5" s="159">
        <v>0.35714285714290001</v>
      </c>
      <c r="L5" s="157"/>
      <c r="M5" s="229" t="s">
        <v>247</v>
      </c>
      <c r="N5" s="157" t="s">
        <v>248</v>
      </c>
      <c r="O5" s="159">
        <v>0.32142857142859999</v>
      </c>
      <c r="P5" s="159">
        <v>0.25</v>
      </c>
      <c r="Q5" s="159">
        <v>0.42857142857140001</v>
      </c>
    </row>
    <row r="6" spans="1:17" x14ac:dyDescent="0.35">
      <c r="A6" s="229" t="s">
        <v>249</v>
      </c>
      <c r="B6" s="157" t="s">
        <v>250</v>
      </c>
      <c r="C6" s="159">
        <v>0</v>
      </c>
      <c r="D6" s="159">
        <v>0.5</v>
      </c>
      <c r="E6" s="159">
        <v>0.5</v>
      </c>
      <c r="F6" s="157"/>
      <c r="G6" s="229" t="s">
        <v>249</v>
      </c>
      <c r="H6" s="157" t="s">
        <v>250</v>
      </c>
      <c r="I6" s="159">
        <v>0</v>
      </c>
      <c r="J6" s="159">
        <v>0.5625</v>
      </c>
      <c r="K6" s="159">
        <v>0.4375</v>
      </c>
      <c r="L6" s="157"/>
      <c r="M6" s="229" t="s">
        <v>249</v>
      </c>
      <c r="N6" s="157" t="s">
        <v>250</v>
      </c>
      <c r="O6" s="159">
        <v>0</v>
      </c>
      <c r="P6" s="159">
        <v>0.25</v>
      </c>
      <c r="Q6" s="159">
        <v>0.75</v>
      </c>
    </row>
    <row r="7" spans="1:17" x14ac:dyDescent="0.35">
      <c r="A7" s="229" t="s">
        <v>249</v>
      </c>
      <c r="B7" s="157"/>
      <c r="C7" s="159"/>
      <c r="D7" s="159"/>
      <c r="E7" s="159"/>
      <c r="F7" s="157"/>
      <c r="G7" s="229" t="s">
        <v>249</v>
      </c>
      <c r="H7" s="157"/>
      <c r="I7" s="157"/>
      <c r="J7" s="159"/>
      <c r="K7" s="159"/>
      <c r="L7" s="157"/>
      <c r="M7" s="229" t="s">
        <v>249</v>
      </c>
      <c r="N7" s="157"/>
      <c r="O7" s="159"/>
      <c r="P7" s="159"/>
      <c r="Q7" s="159"/>
    </row>
    <row r="8" spans="1:17" x14ac:dyDescent="0.35">
      <c r="A8" s="229" t="s">
        <v>251</v>
      </c>
      <c r="B8" s="157" t="s">
        <v>252</v>
      </c>
      <c r="C8" s="159">
        <v>0.05</v>
      </c>
      <c r="D8" s="159">
        <v>0.4</v>
      </c>
      <c r="E8" s="159">
        <v>0.55000000000000004</v>
      </c>
      <c r="F8" s="157"/>
      <c r="G8" s="229" t="s">
        <v>251</v>
      </c>
      <c r="H8" s="157" t="s">
        <v>252</v>
      </c>
      <c r="I8" s="159">
        <v>0</v>
      </c>
      <c r="J8" s="159">
        <v>0.6</v>
      </c>
      <c r="K8" s="159">
        <v>0.4</v>
      </c>
      <c r="L8" s="157"/>
      <c r="M8" s="229" t="s">
        <v>251</v>
      </c>
      <c r="N8" s="157" t="s">
        <v>252</v>
      </c>
      <c r="O8" s="159">
        <v>0.2</v>
      </c>
      <c r="P8" s="159">
        <v>0.25</v>
      </c>
      <c r="Q8" s="159">
        <v>0.55000000000000004</v>
      </c>
    </row>
    <row r="9" spans="1:17" x14ac:dyDescent="0.35">
      <c r="A9" s="229" t="s">
        <v>249</v>
      </c>
      <c r="B9" s="157" t="s">
        <v>253</v>
      </c>
      <c r="C9" s="159">
        <v>8.3333333333329998E-2</v>
      </c>
      <c r="D9" s="159">
        <v>0.5</v>
      </c>
      <c r="E9" s="159">
        <v>0.41666666666669999</v>
      </c>
      <c r="F9" s="157"/>
      <c r="G9" s="229" t="s">
        <v>249</v>
      </c>
      <c r="H9" s="157" t="s">
        <v>253</v>
      </c>
      <c r="I9" s="159">
        <v>0</v>
      </c>
      <c r="J9" s="159">
        <v>0.625</v>
      </c>
      <c r="K9" s="159">
        <v>0.375</v>
      </c>
      <c r="L9" s="157"/>
      <c r="M9" s="229" t="s">
        <v>249</v>
      </c>
      <c r="N9" s="157" t="s">
        <v>253</v>
      </c>
      <c r="O9" s="159">
        <v>0.20833333333330001</v>
      </c>
      <c r="P9" s="159">
        <v>0.25</v>
      </c>
      <c r="Q9" s="159">
        <v>0.54166666666670005</v>
      </c>
    </row>
    <row r="10" spans="1:17" x14ac:dyDescent="0.35">
      <c r="A10" s="229" t="s">
        <v>249</v>
      </c>
      <c r="B10" s="157"/>
      <c r="C10" s="159"/>
      <c r="D10" s="159"/>
      <c r="E10" s="159"/>
      <c r="F10" s="157"/>
      <c r="G10" s="229" t="s">
        <v>249</v>
      </c>
      <c r="H10" s="157"/>
      <c r="I10" s="157"/>
      <c r="J10" s="159"/>
      <c r="K10" s="159"/>
      <c r="L10" s="157"/>
      <c r="M10" s="229" t="s">
        <v>249</v>
      </c>
      <c r="N10" s="157"/>
      <c r="O10" s="159"/>
      <c r="P10" s="159"/>
      <c r="Q10" s="159"/>
    </row>
    <row r="11" spans="1:17" x14ac:dyDescent="0.35">
      <c r="A11" s="229" t="s">
        <v>254</v>
      </c>
      <c r="B11" s="157" t="s">
        <v>255</v>
      </c>
      <c r="C11" s="159">
        <v>0</v>
      </c>
      <c r="D11" s="159">
        <v>1</v>
      </c>
      <c r="E11" s="159">
        <v>0</v>
      </c>
      <c r="F11" s="157"/>
      <c r="G11" s="229" t="s">
        <v>254</v>
      </c>
      <c r="H11" s="157" t="s">
        <v>255</v>
      </c>
      <c r="I11" s="159">
        <v>0</v>
      </c>
      <c r="J11" s="159">
        <v>1</v>
      </c>
      <c r="K11" s="159">
        <v>0</v>
      </c>
      <c r="L11" s="157"/>
      <c r="M11" s="229" t="s">
        <v>254</v>
      </c>
      <c r="N11" s="157" t="s">
        <v>255</v>
      </c>
      <c r="O11" s="159">
        <v>0.2</v>
      </c>
      <c r="P11" s="159">
        <v>0.2</v>
      </c>
      <c r="Q11" s="159">
        <v>0.6</v>
      </c>
    </row>
    <row r="12" spans="1:17" x14ac:dyDescent="0.35">
      <c r="A12" s="229" t="s">
        <v>249</v>
      </c>
      <c r="B12" s="157" t="s">
        <v>256</v>
      </c>
      <c r="C12" s="159">
        <v>0.15789473684210001</v>
      </c>
      <c r="D12" s="159">
        <v>0.31578947368420002</v>
      </c>
      <c r="E12" s="159">
        <v>0.52631578947369995</v>
      </c>
      <c r="F12" s="157"/>
      <c r="G12" s="229" t="s">
        <v>249</v>
      </c>
      <c r="H12" s="157" t="s">
        <v>256</v>
      </c>
      <c r="I12" s="159">
        <v>0</v>
      </c>
      <c r="J12" s="160">
        <v>0.36842105263160002</v>
      </c>
      <c r="K12" s="161">
        <v>0.63157894736840003</v>
      </c>
      <c r="L12" s="157"/>
      <c r="M12" s="229" t="s">
        <v>249</v>
      </c>
      <c r="N12" s="157" t="s">
        <v>256</v>
      </c>
      <c r="O12" s="159">
        <v>0.36842105263160002</v>
      </c>
      <c r="P12" s="159">
        <v>0.26315789473680001</v>
      </c>
      <c r="Q12" s="159">
        <v>0.36842105263160002</v>
      </c>
    </row>
    <row r="13" spans="1:17" x14ac:dyDescent="0.35">
      <c r="A13" s="229" t="s">
        <v>249</v>
      </c>
      <c r="B13" s="157" t="s">
        <v>257</v>
      </c>
      <c r="C13" s="159">
        <v>0</v>
      </c>
      <c r="D13" s="159">
        <v>0.5</v>
      </c>
      <c r="E13" s="159">
        <v>0.5</v>
      </c>
      <c r="F13" s="157"/>
      <c r="G13" s="229" t="s">
        <v>249</v>
      </c>
      <c r="H13" s="157" t="s">
        <v>257</v>
      </c>
      <c r="I13" s="159">
        <v>0</v>
      </c>
      <c r="J13" s="159">
        <v>0.9</v>
      </c>
      <c r="K13" s="159">
        <v>0.1</v>
      </c>
      <c r="L13" s="157"/>
      <c r="M13" s="229" t="s">
        <v>249</v>
      </c>
      <c r="N13" s="157" t="s">
        <v>257</v>
      </c>
      <c r="O13" s="159">
        <v>0</v>
      </c>
      <c r="P13" s="159">
        <v>0.3</v>
      </c>
      <c r="Q13" s="159">
        <v>0.7</v>
      </c>
    </row>
    <row r="14" spans="1:17" x14ac:dyDescent="0.35">
      <c r="A14" s="229" t="s">
        <v>249</v>
      </c>
      <c r="B14" s="157" t="s">
        <v>258</v>
      </c>
      <c r="C14" s="159">
        <v>0.10344827586209999</v>
      </c>
      <c r="D14" s="159">
        <v>0.37931034482760001</v>
      </c>
      <c r="E14" s="159">
        <v>0.51724137931030001</v>
      </c>
      <c r="F14" s="157"/>
      <c r="G14" s="229" t="s">
        <v>249</v>
      </c>
      <c r="H14" s="157" t="s">
        <v>258</v>
      </c>
      <c r="I14" s="159">
        <v>0</v>
      </c>
      <c r="J14" s="159">
        <v>0.55172413793099995</v>
      </c>
      <c r="K14" s="159">
        <v>0.448275862069</v>
      </c>
      <c r="L14" s="157"/>
      <c r="M14" s="229" t="s">
        <v>249</v>
      </c>
      <c r="N14" s="157" t="s">
        <v>258</v>
      </c>
      <c r="O14" s="159">
        <v>0.24137931034480001</v>
      </c>
      <c r="P14" s="159">
        <v>0.27586206896549997</v>
      </c>
      <c r="Q14" s="159">
        <v>0.48275862068969999</v>
      </c>
    </row>
    <row r="15" spans="1:17" x14ac:dyDescent="0.35">
      <c r="A15" s="229" t="s">
        <v>249</v>
      </c>
      <c r="B15" s="157" t="s">
        <v>259</v>
      </c>
      <c r="C15" s="159">
        <v>8.8235294117650007E-2</v>
      </c>
      <c r="D15" s="159">
        <v>0.47058823529409999</v>
      </c>
      <c r="E15" s="159">
        <v>0.44117647058819998</v>
      </c>
      <c r="F15" s="157"/>
      <c r="G15" s="229" t="s">
        <v>249</v>
      </c>
      <c r="H15" s="157" t="s">
        <v>259</v>
      </c>
      <c r="I15" s="159">
        <v>0</v>
      </c>
      <c r="J15" s="159">
        <v>0.61764705882350002</v>
      </c>
      <c r="K15" s="159">
        <v>0.38235294117649998</v>
      </c>
      <c r="L15" s="157"/>
      <c r="M15" s="229" t="s">
        <v>249</v>
      </c>
      <c r="N15" s="157" t="s">
        <v>259</v>
      </c>
      <c r="O15" s="159">
        <v>0.23529411764710001</v>
      </c>
      <c r="P15" s="159">
        <v>0.26470588235289999</v>
      </c>
      <c r="Q15" s="159">
        <v>0.5</v>
      </c>
    </row>
    <row r="16" spans="1:17" x14ac:dyDescent="0.35">
      <c r="A16" s="229" t="s">
        <v>249</v>
      </c>
      <c r="B16" s="157" t="s">
        <v>195</v>
      </c>
      <c r="C16" s="159">
        <v>0</v>
      </c>
      <c r="D16" s="159">
        <v>0.4</v>
      </c>
      <c r="E16" s="159">
        <v>0.6</v>
      </c>
      <c r="F16" s="157"/>
      <c r="G16" s="229" t="s">
        <v>249</v>
      </c>
      <c r="H16" s="157" t="s">
        <v>195</v>
      </c>
      <c r="I16" s="159">
        <v>0</v>
      </c>
      <c r="J16" s="159">
        <v>0.6</v>
      </c>
      <c r="K16" s="159">
        <v>0.4</v>
      </c>
      <c r="L16" s="157"/>
      <c r="M16" s="229" t="s">
        <v>249</v>
      </c>
      <c r="N16" s="157" t="s">
        <v>195</v>
      </c>
      <c r="O16" s="159">
        <v>0.1</v>
      </c>
      <c r="P16" s="159">
        <v>0.2</v>
      </c>
      <c r="Q16" s="159">
        <v>0.7</v>
      </c>
    </row>
    <row r="17" spans="1:17" x14ac:dyDescent="0.35">
      <c r="A17" s="229" t="s">
        <v>249</v>
      </c>
      <c r="B17" s="157" t="s">
        <v>260</v>
      </c>
      <c r="C17" s="159">
        <v>6.8181818181819995E-2</v>
      </c>
      <c r="D17" s="159">
        <v>0.45454545454549999</v>
      </c>
      <c r="E17" s="159">
        <v>0.47727272727269998</v>
      </c>
      <c r="F17" s="157"/>
      <c r="G17" s="229" t="s">
        <v>249</v>
      </c>
      <c r="H17" s="157" t="s">
        <v>260</v>
      </c>
      <c r="I17" s="159">
        <v>0</v>
      </c>
      <c r="J17" s="159">
        <v>0.61363636363639995</v>
      </c>
      <c r="K17" s="159">
        <v>0.38636363636359999</v>
      </c>
      <c r="L17" s="157"/>
      <c r="M17" s="229" t="s">
        <v>249</v>
      </c>
      <c r="N17" s="157" t="s">
        <v>260</v>
      </c>
      <c r="O17" s="159">
        <v>0.20454545454549999</v>
      </c>
      <c r="P17" s="159">
        <v>0.25</v>
      </c>
      <c r="Q17" s="159">
        <v>0.54545454545450001</v>
      </c>
    </row>
    <row r="18" spans="1:17" x14ac:dyDescent="0.35">
      <c r="A18" s="157"/>
      <c r="B18" s="157"/>
      <c r="C18" s="157"/>
      <c r="D18" s="157"/>
      <c r="E18" s="157"/>
      <c r="F18" s="157"/>
      <c r="G18" s="157"/>
      <c r="H18" s="157"/>
      <c r="I18" s="157"/>
      <c r="J18" s="157"/>
      <c r="K18" s="157"/>
      <c r="L18" s="157"/>
      <c r="M18" s="157"/>
      <c r="N18" s="157"/>
      <c r="O18" s="157"/>
      <c r="P18" s="157"/>
      <c r="Q18" s="157"/>
    </row>
    <row r="19" spans="1:17" x14ac:dyDescent="0.35">
      <c r="A19" s="157"/>
      <c r="B19" s="157"/>
      <c r="C19" s="157"/>
      <c r="D19" s="157"/>
      <c r="E19" s="157"/>
      <c r="F19" s="157"/>
      <c r="G19" s="157"/>
      <c r="H19" s="157"/>
      <c r="I19" s="157"/>
      <c r="J19" s="157"/>
      <c r="K19" s="157"/>
      <c r="L19" s="157"/>
      <c r="M19" s="157"/>
      <c r="N19" s="157"/>
      <c r="O19" s="157"/>
      <c r="P19" s="157"/>
      <c r="Q19" s="157"/>
    </row>
    <row r="20" spans="1:17" x14ac:dyDescent="0.35">
      <c r="A20" s="230" t="s">
        <v>261</v>
      </c>
      <c r="B20" s="230"/>
      <c r="C20" s="230"/>
      <c r="D20" s="230"/>
      <c r="E20" s="230"/>
      <c r="F20" s="157"/>
      <c r="G20" s="230" t="s">
        <v>262</v>
      </c>
      <c r="H20" s="230"/>
      <c r="I20" s="230"/>
      <c r="J20" s="230"/>
      <c r="K20" s="157"/>
      <c r="L20" s="157"/>
      <c r="M20" s="230" t="s">
        <v>263</v>
      </c>
      <c r="N20" s="230"/>
      <c r="O20" s="230"/>
      <c r="P20" s="230"/>
      <c r="Q20" s="230"/>
    </row>
    <row r="21" spans="1:17" ht="58" x14ac:dyDescent="0.35">
      <c r="A21" s="231" t="s">
        <v>244</v>
      </c>
      <c r="B21" s="232" t="s">
        <v>244</v>
      </c>
      <c r="C21" s="158" t="s">
        <v>245</v>
      </c>
      <c r="D21" s="158" t="s">
        <v>156</v>
      </c>
      <c r="E21" s="158" t="s">
        <v>246</v>
      </c>
      <c r="F21" s="157"/>
      <c r="G21" s="231" t="s">
        <v>244</v>
      </c>
      <c r="H21" s="232" t="s">
        <v>244</v>
      </c>
      <c r="I21" s="158" t="s">
        <v>245</v>
      </c>
      <c r="J21" s="158" t="s">
        <v>156</v>
      </c>
      <c r="K21" s="158" t="s">
        <v>246</v>
      </c>
      <c r="L21" s="157"/>
      <c r="M21" s="231" t="s">
        <v>244</v>
      </c>
      <c r="N21" s="232" t="s">
        <v>244</v>
      </c>
      <c r="O21" s="158" t="s">
        <v>245</v>
      </c>
      <c r="P21" s="158" t="s">
        <v>156</v>
      </c>
      <c r="Q21" s="158" t="s">
        <v>246</v>
      </c>
    </row>
    <row r="22" spans="1:17" x14ac:dyDescent="0.35">
      <c r="A22" s="229" t="s">
        <v>247</v>
      </c>
      <c r="B22" s="157" t="s">
        <v>248</v>
      </c>
      <c r="C22" s="159">
        <v>0</v>
      </c>
      <c r="D22" s="159">
        <v>0.82142857142860004</v>
      </c>
      <c r="E22" s="159">
        <v>0.17857142857139999</v>
      </c>
      <c r="F22" s="157"/>
      <c r="G22" s="229" t="s">
        <v>247</v>
      </c>
      <c r="H22" s="157" t="s">
        <v>248</v>
      </c>
      <c r="I22" s="159">
        <v>0.14285714285709999</v>
      </c>
      <c r="J22" s="159">
        <v>0.42857142857140001</v>
      </c>
      <c r="K22" s="159">
        <v>0.42857142857140001</v>
      </c>
      <c r="L22" s="157"/>
      <c r="M22" s="229" t="s">
        <v>247</v>
      </c>
      <c r="N22" s="157" t="s">
        <v>248</v>
      </c>
      <c r="O22" s="159">
        <v>0.21428571428570001</v>
      </c>
      <c r="P22" s="159">
        <v>0.28571428571430002</v>
      </c>
      <c r="Q22" s="159">
        <v>0.5</v>
      </c>
    </row>
    <row r="23" spans="1:17" x14ac:dyDescent="0.35">
      <c r="A23" s="229" t="s">
        <v>249</v>
      </c>
      <c r="B23" s="157" t="s">
        <v>250</v>
      </c>
      <c r="C23" s="159">
        <v>0</v>
      </c>
      <c r="D23" s="159">
        <v>0.5625</v>
      </c>
      <c r="E23" s="159">
        <v>0.4375</v>
      </c>
      <c r="F23" s="157"/>
      <c r="G23" s="229" t="s">
        <v>249</v>
      </c>
      <c r="H23" s="157" t="s">
        <v>250</v>
      </c>
      <c r="I23" s="159">
        <v>6.25E-2</v>
      </c>
      <c r="J23" s="159">
        <v>0.5625</v>
      </c>
      <c r="K23" s="159">
        <v>0.375</v>
      </c>
      <c r="L23" s="157"/>
      <c r="M23" s="229" t="s">
        <v>249</v>
      </c>
      <c r="N23" s="157" t="s">
        <v>250</v>
      </c>
      <c r="O23" s="159">
        <v>0.125</v>
      </c>
      <c r="P23" s="159">
        <v>0.5</v>
      </c>
      <c r="Q23" s="159">
        <v>0.375</v>
      </c>
    </row>
    <row r="24" spans="1:17" x14ac:dyDescent="0.35">
      <c r="A24" s="229" t="s">
        <v>249</v>
      </c>
      <c r="B24" s="157"/>
      <c r="C24" s="159"/>
      <c r="D24" s="159"/>
      <c r="E24" s="159"/>
      <c r="F24" s="157"/>
      <c r="G24" s="229" t="s">
        <v>249</v>
      </c>
      <c r="H24" s="157"/>
      <c r="I24" s="159"/>
      <c r="J24" s="159"/>
      <c r="K24" s="159"/>
      <c r="L24" s="157"/>
      <c r="M24" s="229" t="s">
        <v>249</v>
      </c>
      <c r="N24" s="157"/>
      <c r="O24" s="159"/>
      <c r="P24" s="159"/>
      <c r="Q24" s="159"/>
    </row>
    <row r="25" spans="1:17" x14ac:dyDescent="0.35">
      <c r="A25" s="229" t="s">
        <v>251</v>
      </c>
      <c r="B25" s="157" t="s">
        <v>252</v>
      </c>
      <c r="C25" s="159">
        <v>0</v>
      </c>
      <c r="D25" s="159">
        <v>0.75</v>
      </c>
      <c r="E25" s="159">
        <v>0.25</v>
      </c>
      <c r="F25" s="157"/>
      <c r="G25" s="229" t="s">
        <v>251</v>
      </c>
      <c r="H25" s="157" t="s">
        <v>252</v>
      </c>
      <c r="I25" s="159">
        <v>0.2</v>
      </c>
      <c r="J25" s="159">
        <v>0.4</v>
      </c>
      <c r="K25" s="159">
        <v>0.4</v>
      </c>
      <c r="L25" s="157"/>
      <c r="M25" s="229" t="s">
        <v>251</v>
      </c>
      <c r="N25" s="157" t="s">
        <v>252</v>
      </c>
      <c r="O25" s="159">
        <v>0.2</v>
      </c>
      <c r="P25" s="159">
        <v>0.55000000000000004</v>
      </c>
      <c r="Q25" s="159">
        <v>0.25</v>
      </c>
    </row>
    <row r="26" spans="1:17" x14ac:dyDescent="0.35">
      <c r="A26" s="229" t="s">
        <v>249</v>
      </c>
      <c r="B26" s="157" t="s">
        <v>253</v>
      </c>
      <c r="C26" s="159">
        <v>0</v>
      </c>
      <c r="D26" s="159">
        <v>0.70833333333329995</v>
      </c>
      <c r="E26" s="159">
        <v>0.29166666666669999</v>
      </c>
      <c r="F26" s="157"/>
      <c r="G26" s="229" t="s">
        <v>249</v>
      </c>
      <c r="H26" s="157" t="s">
        <v>253</v>
      </c>
      <c r="I26" s="159">
        <v>4.1666666666670002E-2</v>
      </c>
      <c r="J26" s="159">
        <v>0.54166666666670005</v>
      </c>
      <c r="K26" s="159">
        <v>0.41666666666669999</v>
      </c>
      <c r="L26" s="157"/>
      <c r="M26" s="229" t="s">
        <v>249</v>
      </c>
      <c r="N26" s="157" t="s">
        <v>253</v>
      </c>
      <c r="O26" s="159">
        <v>0.16666666666669999</v>
      </c>
      <c r="P26" s="159">
        <v>0.20833333333330001</v>
      </c>
      <c r="Q26" s="159">
        <v>0.625</v>
      </c>
    </row>
    <row r="27" spans="1:17" x14ac:dyDescent="0.35">
      <c r="A27" s="229" t="s">
        <v>249</v>
      </c>
      <c r="B27" s="157"/>
      <c r="C27" s="159"/>
      <c r="D27" s="159"/>
      <c r="E27" s="159"/>
      <c r="F27" s="157"/>
      <c r="G27" s="229" t="s">
        <v>249</v>
      </c>
      <c r="H27" s="157"/>
      <c r="I27" s="159"/>
      <c r="J27" s="159"/>
      <c r="K27" s="159"/>
      <c r="L27" s="157"/>
      <c r="M27" s="229" t="s">
        <v>249</v>
      </c>
      <c r="N27" s="157"/>
      <c r="O27" s="159"/>
      <c r="P27" s="159"/>
      <c r="Q27" s="159"/>
    </row>
    <row r="28" spans="1:17" x14ac:dyDescent="0.35">
      <c r="A28" s="229" t="s">
        <v>254</v>
      </c>
      <c r="B28" s="157" t="s">
        <v>255</v>
      </c>
      <c r="C28" s="159">
        <v>0</v>
      </c>
      <c r="D28" s="159">
        <v>0.6</v>
      </c>
      <c r="E28" s="159">
        <v>0.4</v>
      </c>
      <c r="F28" s="157"/>
      <c r="G28" s="229" t="s">
        <v>254</v>
      </c>
      <c r="H28" s="157" t="s">
        <v>255</v>
      </c>
      <c r="I28" s="159">
        <v>0.2</v>
      </c>
      <c r="J28" s="159">
        <v>0.2</v>
      </c>
      <c r="K28" s="159">
        <v>0.6</v>
      </c>
      <c r="L28" s="157"/>
      <c r="M28" s="229" t="s">
        <v>254</v>
      </c>
      <c r="N28" s="157" t="s">
        <v>255</v>
      </c>
      <c r="O28" s="159">
        <v>0.4</v>
      </c>
      <c r="P28" s="159">
        <v>0.2</v>
      </c>
      <c r="Q28" s="159">
        <v>0.4</v>
      </c>
    </row>
    <row r="29" spans="1:17" x14ac:dyDescent="0.35">
      <c r="A29" s="229" t="s">
        <v>249</v>
      </c>
      <c r="B29" s="157" t="s">
        <v>256</v>
      </c>
      <c r="C29" s="159">
        <v>0</v>
      </c>
      <c r="D29" s="159">
        <v>0.78947368421050002</v>
      </c>
      <c r="E29" s="159">
        <v>0.21052631578950001</v>
      </c>
      <c r="F29" s="157"/>
      <c r="G29" s="229" t="s">
        <v>249</v>
      </c>
      <c r="H29" s="157" t="s">
        <v>256</v>
      </c>
      <c r="I29" s="159">
        <v>0.1052631578947</v>
      </c>
      <c r="J29" s="159">
        <v>0.4736842105263</v>
      </c>
      <c r="K29" s="159">
        <v>0.42105263157889999</v>
      </c>
      <c r="L29" s="157"/>
      <c r="M29" s="229" t="s">
        <v>249</v>
      </c>
      <c r="N29" s="157" t="s">
        <v>256</v>
      </c>
      <c r="O29" s="159">
        <v>0.15789473684210001</v>
      </c>
      <c r="P29" s="159">
        <v>0.36842105263160002</v>
      </c>
      <c r="Q29" s="159">
        <v>0.4736842105263</v>
      </c>
    </row>
    <row r="30" spans="1:17" x14ac:dyDescent="0.35">
      <c r="A30" s="229" t="s">
        <v>249</v>
      </c>
      <c r="B30" s="157" t="s">
        <v>257</v>
      </c>
      <c r="C30" s="159">
        <v>0</v>
      </c>
      <c r="D30" s="159">
        <v>0.8</v>
      </c>
      <c r="E30" s="159">
        <v>0.2</v>
      </c>
      <c r="F30" s="157"/>
      <c r="G30" s="229" t="s">
        <v>249</v>
      </c>
      <c r="H30" s="157" t="s">
        <v>257</v>
      </c>
      <c r="I30" s="159">
        <v>0.1</v>
      </c>
      <c r="J30" s="159">
        <v>0.8</v>
      </c>
      <c r="K30" s="159">
        <v>0.1</v>
      </c>
      <c r="L30" s="157"/>
      <c r="M30" s="229" t="s">
        <v>249</v>
      </c>
      <c r="N30" s="157" t="s">
        <v>257</v>
      </c>
      <c r="O30" s="159">
        <v>0</v>
      </c>
      <c r="P30" s="159">
        <v>0.4</v>
      </c>
      <c r="Q30" s="159">
        <v>0.6</v>
      </c>
    </row>
    <row r="31" spans="1:17" x14ac:dyDescent="0.35">
      <c r="A31" s="229" t="s">
        <v>249</v>
      </c>
      <c r="B31" s="157" t="s">
        <v>258</v>
      </c>
      <c r="C31" s="159">
        <v>0</v>
      </c>
      <c r="D31" s="159">
        <v>0.79310344827589996</v>
      </c>
      <c r="E31" s="159">
        <v>0.20689655172409999</v>
      </c>
      <c r="F31" s="157"/>
      <c r="G31" s="229" t="s">
        <v>249</v>
      </c>
      <c r="H31" s="157" t="s">
        <v>258</v>
      </c>
      <c r="I31" s="159">
        <v>0.10344827586209999</v>
      </c>
      <c r="J31" s="159">
        <v>0.5862068965517</v>
      </c>
      <c r="K31" s="159">
        <v>0.31034482758620002</v>
      </c>
      <c r="L31" s="157"/>
      <c r="M31" s="229" t="s">
        <v>249</v>
      </c>
      <c r="N31" s="157" t="s">
        <v>258</v>
      </c>
      <c r="O31" s="159">
        <v>0.10344827586209999</v>
      </c>
      <c r="P31" s="159">
        <v>0.37931034482760001</v>
      </c>
      <c r="Q31" s="159">
        <v>0.51724137931030001</v>
      </c>
    </row>
    <row r="32" spans="1:17" x14ac:dyDescent="0.35">
      <c r="A32" s="229" t="s">
        <v>249</v>
      </c>
      <c r="B32" s="157" t="s">
        <v>259</v>
      </c>
      <c r="C32" s="159">
        <v>0</v>
      </c>
      <c r="D32" s="159">
        <v>0.76470588235290005</v>
      </c>
      <c r="E32" s="159">
        <v>0.23529411764710001</v>
      </c>
      <c r="F32" s="157"/>
      <c r="G32" s="229" t="s">
        <v>249</v>
      </c>
      <c r="H32" s="157" t="s">
        <v>259</v>
      </c>
      <c r="I32" s="159">
        <v>0.1176470588235</v>
      </c>
      <c r="J32" s="159">
        <v>0.52941176470590001</v>
      </c>
      <c r="K32" s="159">
        <v>0.35294117647060003</v>
      </c>
      <c r="L32" s="157"/>
      <c r="M32" s="229" t="s">
        <v>249</v>
      </c>
      <c r="N32" s="157" t="s">
        <v>259</v>
      </c>
      <c r="O32" s="159">
        <v>0.1470588235294</v>
      </c>
      <c r="P32" s="159">
        <v>0.35294117647060003</v>
      </c>
      <c r="Q32" s="159">
        <v>0.5</v>
      </c>
    </row>
    <row r="33" spans="1:17" x14ac:dyDescent="0.35">
      <c r="A33" s="229" t="s">
        <v>249</v>
      </c>
      <c r="B33" s="157" t="s">
        <v>195</v>
      </c>
      <c r="C33" s="159">
        <v>0</v>
      </c>
      <c r="D33" s="159">
        <v>0.6</v>
      </c>
      <c r="E33" s="159">
        <v>0.4</v>
      </c>
      <c r="F33" s="157"/>
      <c r="G33" s="229" t="s">
        <v>249</v>
      </c>
      <c r="H33" s="157" t="s">
        <v>195</v>
      </c>
      <c r="I33" s="159">
        <v>0.1</v>
      </c>
      <c r="J33" s="159">
        <v>0.3</v>
      </c>
      <c r="K33" s="159">
        <v>0.6</v>
      </c>
      <c r="L33" s="157"/>
      <c r="M33" s="229" t="s">
        <v>249</v>
      </c>
      <c r="N33" s="157" t="s">
        <v>195</v>
      </c>
      <c r="O33" s="159">
        <v>0.3</v>
      </c>
      <c r="P33" s="159">
        <v>0.4</v>
      </c>
      <c r="Q33" s="159">
        <v>0.3</v>
      </c>
    </row>
    <row r="34" spans="1:17" x14ac:dyDescent="0.35">
      <c r="A34" s="229" t="s">
        <v>249</v>
      </c>
      <c r="B34" s="157" t="s">
        <v>260</v>
      </c>
      <c r="C34" s="159">
        <v>0</v>
      </c>
      <c r="D34" s="159">
        <v>0.72727272727269998</v>
      </c>
      <c r="E34" s="159">
        <v>0.27272727272730002</v>
      </c>
      <c r="F34" s="157"/>
      <c r="G34" s="229" t="s">
        <v>249</v>
      </c>
      <c r="H34" s="157" t="s">
        <v>260</v>
      </c>
      <c r="I34" s="159">
        <v>0.11363636363640001</v>
      </c>
      <c r="J34" s="159">
        <v>0.47727272727269998</v>
      </c>
      <c r="K34" s="159">
        <v>0.40909090909090001</v>
      </c>
      <c r="L34" s="157"/>
      <c r="M34" s="229" t="s">
        <v>249</v>
      </c>
      <c r="N34" s="157" t="s">
        <v>260</v>
      </c>
      <c r="O34" s="159">
        <v>0.1818181818182</v>
      </c>
      <c r="P34" s="159">
        <v>0.36363636363640001</v>
      </c>
      <c r="Q34" s="159">
        <v>0.45454545454549999</v>
      </c>
    </row>
    <row r="35" spans="1:17" x14ac:dyDescent="0.35">
      <c r="A35" s="157"/>
      <c r="B35" s="157"/>
      <c r="C35" s="157"/>
      <c r="D35" s="157"/>
      <c r="E35" s="157"/>
      <c r="F35" s="157"/>
      <c r="G35" s="157"/>
      <c r="H35" s="157"/>
      <c r="I35" s="157"/>
      <c r="J35" s="157"/>
      <c r="K35" s="157"/>
      <c r="L35" s="157"/>
      <c r="M35" s="157"/>
      <c r="N35" s="157"/>
      <c r="O35" s="157"/>
      <c r="P35" s="157"/>
      <c r="Q35" s="157"/>
    </row>
    <row r="36" spans="1:17" x14ac:dyDescent="0.35">
      <c r="A36" s="157"/>
      <c r="B36" s="157"/>
      <c r="C36" s="157"/>
      <c r="D36" s="157"/>
      <c r="E36" s="157"/>
      <c r="F36" s="157"/>
      <c r="G36" s="157"/>
      <c r="H36" s="157"/>
      <c r="I36" s="157"/>
      <c r="J36" s="157"/>
      <c r="K36" s="157"/>
      <c r="L36" s="157"/>
      <c r="M36" s="157"/>
      <c r="N36" s="157"/>
      <c r="O36" s="157"/>
      <c r="P36" s="157"/>
      <c r="Q36" s="157"/>
    </row>
    <row r="37" spans="1:17" x14ac:dyDescent="0.35">
      <c r="A37" s="230" t="s">
        <v>264</v>
      </c>
      <c r="B37" s="230"/>
      <c r="C37" s="230"/>
      <c r="D37" s="230"/>
      <c r="E37" s="230"/>
      <c r="F37" s="157"/>
      <c r="G37" s="230" t="s">
        <v>265</v>
      </c>
      <c r="H37" s="230"/>
      <c r="I37" s="230"/>
      <c r="J37" s="230"/>
      <c r="K37" s="157"/>
      <c r="L37" s="157"/>
      <c r="M37" s="230" t="s">
        <v>266</v>
      </c>
      <c r="N37" s="230"/>
      <c r="O37" s="230"/>
      <c r="P37" s="230"/>
      <c r="Q37" s="230"/>
    </row>
    <row r="38" spans="1:17" ht="58" x14ac:dyDescent="0.35">
      <c r="A38" s="231" t="s">
        <v>244</v>
      </c>
      <c r="B38" s="232" t="s">
        <v>244</v>
      </c>
      <c r="C38" s="158" t="s">
        <v>245</v>
      </c>
      <c r="D38" s="158" t="s">
        <v>156</v>
      </c>
      <c r="E38" s="158" t="s">
        <v>246</v>
      </c>
      <c r="F38" s="157"/>
      <c r="G38" s="231" t="s">
        <v>244</v>
      </c>
      <c r="H38" s="232" t="s">
        <v>244</v>
      </c>
      <c r="I38" s="158" t="s">
        <v>245</v>
      </c>
      <c r="J38" s="158" t="s">
        <v>156</v>
      </c>
      <c r="K38" s="158" t="s">
        <v>246</v>
      </c>
      <c r="L38" s="157"/>
      <c r="M38" s="231" t="s">
        <v>244</v>
      </c>
      <c r="N38" s="232" t="s">
        <v>244</v>
      </c>
      <c r="O38" s="158" t="s">
        <v>245</v>
      </c>
      <c r="P38" s="158" t="s">
        <v>156</v>
      </c>
      <c r="Q38" s="158" t="s">
        <v>246</v>
      </c>
    </row>
    <row r="39" spans="1:17" x14ac:dyDescent="0.35">
      <c r="A39" s="229" t="s">
        <v>247</v>
      </c>
      <c r="B39" s="157" t="s">
        <v>248</v>
      </c>
      <c r="C39" s="159">
        <v>0.14285714285709999</v>
      </c>
      <c r="D39" s="159">
        <v>0.57142857142860004</v>
      </c>
      <c r="E39" s="159">
        <v>0.28571428571430002</v>
      </c>
      <c r="F39" s="157"/>
      <c r="G39" s="229" t="s">
        <v>247</v>
      </c>
      <c r="H39" s="157" t="s">
        <v>248</v>
      </c>
      <c r="I39" s="159">
        <v>0.25</v>
      </c>
      <c r="J39" s="159">
        <v>0.42857142857140001</v>
      </c>
      <c r="K39" s="159">
        <v>0.32142857142859999</v>
      </c>
      <c r="L39" s="157"/>
      <c r="M39" s="229" t="s">
        <v>247</v>
      </c>
      <c r="N39" s="157" t="s">
        <v>248</v>
      </c>
      <c r="O39" s="159">
        <v>0.14285714285709999</v>
      </c>
      <c r="P39" s="159">
        <v>0.57142857142860004</v>
      </c>
      <c r="Q39" s="159">
        <v>0.28571428571430002</v>
      </c>
    </row>
    <row r="40" spans="1:17" x14ac:dyDescent="0.35">
      <c r="A40" s="229" t="s">
        <v>249</v>
      </c>
      <c r="B40" s="157" t="s">
        <v>250</v>
      </c>
      <c r="C40" s="159">
        <v>0.125</v>
      </c>
      <c r="D40" s="159">
        <v>0.8125</v>
      </c>
      <c r="E40" s="159">
        <v>6.25E-2</v>
      </c>
      <c r="F40" s="157"/>
      <c r="G40" s="229" t="s">
        <v>249</v>
      </c>
      <c r="H40" s="157" t="s">
        <v>250</v>
      </c>
      <c r="I40" s="159">
        <v>0.25</v>
      </c>
      <c r="J40" s="159">
        <v>0.4375</v>
      </c>
      <c r="K40" s="159">
        <v>0.3125</v>
      </c>
      <c r="L40" s="157"/>
      <c r="M40" s="229" t="s">
        <v>249</v>
      </c>
      <c r="N40" s="157" t="s">
        <v>250</v>
      </c>
      <c r="O40" s="159">
        <v>6.25E-2</v>
      </c>
      <c r="P40" s="159">
        <v>0.4375</v>
      </c>
      <c r="Q40" s="159">
        <v>0.5</v>
      </c>
    </row>
    <row r="41" spans="1:17" x14ac:dyDescent="0.35">
      <c r="A41" s="229" t="s">
        <v>249</v>
      </c>
      <c r="B41" s="157"/>
      <c r="C41" s="159"/>
      <c r="D41" s="159"/>
      <c r="E41" s="159"/>
      <c r="F41" s="157"/>
      <c r="G41" s="229" t="s">
        <v>249</v>
      </c>
      <c r="H41" s="157"/>
      <c r="I41" s="159"/>
      <c r="J41" s="159"/>
      <c r="K41" s="159"/>
      <c r="L41" s="157"/>
      <c r="M41" s="229" t="s">
        <v>249</v>
      </c>
      <c r="N41" s="157"/>
      <c r="O41" s="159"/>
      <c r="P41" s="159"/>
      <c r="Q41" s="159"/>
    </row>
    <row r="42" spans="1:17" x14ac:dyDescent="0.35">
      <c r="A42" s="229" t="s">
        <v>251</v>
      </c>
      <c r="B42" s="157" t="s">
        <v>252</v>
      </c>
      <c r="C42" s="159">
        <v>0.15</v>
      </c>
      <c r="D42" s="159">
        <v>0.6</v>
      </c>
      <c r="E42" s="159">
        <v>0.25</v>
      </c>
      <c r="F42" s="157"/>
      <c r="G42" s="229" t="s">
        <v>251</v>
      </c>
      <c r="H42" s="157" t="s">
        <v>252</v>
      </c>
      <c r="I42" s="159">
        <v>0.25</v>
      </c>
      <c r="J42" s="159">
        <v>0.4</v>
      </c>
      <c r="K42" s="159">
        <v>0.35</v>
      </c>
      <c r="L42" s="157"/>
      <c r="M42" s="229" t="s">
        <v>251</v>
      </c>
      <c r="N42" s="157" t="s">
        <v>252</v>
      </c>
      <c r="O42" s="159">
        <v>0.15</v>
      </c>
      <c r="P42" s="159">
        <v>0.6</v>
      </c>
      <c r="Q42" s="159">
        <v>0.25</v>
      </c>
    </row>
    <row r="43" spans="1:17" x14ac:dyDescent="0.35">
      <c r="A43" s="229" t="s">
        <v>249</v>
      </c>
      <c r="B43" s="157" t="s">
        <v>253</v>
      </c>
      <c r="C43" s="159">
        <v>0.125</v>
      </c>
      <c r="D43" s="159">
        <v>0.70833333333329995</v>
      </c>
      <c r="E43" s="159">
        <v>0.16666666666669999</v>
      </c>
      <c r="F43" s="157"/>
      <c r="G43" s="229" t="s">
        <v>249</v>
      </c>
      <c r="H43" s="157" t="s">
        <v>253</v>
      </c>
      <c r="I43" s="159">
        <v>0.25</v>
      </c>
      <c r="J43" s="159">
        <v>0.45833333333330001</v>
      </c>
      <c r="K43" s="159">
        <v>0.29166666666669999</v>
      </c>
      <c r="L43" s="157"/>
      <c r="M43" s="229" t="s">
        <v>249</v>
      </c>
      <c r="N43" s="157" t="s">
        <v>253</v>
      </c>
      <c r="O43" s="159">
        <v>8.3333333333329998E-2</v>
      </c>
      <c r="P43" s="159">
        <v>0.45833333333330001</v>
      </c>
      <c r="Q43" s="159">
        <v>0.45833333333330001</v>
      </c>
    </row>
    <row r="44" spans="1:17" x14ac:dyDescent="0.35">
      <c r="A44" s="229" t="s">
        <v>249</v>
      </c>
      <c r="B44" s="157"/>
      <c r="C44" s="159"/>
      <c r="D44" s="159"/>
      <c r="E44" s="159"/>
      <c r="F44" s="157"/>
      <c r="G44" s="229" t="s">
        <v>249</v>
      </c>
      <c r="H44" s="157"/>
      <c r="I44" s="159"/>
      <c r="J44" s="159"/>
      <c r="K44" s="159"/>
      <c r="L44" s="157"/>
      <c r="M44" s="229" t="s">
        <v>249</v>
      </c>
      <c r="N44" s="157"/>
      <c r="O44" s="159"/>
      <c r="P44" s="159"/>
      <c r="Q44" s="159"/>
    </row>
    <row r="45" spans="1:17" x14ac:dyDescent="0.35">
      <c r="A45" s="229" t="s">
        <v>254</v>
      </c>
      <c r="B45" s="157" t="s">
        <v>255</v>
      </c>
      <c r="C45" s="159">
        <v>0</v>
      </c>
      <c r="D45" s="159">
        <v>0.6</v>
      </c>
      <c r="E45" s="159">
        <v>0.4</v>
      </c>
      <c r="F45" s="157"/>
      <c r="G45" s="229" t="s">
        <v>254</v>
      </c>
      <c r="H45" s="157" t="s">
        <v>255</v>
      </c>
      <c r="I45" s="159">
        <v>0</v>
      </c>
      <c r="J45" s="159">
        <v>0.6</v>
      </c>
      <c r="K45" s="159">
        <v>0.4</v>
      </c>
      <c r="L45" s="157"/>
      <c r="M45" s="229" t="s">
        <v>254</v>
      </c>
      <c r="N45" s="157" t="s">
        <v>255</v>
      </c>
      <c r="O45" s="159">
        <v>0</v>
      </c>
      <c r="P45" s="159">
        <v>0.4</v>
      </c>
      <c r="Q45" s="159">
        <v>0.6</v>
      </c>
    </row>
    <row r="46" spans="1:17" x14ac:dyDescent="0.35">
      <c r="A46" s="229" t="s">
        <v>249</v>
      </c>
      <c r="B46" s="157" t="s">
        <v>256</v>
      </c>
      <c r="C46" s="159">
        <v>0.15789473684210001</v>
      </c>
      <c r="D46" s="159">
        <v>0.68421052631580004</v>
      </c>
      <c r="E46" s="159">
        <v>0.15789473684210001</v>
      </c>
      <c r="F46" s="157"/>
      <c r="G46" s="229" t="s">
        <v>249</v>
      </c>
      <c r="H46" s="157" t="s">
        <v>256</v>
      </c>
      <c r="I46" s="159">
        <v>0.36842105263160002</v>
      </c>
      <c r="J46" s="159">
        <v>0.31578947368420002</v>
      </c>
      <c r="K46" s="159">
        <v>0.31578947368420002</v>
      </c>
      <c r="L46" s="157"/>
      <c r="M46" s="229" t="s">
        <v>249</v>
      </c>
      <c r="N46" s="157" t="s">
        <v>256</v>
      </c>
      <c r="O46" s="159">
        <v>0.21052631578950001</v>
      </c>
      <c r="P46" s="159">
        <v>0.4736842105263</v>
      </c>
      <c r="Q46" s="159">
        <v>0.31578947368420002</v>
      </c>
    </row>
    <row r="47" spans="1:17" x14ac:dyDescent="0.35">
      <c r="A47" s="229" t="s">
        <v>249</v>
      </c>
      <c r="B47" s="157" t="s">
        <v>257</v>
      </c>
      <c r="C47" s="159">
        <v>0</v>
      </c>
      <c r="D47" s="159">
        <v>0.7</v>
      </c>
      <c r="E47" s="159">
        <v>0.3</v>
      </c>
      <c r="F47" s="157"/>
      <c r="G47" s="229" t="s">
        <v>249</v>
      </c>
      <c r="H47" s="157" t="s">
        <v>257</v>
      </c>
      <c r="I47" s="159">
        <v>0.1</v>
      </c>
      <c r="J47" s="159">
        <v>0.6</v>
      </c>
      <c r="K47" s="159">
        <v>0.3</v>
      </c>
      <c r="L47" s="157"/>
      <c r="M47" s="229" t="s">
        <v>249</v>
      </c>
      <c r="N47" s="157" t="s">
        <v>257</v>
      </c>
      <c r="O47" s="159">
        <v>0</v>
      </c>
      <c r="P47" s="159">
        <v>0.9</v>
      </c>
      <c r="Q47" s="159">
        <v>0.1</v>
      </c>
    </row>
    <row r="48" spans="1:17" x14ac:dyDescent="0.35">
      <c r="A48" s="229" t="s">
        <v>249</v>
      </c>
      <c r="B48" s="157" t="s">
        <v>258</v>
      </c>
      <c r="C48" s="159">
        <v>0.10344827586209999</v>
      </c>
      <c r="D48" s="159">
        <v>0.68965517241380003</v>
      </c>
      <c r="E48" s="159">
        <v>0.20689655172409999</v>
      </c>
      <c r="F48" s="157"/>
      <c r="G48" s="229" t="s">
        <v>249</v>
      </c>
      <c r="H48" s="157" t="s">
        <v>258</v>
      </c>
      <c r="I48" s="159">
        <v>0.27586206896549997</v>
      </c>
      <c r="J48" s="159">
        <v>0.4137931034483</v>
      </c>
      <c r="K48" s="159">
        <v>0.31034482758620002</v>
      </c>
      <c r="L48" s="157"/>
      <c r="M48" s="229" t="s">
        <v>249</v>
      </c>
      <c r="N48" s="157" t="s">
        <v>258</v>
      </c>
      <c r="O48" s="159">
        <v>0.1379310344828</v>
      </c>
      <c r="P48" s="159">
        <v>0.62068965517240005</v>
      </c>
      <c r="Q48" s="159">
        <v>0.24137931034480001</v>
      </c>
    </row>
    <row r="49" spans="1:17" x14ac:dyDescent="0.35">
      <c r="A49" s="229" t="s">
        <v>249</v>
      </c>
      <c r="B49" s="157" t="s">
        <v>259</v>
      </c>
      <c r="C49" s="159">
        <v>8.8235294117650007E-2</v>
      </c>
      <c r="D49" s="159">
        <v>0.67647058823530004</v>
      </c>
      <c r="E49" s="159">
        <v>0.23529411764710001</v>
      </c>
      <c r="F49" s="157"/>
      <c r="G49" s="229" t="s">
        <v>249</v>
      </c>
      <c r="H49" s="157" t="s">
        <v>259</v>
      </c>
      <c r="I49" s="159">
        <v>0.23529411764710001</v>
      </c>
      <c r="J49" s="159">
        <v>0.44117647058819998</v>
      </c>
      <c r="K49" s="159">
        <v>0.32352941176470001</v>
      </c>
      <c r="L49" s="157"/>
      <c r="M49" s="229" t="s">
        <v>249</v>
      </c>
      <c r="N49" s="157" t="s">
        <v>259</v>
      </c>
      <c r="O49" s="159">
        <v>0.1176470588235</v>
      </c>
      <c r="P49" s="159">
        <v>0.5882352941176</v>
      </c>
      <c r="Q49" s="159">
        <v>0.2941176470588</v>
      </c>
    </row>
    <row r="50" spans="1:17" x14ac:dyDescent="0.35">
      <c r="A50" s="229" t="s">
        <v>249</v>
      </c>
      <c r="B50" s="157" t="s">
        <v>195</v>
      </c>
      <c r="C50" s="159">
        <v>0.3</v>
      </c>
      <c r="D50" s="159">
        <v>0.6</v>
      </c>
      <c r="E50" s="159">
        <v>0.1</v>
      </c>
      <c r="F50" s="157"/>
      <c r="G50" s="229" t="s">
        <v>249</v>
      </c>
      <c r="H50" s="157" t="s">
        <v>195</v>
      </c>
      <c r="I50" s="159">
        <v>0.3</v>
      </c>
      <c r="J50" s="159">
        <v>0.4</v>
      </c>
      <c r="K50" s="159">
        <v>0.3</v>
      </c>
      <c r="L50" s="157"/>
      <c r="M50" s="229" t="s">
        <v>249</v>
      </c>
      <c r="N50" s="157" t="s">
        <v>195</v>
      </c>
      <c r="O50" s="159">
        <v>0.1</v>
      </c>
      <c r="P50" s="159">
        <v>0.3</v>
      </c>
      <c r="Q50" s="159">
        <v>0.6</v>
      </c>
    </row>
    <row r="51" spans="1:17" x14ac:dyDescent="0.35">
      <c r="A51" s="229" t="s">
        <v>249</v>
      </c>
      <c r="B51" s="157" t="s">
        <v>260</v>
      </c>
      <c r="C51" s="159">
        <v>0.13636363636359999</v>
      </c>
      <c r="D51" s="159">
        <v>0.65909090909089996</v>
      </c>
      <c r="E51" s="159">
        <v>0.20454545454549999</v>
      </c>
      <c r="F51" s="157"/>
      <c r="G51" s="229" t="s">
        <v>249</v>
      </c>
      <c r="H51" s="157" t="s">
        <v>260</v>
      </c>
      <c r="I51" s="159">
        <v>0.25</v>
      </c>
      <c r="J51" s="159">
        <v>0.43181818181819998</v>
      </c>
      <c r="K51" s="159">
        <v>0.31818181818180002</v>
      </c>
      <c r="L51" s="157"/>
      <c r="M51" s="229" t="s">
        <v>249</v>
      </c>
      <c r="N51" s="157" t="s">
        <v>260</v>
      </c>
      <c r="O51" s="159">
        <v>0.11363636363640001</v>
      </c>
      <c r="P51" s="159">
        <v>0.52272727272730002</v>
      </c>
      <c r="Q51" s="159">
        <v>0.36363636363640001</v>
      </c>
    </row>
  </sheetData>
  <mergeCells count="45">
    <mergeCell ref="A3:E3"/>
    <mergeCell ref="G3:J3"/>
    <mergeCell ref="M3:Q3"/>
    <mergeCell ref="A4:B4"/>
    <mergeCell ref="G4:H4"/>
    <mergeCell ref="M4:N4"/>
    <mergeCell ref="A5:A7"/>
    <mergeCell ref="G5:G7"/>
    <mergeCell ref="M5:M7"/>
    <mergeCell ref="A8:A10"/>
    <mergeCell ref="G8:G10"/>
    <mergeCell ref="M8:M10"/>
    <mergeCell ref="A11:A17"/>
    <mergeCell ref="G11:G17"/>
    <mergeCell ref="M11:M17"/>
    <mergeCell ref="A20:E20"/>
    <mergeCell ref="G20:J20"/>
    <mergeCell ref="M20:Q20"/>
    <mergeCell ref="A21:B21"/>
    <mergeCell ref="G21:H21"/>
    <mergeCell ref="M21:N21"/>
    <mergeCell ref="A22:A24"/>
    <mergeCell ref="G22:G24"/>
    <mergeCell ref="M22:M24"/>
    <mergeCell ref="A25:A27"/>
    <mergeCell ref="G25:G27"/>
    <mergeCell ref="M25:M27"/>
    <mergeCell ref="A28:A34"/>
    <mergeCell ref="G28:G34"/>
    <mergeCell ref="M28:M34"/>
    <mergeCell ref="A37:E37"/>
    <mergeCell ref="G37:J37"/>
    <mergeCell ref="M37:Q37"/>
    <mergeCell ref="A38:B38"/>
    <mergeCell ref="G38:H38"/>
    <mergeCell ref="M38:N38"/>
    <mergeCell ref="A45:A51"/>
    <mergeCell ref="G45:G51"/>
    <mergeCell ref="M45:M51"/>
    <mergeCell ref="A39:A41"/>
    <mergeCell ref="G39:G41"/>
    <mergeCell ref="M39:M41"/>
    <mergeCell ref="A42:A44"/>
    <mergeCell ref="G42:G44"/>
    <mergeCell ref="M42:M4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ECA91-BF6E-4AD2-9859-AE94E47AFBA1}">
  <sheetPr codeName="Sheet13"/>
  <dimension ref="B2:K13"/>
  <sheetViews>
    <sheetView workbookViewId="0">
      <selection activeCell="K2" sqref="K2:K4"/>
    </sheetView>
  </sheetViews>
  <sheetFormatPr defaultRowHeight="14.5" x14ac:dyDescent="0.35"/>
  <cols>
    <col min="2" max="2" width="13.453125" bestFit="1" customWidth="1"/>
    <col min="5" max="5" width="52.54296875" bestFit="1" customWidth="1"/>
  </cols>
  <sheetData>
    <row r="2" spans="2:11" ht="29" x14ac:dyDescent="0.35">
      <c r="B2" s="42" t="s">
        <v>10</v>
      </c>
      <c r="C2" s="43">
        <v>1</v>
      </c>
      <c r="E2" s="131" t="s">
        <v>170</v>
      </c>
      <c r="G2" t="s">
        <v>237</v>
      </c>
      <c r="H2" t="s">
        <v>240</v>
      </c>
      <c r="I2" t="s">
        <v>291</v>
      </c>
      <c r="J2" t="s">
        <v>294</v>
      </c>
      <c r="K2" t="s">
        <v>300</v>
      </c>
    </row>
    <row r="3" spans="2:11" ht="29" x14ac:dyDescent="0.35">
      <c r="B3" s="42" t="s">
        <v>63</v>
      </c>
      <c r="C3" s="43">
        <v>0.5</v>
      </c>
      <c r="E3" s="131" t="s">
        <v>171</v>
      </c>
      <c r="G3" t="s">
        <v>151</v>
      </c>
      <c r="H3" t="s">
        <v>238</v>
      </c>
      <c r="I3" t="s">
        <v>284</v>
      </c>
      <c r="J3" t="s">
        <v>295</v>
      </c>
      <c r="K3" t="s">
        <v>301</v>
      </c>
    </row>
    <row r="4" spans="2:11" ht="29" x14ac:dyDescent="0.35">
      <c r="B4" s="42" t="s">
        <v>9</v>
      </c>
      <c r="C4" s="43">
        <v>0.25</v>
      </c>
      <c r="E4" s="131" t="s">
        <v>172</v>
      </c>
      <c r="G4" t="s">
        <v>192</v>
      </c>
      <c r="H4" t="s">
        <v>239</v>
      </c>
      <c r="J4" t="s">
        <v>296</v>
      </c>
      <c r="K4" t="s">
        <v>302</v>
      </c>
    </row>
    <row r="5" spans="2:11" ht="29" x14ac:dyDescent="0.35">
      <c r="B5" s="42" t="s">
        <v>65</v>
      </c>
      <c r="C5" s="43">
        <v>0.1</v>
      </c>
      <c r="E5" s="131" t="s">
        <v>173</v>
      </c>
    </row>
    <row r="6" spans="2:11" ht="29" x14ac:dyDescent="0.35">
      <c r="B6" s="42" t="s">
        <v>64</v>
      </c>
      <c r="C6" s="43">
        <v>0</v>
      </c>
      <c r="E6" s="131" t="s">
        <v>174</v>
      </c>
    </row>
    <row r="7" spans="2:11" ht="29" x14ac:dyDescent="0.35">
      <c r="E7" s="131" t="s">
        <v>175</v>
      </c>
    </row>
    <row r="8" spans="2:11" ht="29" x14ac:dyDescent="0.35">
      <c r="E8" s="131" t="s">
        <v>224</v>
      </c>
    </row>
    <row r="9" spans="2:11" ht="29" x14ac:dyDescent="0.35">
      <c r="E9" s="131" t="s">
        <v>225</v>
      </c>
    </row>
    <row r="10" spans="2:11" ht="43.5" x14ac:dyDescent="0.35">
      <c r="E10" s="131" t="s">
        <v>226</v>
      </c>
    </row>
    <row r="11" spans="2:11" ht="43.5" x14ac:dyDescent="0.35">
      <c r="E11" s="131" t="s">
        <v>227</v>
      </c>
    </row>
    <row r="12" spans="2:11" ht="29" x14ac:dyDescent="0.35">
      <c r="E12" s="131" t="s">
        <v>228</v>
      </c>
    </row>
    <row r="13" spans="2:11" ht="29" x14ac:dyDescent="0.35">
      <c r="E13" s="131" t="s">
        <v>229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A7419-FBDD-4B0B-9E03-753D7232CEC9}">
  <sheetPr codeName="Sheet2"/>
  <dimension ref="B2:E16"/>
  <sheetViews>
    <sheetView workbookViewId="0">
      <pane xSplit="2" ySplit="6" topLeftCell="C7" activePane="bottomRight" state="frozen"/>
      <selection pane="topRight" activeCell="C1" sqref="C1"/>
      <selection pane="bottomLeft" activeCell="A3" sqref="A3"/>
      <selection pane="bottomRight" activeCell="B8" sqref="B8:C8"/>
    </sheetView>
  </sheetViews>
  <sheetFormatPr defaultColWidth="9.1796875" defaultRowHeight="14.5" x14ac:dyDescent="0.35"/>
  <cols>
    <col min="1" max="1" width="9.1796875" style="7"/>
    <col min="2" max="2" width="23.81640625" style="7" bestFit="1" customWidth="1"/>
    <col min="3" max="3" width="190.1796875" style="7" customWidth="1"/>
    <col min="4" max="4" width="2" style="7" customWidth="1"/>
    <col min="5" max="16384" width="9.1796875" style="7"/>
  </cols>
  <sheetData>
    <row r="2" spans="2:5" s="196" customFormat="1" ht="36" customHeight="1" x14ac:dyDescent="0.35">
      <c r="B2" s="195" t="s">
        <v>220</v>
      </c>
      <c r="E2" s="196" t="s">
        <v>221</v>
      </c>
    </row>
    <row r="3" spans="2:5" s="198" customFormat="1" ht="6" customHeight="1" x14ac:dyDescent="0.35">
      <c r="B3" s="197"/>
    </row>
    <row r="4" spans="2:5" s="198" customFormat="1" ht="6" customHeight="1" x14ac:dyDescent="0.35">
      <c r="B4" s="197"/>
    </row>
    <row r="5" spans="2:5" x14ac:dyDescent="0.35">
      <c r="B5" s="80"/>
    </row>
    <row r="6" spans="2:5" ht="96.75" customHeight="1" x14ac:dyDescent="0.35">
      <c r="B6" s="199" t="s">
        <v>212</v>
      </c>
      <c r="C6" s="200" t="s">
        <v>267</v>
      </c>
    </row>
    <row r="7" spans="2:5" x14ac:dyDescent="0.35">
      <c r="B7" s="80" t="s">
        <v>222</v>
      </c>
    </row>
    <row r="8" spans="2:5" ht="46.5" customHeight="1" x14ac:dyDescent="0.35">
      <c r="B8" s="199" t="s">
        <v>205</v>
      </c>
      <c r="C8" s="200" t="s">
        <v>218</v>
      </c>
    </row>
    <row r="9" spans="2:5" ht="51.75" customHeight="1" x14ac:dyDescent="0.35">
      <c r="B9" s="199" t="s">
        <v>206</v>
      </c>
      <c r="C9" s="200" t="s">
        <v>268</v>
      </c>
    </row>
    <row r="10" spans="2:5" ht="46.5" customHeight="1" x14ac:dyDescent="0.35">
      <c r="B10" s="199" t="s">
        <v>207</v>
      </c>
      <c r="C10" s="200" t="s">
        <v>216</v>
      </c>
    </row>
    <row r="11" spans="2:5" ht="46.5" customHeight="1" x14ac:dyDescent="0.35">
      <c r="B11" s="199" t="s">
        <v>208</v>
      </c>
      <c r="C11" s="200" t="s">
        <v>269</v>
      </c>
    </row>
    <row r="12" spans="2:5" ht="46.5" customHeight="1" x14ac:dyDescent="0.35">
      <c r="B12" s="199" t="s">
        <v>204</v>
      </c>
      <c r="C12" s="200" t="s">
        <v>215</v>
      </c>
    </row>
    <row r="13" spans="2:5" ht="46.5" customHeight="1" x14ac:dyDescent="0.35">
      <c r="B13" s="199" t="s">
        <v>270</v>
      </c>
      <c r="C13" s="200" t="s">
        <v>271</v>
      </c>
    </row>
    <row r="14" spans="2:5" ht="46.5" customHeight="1" x14ac:dyDescent="0.35">
      <c r="B14" s="199" t="s">
        <v>209</v>
      </c>
      <c r="C14" s="200" t="s">
        <v>217</v>
      </c>
    </row>
    <row r="15" spans="2:5" ht="57" customHeight="1" x14ac:dyDescent="0.35">
      <c r="B15" s="199" t="s">
        <v>210</v>
      </c>
      <c r="C15" s="200" t="s">
        <v>290</v>
      </c>
    </row>
    <row r="16" spans="2:5" ht="46.5" customHeight="1" x14ac:dyDescent="0.35">
      <c r="B16" s="199" t="s">
        <v>211</v>
      </c>
      <c r="C16" s="200" t="s">
        <v>219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E5051-44F6-4A23-A966-5C44100F0E19}">
  <sheetPr codeName="Sheet3">
    <tabColor theme="7"/>
  </sheetPr>
  <dimension ref="B2:AS30"/>
  <sheetViews>
    <sheetView zoomScale="55" zoomScaleNormal="55" workbookViewId="0">
      <pane xSplit="3" ySplit="4" topLeftCell="D5" activePane="bottomRight" state="frozen"/>
      <selection pane="topRight" activeCell="D1" sqref="D1"/>
      <selection pane="bottomLeft" activeCell="A3" sqref="A3"/>
      <selection pane="bottomRight" activeCell="AY5" sqref="AY5"/>
    </sheetView>
  </sheetViews>
  <sheetFormatPr defaultColWidth="9.1796875" defaultRowHeight="14.5" outlineLevelRow="1" outlineLevelCol="1" x14ac:dyDescent="0.35"/>
  <cols>
    <col min="1" max="1" width="2.453125" style="7" customWidth="1"/>
    <col min="2" max="2" width="4.54296875" style="124" bestFit="1" customWidth="1"/>
    <col min="3" max="3" width="28.453125" style="7" customWidth="1"/>
    <col min="4" max="7" width="20.26953125" style="7" hidden="1" customWidth="1" outlineLevel="1"/>
    <col min="8" max="8" width="4.26953125" style="7" hidden="1" customWidth="1" outlineLevel="1"/>
    <col min="9" max="10" width="12.81640625" style="7" hidden="1" customWidth="1" outlineLevel="1"/>
    <col min="11" max="11" width="7.54296875" style="124" hidden="1" customWidth="1" outlineLevel="1"/>
    <col min="12" max="12" width="3.1796875" style="124" customWidth="1" collapsed="1"/>
    <col min="13" max="13" width="9" style="7" customWidth="1"/>
    <col min="14" max="14" width="2.7265625" style="7" customWidth="1"/>
    <col min="15" max="15" width="11.81640625" style="7" hidden="1" customWidth="1" outlineLevel="1"/>
    <col min="16" max="16" width="3.453125" style="7" hidden="1" customWidth="1" outlineLevel="1"/>
    <col min="17" max="22" width="7.1796875" style="7" hidden="1" customWidth="1" outlineLevel="1"/>
    <col min="23" max="23" width="11" style="19" hidden="1" customWidth="1" outlineLevel="1"/>
    <col min="24" max="24" width="12.81640625" style="19" hidden="1" customWidth="1" outlineLevel="1"/>
    <col min="25" max="25" width="9.1796875" style="80" hidden="1" customWidth="1" outlineLevel="1"/>
    <col min="26" max="26" width="3.453125" style="7" hidden="1" customWidth="1" outlineLevel="1"/>
    <col min="27" max="27" width="8.1796875" style="7" hidden="1" customWidth="1" outlineLevel="1"/>
    <col min="28" max="28" width="9" style="7" hidden="1" customWidth="1" outlineLevel="1"/>
    <col min="29" max="31" width="8.1796875" style="7" hidden="1" customWidth="1" outlineLevel="1"/>
    <col min="32" max="32" width="3.453125" style="7" hidden="1" customWidth="1" outlineLevel="1"/>
    <col min="33" max="33" width="9.54296875" style="7" customWidth="1" collapsed="1"/>
    <col min="34" max="37" width="9.54296875" style="7" customWidth="1"/>
    <col min="38" max="38" width="3.453125" style="7" customWidth="1"/>
    <col min="39" max="43" width="9.54296875" style="7" customWidth="1"/>
    <col min="44" max="44" width="2.453125" style="7" customWidth="1"/>
    <col min="45" max="45" width="12" style="7" customWidth="1" outlineLevel="1"/>
    <col min="46" max="16384" width="9.1796875" style="7"/>
  </cols>
  <sheetData>
    <row r="2" spans="2:45" ht="15.5" x14ac:dyDescent="0.35">
      <c r="C2" s="205" t="s">
        <v>237</v>
      </c>
      <c r="D2" s="155">
        <f>MATCH(C2,Control!G2:G4,0)</f>
        <v>1</v>
      </c>
      <c r="E2" s="151" t="s">
        <v>240</v>
      </c>
      <c r="F2" s="155">
        <f>MATCH(E2,Control!H2:H4,0)</f>
        <v>1</v>
      </c>
      <c r="AG2" s="214" t="s">
        <v>279</v>
      </c>
      <c r="AH2" s="214"/>
      <c r="AI2" s="214"/>
      <c r="AJ2" s="214"/>
      <c r="AK2" s="214"/>
      <c r="AL2" s="165"/>
      <c r="AM2" s="214" t="s">
        <v>280</v>
      </c>
      <c r="AN2" s="214"/>
      <c r="AO2" s="214"/>
      <c r="AP2" s="214"/>
      <c r="AQ2" s="214"/>
    </row>
    <row r="3" spans="2:45" s="124" customFormat="1" x14ac:dyDescent="0.35">
      <c r="D3" s="125">
        <v>1</v>
      </c>
      <c r="E3" s="125">
        <v>2</v>
      </c>
      <c r="F3" s="125">
        <v>5</v>
      </c>
      <c r="G3" s="125">
        <v>6</v>
      </c>
      <c r="H3" s="7"/>
      <c r="Q3" s="125">
        <v>1</v>
      </c>
      <c r="R3" s="125">
        <v>2</v>
      </c>
      <c r="S3" s="125">
        <v>3</v>
      </c>
      <c r="T3" s="125">
        <v>4</v>
      </c>
      <c r="U3" s="125">
        <v>5</v>
      </c>
      <c r="V3" s="125"/>
      <c r="W3" s="125">
        <v>3</v>
      </c>
      <c r="X3" s="125">
        <v>4</v>
      </c>
      <c r="Y3" s="126"/>
      <c r="AA3" s="125"/>
      <c r="AB3" s="125">
        <f>MATCH(AB$4,'LTDS 2'!$A$6:$A$11,0)</f>
        <v>1</v>
      </c>
      <c r="AC3" s="125">
        <f>MATCH(AC$4,'LTDS 2'!$A$6:$A$11,0)</f>
        <v>2</v>
      </c>
      <c r="AD3" s="125">
        <f>MATCH(AD$4,'LTDS 2'!$A$6:$A$11,0)</f>
        <v>3</v>
      </c>
      <c r="AE3" s="125">
        <v>6</v>
      </c>
      <c r="AG3" s="125"/>
      <c r="AH3" s="125">
        <f>MATCH(AH$4,'LTDS 2'!$A$6:$A$11,0)</f>
        <v>1</v>
      </c>
      <c r="AI3" s="125">
        <f>MATCH(AI$4,'LTDS 2'!$A$6:$A$11,0)</f>
        <v>2</v>
      </c>
      <c r="AJ3" s="125">
        <f>MATCH(AJ$4,'LTDS 2'!$A$6:$A$11,0)</f>
        <v>3</v>
      </c>
      <c r="AK3" s="125">
        <f>MATCH(AK$4,'LTDS 2'!$A$6:$A$11,0)</f>
        <v>6</v>
      </c>
      <c r="AM3" s="125"/>
      <c r="AN3" s="125">
        <f>MATCH(AN$4,'LTDS 2'!$A$6:$A$11,0)</f>
        <v>1</v>
      </c>
      <c r="AO3" s="125">
        <f>MATCH(AO$4,'LTDS 2'!$A$6:$A$11,0)</f>
        <v>2</v>
      </c>
      <c r="AP3" s="125">
        <f>MATCH(AP$4,'LTDS 2'!$A$6:$A$11,0)</f>
        <v>3</v>
      </c>
      <c r="AQ3" s="125">
        <f>MATCH(AQ$4,'LTDS 2'!$A$6:$A$11,0)</f>
        <v>6</v>
      </c>
      <c r="AS3" s="125">
        <v>0</v>
      </c>
    </row>
    <row r="4" spans="2:45" ht="72" customHeight="1" x14ac:dyDescent="0.35">
      <c r="C4" s="46" t="s">
        <v>299</v>
      </c>
      <c r="D4" s="54" t="s">
        <v>1</v>
      </c>
      <c r="E4" s="55" t="s">
        <v>2</v>
      </c>
      <c r="F4" s="54" t="s">
        <v>3</v>
      </c>
      <c r="G4" s="55" t="s">
        <v>4</v>
      </c>
      <c r="I4" s="55" t="s">
        <v>165</v>
      </c>
      <c r="J4" s="55" t="s">
        <v>292</v>
      </c>
      <c r="M4" s="206" t="s">
        <v>303</v>
      </c>
      <c r="O4" s="55" t="s">
        <v>162</v>
      </c>
      <c r="Q4" s="54">
        <v>2030</v>
      </c>
      <c r="R4" s="55">
        <v>2035</v>
      </c>
      <c r="S4" s="54">
        <v>2040</v>
      </c>
      <c r="T4" s="55">
        <v>2045</v>
      </c>
      <c r="U4" s="79">
        <v>2050</v>
      </c>
      <c r="V4" s="53"/>
      <c r="W4" s="55" t="s">
        <v>278</v>
      </c>
      <c r="X4" s="54" t="s">
        <v>277</v>
      </c>
      <c r="Y4" s="123" t="s">
        <v>161</v>
      </c>
      <c r="AA4" s="54">
        <v>2030</v>
      </c>
      <c r="AB4" s="55">
        <v>2035</v>
      </c>
      <c r="AC4" s="54">
        <v>2040</v>
      </c>
      <c r="AD4" s="55">
        <v>2045</v>
      </c>
      <c r="AE4" s="79">
        <v>2050</v>
      </c>
      <c r="AG4" s="54">
        <v>2030</v>
      </c>
      <c r="AH4" s="55">
        <v>2035</v>
      </c>
      <c r="AI4" s="54">
        <v>2040</v>
      </c>
      <c r="AJ4" s="55">
        <v>2045</v>
      </c>
      <c r="AK4" s="79">
        <v>2050</v>
      </c>
      <c r="AM4" s="54">
        <v>2030</v>
      </c>
      <c r="AN4" s="55">
        <v>2035</v>
      </c>
      <c r="AO4" s="54">
        <v>2040</v>
      </c>
      <c r="AP4" s="55">
        <v>2045</v>
      </c>
      <c r="AQ4" s="79">
        <v>2050</v>
      </c>
      <c r="AS4" s="79" t="s">
        <v>297</v>
      </c>
    </row>
    <row r="5" spans="2:45" ht="42.75" customHeight="1" x14ac:dyDescent="0.35">
      <c r="B5" s="125">
        <v>1</v>
      </c>
      <c r="C5" s="45" t="s">
        <v>26</v>
      </c>
      <c r="D5" s="122">
        <f ca="1">SUMPRODUCT(OFFSET('Compare Topics'!$C$5:$C$24,0,$B5-1),'Customer Priority Tracker'!$D$4:$D$23)/SUM(OFFSET('Compare Topics'!$C$5:$C$24,0,$B5-1))</f>
        <v>4</v>
      </c>
      <c r="E5" s="122">
        <f ca="1">'LTDS 1'!D3</f>
        <v>6</v>
      </c>
      <c r="F5" s="122">
        <f ca="1">IFERROR(SUMPRODUCT(OFFSET('Compare Topics'!$C$27:$C$38,0,$B5-1),OFFSET(WTP!$E$8:$E$19,($D$2-1)*19,0))/SUM(OFFSET('Compare Topics'!$C$27:$C$38,0,$B5-1)),"")</f>
        <v>1</v>
      </c>
      <c r="G5" s="122" t="str">
        <f>IF('WRMP PR24'!D3="","",'WRMP PR24'!D3)</f>
        <v/>
      </c>
      <c r="H5" s="152"/>
      <c r="I5" s="145" cm="1">
        <f t="array" aca="1" ref="I5" ca="1">SUMPRODUCT(--($D5:$G5&gt;0),$D5:$G5,$D$16:$G$16)/SUMIFS($D$16:$G$16,$D5:$G5,"&gt;0")</f>
        <v>3.9599999999999995</v>
      </c>
      <c r="J5" s="145" cm="1">
        <f t="array" aca="1" ref="J5" ca="1">IFERROR(SQRT(SUMPRODUCT(--($D19:$G19&gt;0),$D19:$G19,$D$16:$G$16)/SUMIFS($D$16:$G$16,$D19:$G19,"&gt;0")),0)</f>
        <v>2.0293841430345316</v>
      </c>
      <c r="K5" s="201">
        <f>IF(M5=Control!$K$2,-J5,IF(M5=Control!$K$4,+J5,0))</f>
        <v>0</v>
      </c>
      <c r="L5" s="201"/>
      <c r="M5" s="204" t="s">
        <v>301</v>
      </c>
      <c r="O5" s="83">
        <f ca="1">1+OFFSET('LTDS 3'!$D$25,0,'Future Priority Ratings'!$B5-1)</f>
        <v>0.8</v>
      </c>
      <c r="Q5" s="85">
        <f t="shared" ref="Q5:T14" ca="1" si="0">$O5+Q$3*($U5-$O5)/$U$3</f>
        <v>0.84000000000000008</v>
      </c>
      <c r="R5" s="85">
        <f t="shared" ca="1" si="0"/>
        <v>0.88</v>
      </c>
      <c r="S5" s="85">
        <f t="shared" ca="1" si="0"/>
        <v>0.92</v>
      </c>
      <c r="T5" s="85">
        <f t="shared" ca="1" si="0"/>
        <v>0.96</v>
      </c>
      <c r="U5" s="84">
        <v>1</v>
      </c>
      <c r="V5" s="84"/>
      <c r="W5" s="156">
        <f ca="1">IF(OFFSET('LTDS 2'!$E$5,0,'Future Priority Ratings'!$Y5-1)="",0,OFFSET('Source RAG ratings'!$L$3,W$3-1,0))</f>
        <v>0</v>
      </c>
      <c r="X5" s="156">
        <f ca="1">IF(OFFSET('LTDS 2'!$E$15,0,'Future Priority Ratings'!$Y5-1)="",0,OFFSET('Source RAG ratings'!$L$3,X$3-1,0))</f>
        <v>0</v>
      </c>
      <c r="Y5" s="53">
        <f>MATCH($C5,'LTDS 2'!$C$3:$AC$3,0)</f>
        <v>27</v>
      </c>
      <c r="AA5" s="193">
        <f ca="1">OFFSET('WRMP PR24'!$H$17,AA$3,'Future Priority Ratings'!$D$2-1)</f>
        <v>0.41</v>
      </c>
      <c r="AB5" s="193">
        <f ca="1">OFFSET('WRMP PR24'!$H$17,AB$3,'Future Priority Ratings'!$D$2-1)</f>
        <v>0.45</v>
      </c>
      <c r="AC5" s="193">
        <f ca="1">OFFSET('WRMP PR24'!$H$17,AC$3,'Future Priority Ratings'!$D$2-1)</f>
        <v>0.13</v>
      </c>
      <c r="AD5" s="193">
        <f ca="1">OFFSET('WRMP PR24'!$H$17,AD$3,'Future Priority Ratings'!$D$2-1)</f>
        <v>1.0000000000000009E-2</v>
      </c>
      <c r="AE5" s="193">
        <f ca="1">OFFSET('WRMP PR24'!$H$17,AE$3,'Future Priority Ratings'!$D$2-1)</f>
        <v>0</v>
      </c>
      <c r="AG5" s="44">
        <f ca="1">IFERROR(IF(AA5="","-",($I5+$K5)*Q5*AA5),0)</f>
        <v>1.3638239999999999</v>
      </c>
      <c r="AH5" s="44">
        <f t="shared" ref="AH5:AK14" ca="1" si="1">IFERROR(IF(AB5="","-",($I5+$K5)*R5*AB5),0)</f>
        <v>1.5681599999999998</v>
      </c>
      <c r="AI5" s="44">
        <f t="shared" ca="1" si="1"/>
        <v>0.47361599999999998</v>
      </c>
      <c r="AJ5" s="44">
        <f t="shared" ca="1" si="1"/>
        <v>3.8016000000000029E-2</v>
      </c>
      <c r="AK5" s="44">
        <f t="shared" ca="1" si="1"/>
        <v>0</v>
      </c>
      <c r="AM5" s="164">
        <f ca="1">IF(AA5="","-",AG5/SUM(AG$5:AG$15))</f>
        <v>0.16715785613249437</v>
      </c>
      <c r="AN5" s="164">
        <f t="shared" ref="AN5:AN14" ca="1" si="2">IF(AB5="","-",AH5/SUM(AH$5:AH$15))</f>
        <v>0.22199574788611742</v>
      </c>
      <c r="AO5" s="164">
        <f t="shared" ref="AO5:AO14" ca="1" si="3">IF(AC5="","-",AI5/SUM(AI$5:AI$15))</f>
        <v>5.3968654934243299E-2</v>
      </c>
      <c r="AP5" s="164">
        <f t="shared" ref="AP5:AP14" ca="1" si="4">IF(AD5="","-",AJ5/SUM(AJ$5:AJ$15))</f>
        <v>6.4988571233331235E-3</v>
      </c>
      <c r="AQ5" s="164">
        <f t="shared" ref="AQ5:AQ14" ca="1" si="5">IF(AE5="","-",AK5/SUM(AK$5:AK$15))</f>
        <v>0</v>
      </c>
      <c r="AS5" s="202" t="s">
        <v>298</v>
      </c>
    </row>
    <row r="6" spans="2:45" ht="42.75" customHeight="1" x14ac:dyDescent="0.35">
      <c r="B6" s="125">
        <v>2</v>
      </c>
      <c r="C6" s="45" t="s">
        <v>27</v>
      </c>
      <c r="D6" s="122">
        <f ca="1">SUMPRODUCT(OFFSET('Compare Topics'!$C$5:$C$24,0,$B6-1),'Customer Priority Tracker'!$D$4:$D$23)/SUM(OFFSET('Compare Topics'!$C$5:$C$24,0,$B6-1))</f>
        <v>2.5</v>
      </c>
      <c r="E6" s="122">
        <f ca="1">'LTDS 1'!D4</f>
        <v>4</v>
      </c>
      <c r="F6" s="122" t="str">
        <f ca="1">IFERROR(SUMPRODUCT(OFFSET('Compare Topics'!$C$27:$C$38,0,$B6-1),OFFSET(WTP!$E$8:$E$19,($D$2-1)*19,0))/SUM(OFFSET('Compare Topics'!$C$27:$C$38,0,$B6-1)),"")</f>
        <v/>
      </c>
      <c r="G6" s="122">
        <f ca="1">IF('WRMP PR24'!D4="","",'WRMP PR24'!D4)</f>
        <v>7</v>
      </c>
      <c r="H6" s="153"/>
      <c r="I6" s="146" cm="1">
        <f t="array" aca="1" ref="I6" ca="1">SUMPRODUCT(--($D6:$G6&gt;0),$D6:$G6,$D$16:$G$16)/SUMIFS($D$16:$G$16,$D6:$G6,"&gt;0")</f>
        <v>4</v>
      </c>
      <c r="J6" s="146" cm="1">
        <f t="array" aca="1" ref="J6" ca="1">IFERROR(SQRT(SUMPRODUCT(--($D20:$G20&gt;0),$D20:$G20,$D$16:$G$16)/SUMIFS($D$16:$G$16,$D20:$G20,"&gt;0")),0)</f>
        <v>2.1213203435596424</v>
      </c>
      <c r="K6" s="201">
        <f>IF(M6=Control!$K$2,-J6,IF(M6=Control!$K$4,+J6,0))</f>
        <v>0</v>
      </c>
      <c r="L6" s="201"/>
      <c r="M6" s="204" t="s">
        <v>301</v>
      </c>
      <c r="O6" s="83">
        <f ca="1">1+OFFSET('LTDS 3'!$D$25,0,'Future Priority Ratings'!$B6-1)</f>
        <v>0.82000000000000006</v>
      </c>
      <c r="Q6" s="85">
        <f t="shared" ca="1" si="0"/>
        <v>0.85600000000000009</v>
      </c>
      <c r="R6" s="85">
        <f t="shared" ca="1" si="0"/>
        <v>0.89200000000000002</v>
      </c>
      <c r="S6" s="85">
        <f t="shared" ca="1" si="0"/>
        <v>0.92800000000000005</v>
      </c>
      <c r="T6" s="85">
        <f t="shared" ca="1" si="0"/>
        <v>0.96399999999999997</v>
      </c>
      <c r="U6" s="84">
        <v>1</v>
      </c>
      <c r="V6" s="84"/>
      <c r="W6" s="156">
        <f ca="1">IF(OFFSET('LTDS 2'!$E$5,0,'Future Priority Ratings'!$Y6-1)="",0,OFFSET('Source RAG ratings'!$L$3,W$3-1,0))</f>
        <v>0.83333333333333337</v>
      </c>
      <c r="X6" s="156">
        <f ca="1">IF(OFFSET('LTDS 2'!$E$15,0,'Future Priority Ratings'!$Y6-1)="",0,OFFSET('Source RAG ratings'!$L$3,X$3-1,0))</f>
        <v>0.70000000000000007</v>
      </c>
      <c r="Y6" s="53">
        <f>MATCH($C6,'LTDS 2'!$C$3:$AC$3,0)</f>
        <v>16</v>
      </c>
      <c r="AA6" s="189" cm="1">
        <f t="array" aca="1" ref="AA6" ca="1">TREND(AB6:AD6,$AB$4:$AD$4,AA$4)</f>
        <v>0.36382806928342859</v>
      </c>
      <c r="AB6" s="81">
        <f ca="1">IFERROR((OFFSET('LTDS 2'!$C$6,AB$3-1,$Y6+2-1)*$W6+OFFSET('LTDS 2'!$C$16,AB$3-1,$Y6+2-1)*$X6)/SUM($W6:$X6),0)</f>
        <v>0.25704282321411737</v>
      </c>
      <c r="AC6" s="81">
        <f ca="1">IFERROR((OFFSET('LTDS 2'!$C$6,AC$3-1,$Y6+2-1)*$W6+OFFSET('LTDS 2'!$C$16,AC$3-1,$Y6+2-1)*$X6)/SUM($W6:$X6),0)</f>
        <v>0.2576683571060196</v>
      </c>
      <c r="AD6" s="81">
        <f ca="1">IFERROR((OFFSET('LTDS 2'!$C$6,AD$3-1,$Y6+2-1)*$W6+OFFSET('LTDS 2'!$C$16,AD$3-1,$Y6+2-1)*$X6)/SUM($W6:$X6),0)</f>
        <v>9.7177721056106309E-2</v>
      </c>
      <c r="AE6" s="81">
        <f ca="1">IFERROR((OFFSET('LTDS 2'!$C$6,AE$3-1,$Y6+2-1)*$W6+OFFSET('LTDS 2'!$C$16,AE$3-1,$Y6+2-1)*$X6)/SUM($W6:$X6),0)</f>
        <v>0.3037905028575526</v>
      </c>
      <c r="AG6" s="44">
        <f ca="1">IFERROR(IF(AA6="","-",($I6+$K6)*Q6*AB6*AA6/SUM($AA6:$AB6)),0)</f>
        <v>0.51574394812883739</v>
      </c>
      <c r="AH6" s="44">
        <f ca="1">IFERROR(IF(AB6="","-",($I6+$K6)*R6*AB6*AB6/SUM($AA6:$AB6)),0)</f>
        <v>0.37969467905633197</v>
      </c>
      <c r="AI6" s="44">
        <f ca="1">IFERROR(IF(AC6="","-",($I6+$K6)*S6*AC6),0)</f>
        <v>0.9564649415775448</v>
      </c>
      <c r="AJ6" s="44">
        <f t="shared" ca="1" si="1"/>
        <v>0.37471729239234591</v>
      </c>
      <c r="AK6" s="44">
        <f t="shared" ca="1" si="1"/>
        <v>1.2151620114302104</v>
      </c>
      <c r="AM6" s="164">
        <f t="shared" ref="AM6:AM14" ca="1" si="6">IF(AA6="","-",AG6/SUM(AG$5:AG$15))</f>
        <v>6.3212447267774169E-2</v>
      </c>
      <c r="AN6" s="164">
        <f t="shared" ca="1" si="2"/>
        <v>5.3751278087369757E-2</v>
      </c>
      <c r="AO6" s="164">
        <f t="shared" ca="1" si="3"/>
        <v>0.10898940573945916</v>
      </c>
      <c r="AP6" s="164">
        <f t="shared" ca="1" si="4"/>
        <v>6.4058137229063977E-2</v>
      </c>
      <c r="AQ6" s="164">
        <f t="shared" ca="1" si="5"/>
        <v>0.113580773550769</v>
      </c>
      <c r="AS6" s="203">
        <f ca="1">IFERROR((OFFSET('LTDS 2'!$C$6,AS$3-1,$Y6+2-1)*$W6+OFFSET('LTDS 2'!$C$16,AS$3-1,$Y6+2-1)*$X6)/SUM($W6:$X6),0)</f>
        <v>8.4320595766220668E-2</v>
      </c>
    </row>
    <row r="7" spans="2:45" ht="42.75" customHeight="1" x14ac:dyDescent="0.35">
      <c r="B7" s="125">
        <v>3</v>
      </c>
      <c r="C7" s="45" t="s">
        <v>28</v>
      </c>
      <c r="D7" s="122">
        <f ca="1">SUMPRODUCT(OFFSET('Compare Topics'!$C$5:$C$24,0,$B7-1),'Customer Priority Tracker'!$D$4:$D$23)/SUM(OFFSET('Compare Topics'!$C$5:$C$24,0,$B7-1))</f>
        <v>2</v>
      </c>
      <c r="E7" s="122">
        <f ca="1">'LTDS 1'!D5</f>
        <v>4</v>
      </c>
      <c r="F7" s="122" t="str">
        <f ca="1">IFERROR(SUMPRODUCT(OFFSET('Compare Topics'!$C$27:$C$38,0,$B7-1),OFFSET(WTP!$E$8:$E$19,($D$2-1)*19,0))/SUM(OFFSET('Compare Topics'!$C$27:$C$38,0,$B7-1)),"")</f>
        <v/>
      </c>
      <c r="G7" s="122">
        <f ca="1">IF('WRMP PR24'!D5="","",'WRMP PR24'!D5)</f>
        <v>6</v>
      </c>
      <c r="H7" s="153"/>
      <c r="I7" s="146" cm="1">
        <f t="array" aca="1" ref="I7" ca="1">SUMPRODUCT(--($D7:$G7&gt;0),$D7:$G7,$D$16:$G$16)/SUMIFS($D$16:$G$16,$D7:$G7,"&gt;0")</f>
        <v>3.6363636363636367</v>
      </c>
      <c r="J7" s="146" cm="1">
        <f t="array" aca="1" ref="J7" ca="1">IFERROR(SQRT(SUMPRODUCT(--($D21:$G21&gt;0),$D21:$G21,$D$16:$G$16)/SUMIFS($D$16:$G$16,$D21:$G21,"&gt;0")),0)</f>
        <v>1.4316377952748747</v>
      </c>
      <c r="K7" s="201">
        <f>IF(M7=Control!$K$2,-J7,IF(M7=Control!$K$4,+J7,0))</f>
        <v>0</v>
      </c>
      <c r="L7" s="201"/>
      <c r="M7" s="204" t="s">
        <v>301</v>
      </c>
      <c r="O7" s="83">
        <f ca="1">1+OFFSET('LTDS 3'!$D$25,0,'Future Priority Ratings'!$B7-1)</f>
        <v>0.72</v>
      </c>
      <c r="Q7" s="85">
        <f t="shared" ca="1" si="0"/>
        <v>0.77600000000000002</v>
      </c>
      <c r="R7" s="85">
        <f t="shared" ca="1" si="0"/>
        <v>0.83199999999999996</v>
      </c>
      <c r="S7" s="85">
        <f t="shared" ca="1" si="0"/>
        <v>0.88800000000000001</v>
      </c>
      <c r="T7" s="85">
        <f t="shared" ca="1" si="0"/>
        <v>0.94399999999999995</v>
      </c>
      <c r="U7" s="84">
        <v>1</v>
      </c>
      <c r="V7" s="84"/>
      <c r="W7" s="156">
        <f ca="1">IF(OFFSET('LTDS 2'!$E$5,0,'Future Priority Ratings'!$Y7-1)="",0,OFFSET('Source RAG ratings'!$L$3,W$3-1,0))</f>
        <v>0</v>
      </c>
      <c r="X7" s="156">
        <f ca="1">IF(OFFSET('LTDS 2'!$E$15,0,'Future Priority Ratings'!$Y7-1)="",0,OFFSET('Source RAG ratings'!$L$3,X$3-1,0))</f>
        <v>0.70000000000000007</v>
      </c>
      <c r="Y7" s="53">
        <f>MATCH($C7,'LTDS 2'!$C$3:$AC$3,0)</f>
        <v>22</v>
      </c>
      <c r="AA7" s="189">
        <f ca="1">AB7</f>
        <v>0.13500000000000001</v>
      </c>
      <c r="AB7" s="81">
        <f ca="1">IFERROR((OFFSET('LTDS 2'!$C$6,AB$3-1,$Y7+2-1)*$W7+OFFSET('LTDS 2'!$C$16,AB$3-1,$Y7+2-1)*$X7)/SUM($W7:$X7),0)/2</f>
        <v>0.13500000000000001</v>
      </c>
      <c r="AC7" s="81">
        <f ca="1">IFERROR((OFFSET('LTDS 2'!$C$6,AC$3-1,$Y7+2-1)*$W7+OFFSET('LTDS 2'!$C$16,AC$3-1,$Y7+2-1)*$X7)/SUM($W7:$X7),0)</f>
        <v>0.17</v>
      </c>
      <c r="AD7" s="81">
        <f ca="1">IFERROR((OFFSET('LTDS 2'!$C$6,AD$3-1,$Y7+2-1)*$W7+OFFSET('LTDS 2'!$C$16,AD$3-1,$Y7+2-1)*$X7)/SUM($W7:$X7),0)</f>
        <v>0.17</v>
      </c>
      <c r="AE7" s="81">
        <f ca="1">IFERROR((OFFSET('LTDS 2'!$C$6,AE$3-1,$Y7+2-1)*$W7+OFFSET('LTDS 2'!$C$16,AE$3-1,$Y7+2-1)*$X7)/SUM($W7:$X7),0)</f>
        <v>0.27999999999999992</v>
      </c>
      <c r="AG7" s="44">
        <f t="shared" ref="AG7:AG13" ca="1" si="7">IFERROR(IF(AA7="","-",($I7+$K7)*Q7*AB7*AA7/SUM($AA7:$AB7)),0)</f>
        <v>0.19047272727272732</v>
      </c>
      <c r="AH7" s="44">
        <f t="shared" ref="AH7:AH13" ca="1" si="8">IFERROR(IF(AB7="","-",($I7+$K7)*R7*AB7*AB7/SUM($AA7:$AB7)),0)</f>
        <v>0.20421818181818183</v>
      </c>
      <c r="AI7" s="44">
        <f t="shared" ref="AI7:AI14" ca="1" si="9">IFERROR(IF(AC7="","-",($I7+$K7)*S7*AC7),0)</f>
        <v>0.54894545454545463</v>
      </c>
      <c r="AJ7" s="44">
        <f t="shared" ca="1" si="1"/>
        <v>0.58356363636363651</v>
      </c>
      <c r="AK7" s="44">
        <f t="shared" ca="1" si="1"/>
        <v>1.0181818181818179</v>
      </c>
      <c r="AM7" s="164">
        <f t="shared" ca="1" si="6"/>
        <v>2.334539701795715E-2</v>
      </c>
      <c r="AN7" s="164">
        <f t="shared" ca="1" si="2"/>
        <v>2.8910039794836234E-2</v>
      </c>
      <c r="AO7" s="164">
        <f t="shared" ca="1" si="3"/>
        <v>6.2552464051224999E-2</v>
      </c>
      <c r="AP7" s="164">
        <f t="shared" ca="1" si="4"/>
        <v>9.9760540169928358E-2</v>
      </c>
      <c r="AQ7" s="164">
        <f t="shared" ca="1" si="5"/>
        <v>9.5169102915180395E-2</v>
      </c>
      <c r="AS7" s="203">
        <f ca="1">IFERROR((OFFSET('LTDS 2'!$C$6,AS$3-1,$Y7+2-1)*$W7+OFFSET('LTDS 2'!$C$16,AS$3-1,$Y7+2-1)*$X7)/SUM($W7:$X7),0)</f>
        <v>0.10999999999999999</v>
      </c>
    </row>
    <row r="8" spans="2:45" ht="42.75" customHeight="1" x14ac:dyDescent="0.35">
      <c r="B8" s="125">
        <v>4</v>
      </c>
      <c r="C8" s="45" t="s">
        <v>29</v>
      </c>
      <c r="D8" s="122">
        <f ca="1">SUMPRODUCT(OFFSET('Compare Topics'!$C$5:$C$24,0,$B8-1),'Customer Priority Tracker'!$D$4:$D$23)/SUM(OFFSET('Compare Topics'!$C$5:$C$24,0,$B8-1))</f>
        <v>6</v>
      </c>
      <c r="E8" s="122">
        <f ca="1">'LTDS 1'!D6</f>
        <v>9</v>
      </c>
      <c r="F8" s="122">
        <f ca="1">IFERROR(SUMPRODUCT(OFFSET('Compare Topics'!$C$27:$C$38,0,$B8-1),OFFSET(WTP!$E$8:$E$19,($D$2-1)*19,0))/SUM(OFFSET('Compare Topics'!$C$27:$C$38,0,$B8-1)),"")</f>
        <v>3</v>
      </c>
      <c r="G8" s="122">
        <f ca="1">IF('WRMP PR24'!D6="","",'WRMP PR24'!D6)</f>
        <v>5</v>
      </c>
      <c r="H8" s="153"/>
      <c r="I8" s="146" cm="1">
        <f t="array" aca="1" ref="I8" ca="1">SUMPRODUCT(--($D8:$G8&gt;0),$D8:$G8,$D$16:$G$16)/SUMIFS($D$16:$G$16,$D8:$G8,"&gt;0")</f>
        <v>6.1724137931034475</v>
      </c>
      <c r="J8" s="146" cm="1">
        <f t="array" aca="1" ref="J8" ca="1">IFERROR(SQRT(SUMPRODUCT(--($D22:$G22&gt;0),$D22:$G22,$D$16:$G$16)/SUMIFS($D$16:$G$16,$D22:$G22,"&gt;0")),0)</f>
        <v>2.32035915051872</v>
      </c>
      <c r="K8" s="201">
        <f>IF(M8=Control!$K$2,-J8,IF(M8=Control!$K$4,+J8,0))</f>
        <v>0</v>
      </c>
      <c r="L8" s="201"/>
      <c r="M8" s="204" t="s">
        <v>301</v>
      </c>
      <c r="O8" s="83">
        <f ca="1">1+OFFSET('LTDS 3'!$D$25,0,'Future Priority Ratings'!$B8-1)</f>
        <v>0.83</v>
      </c>
      <c r="Q8" s="85">
        <f t="shared" ca="1" si="0"/>
        <v>0.86399999999999999</v>
      </c>
      <c r="R8" s="85">
        <f t="shared" ca="1" si="0"/>
        <v>0.89800000000000002</v>
      </c>
      <c r="S8" s="85">
        <f t="shared" ca="1" si="0"/>
        <v>0.93199999999999994</v>
      </c>
      <c r="T8" s="85">
        <f t="shared" ca="1" si="0"/>
        <v>0.96599999999999997</v>
      </c>
      <c r="U8" s="84">
        <v>1</v>
      </c>
      <c r="V8" s="84"/>
      <c r="W8" s="156">
        <f ca="1">IF(OFFSET('LTDS 2'!$E$5,0,'Future Priority Ratings'!$Y8-1)="",0,OFFSET('Source RAG ratings'!$L$3,W$3-1,0))</f>
        <v>0.83333333333333337</v>
      </c>
      <c r="X8" s="156">
        <f ca="1">IF(OFFSET('LTDS 2'!$E$15,0,'Future Priority Ratings'!$Y8-1)="",0,OFFSET('Source RAG ratings'!$L$3,X$3-1,0))</f>
        <v>0.70000000000000007</v>
      </c>
      <c r="Y8" s="53">
        <f>MATCH($C8,'LTDS 2'!$C$3:$AC$3,0)</f>
        <v>4</v>
      </c>
      <c r="AA8" s="189" cm="1">
        <f t="array" aca="1" ref="AA8" ca="1">TREND(AB8:AD8,$AB$4:$AD$4,AA$4)</f>
        <v>0.5710052299590771</v>
      </c>
      <c r="AB8" s="81">
        <f ca="1">IFERROR((OFFSET('LTDS 2'!$C$6,AB$3-1,$Y8+2-1)*$W8+OFFSET('LTDS 2'!$C$16,AB$3-1,$Y8+2-1)*$X8)/SUM($W8:$X8),0)</f>
        <v>0.4204308869963348</v>
      </c>
      <c r="AC8" s="81">
        <f ca="1">IFERROR((OFFSET('LTDS 2'!$C$6,AC$3-1,$Y8+2-1)*$W8+OFFSET('LTDS 2'!$C$16,AC$3-1,$Y8+2-1)*$X8)/SUM($W8:$X8),0)</f>
        <v>0.25865109225652827</v>
      </c>
      <c r="AD8" s="81">
        <f ca="1">IFERROR((OFFSET('LTDS 2'!$C$6,AD$3-1,$Y8+2-1)*$W8+OFFSET('LTDS 2'!$C$16,AD$3-1,$Y8+2-1)*$X8)/SUM($W8:$X8),0)</f>
        <v>0.11367947518232392</v>
      </c>
      <c r="AE8" s="81">
        <f ca="1">IFERROR((OFFSET('LTDS 2'!$C$6,AE$3-1,$Y8+2-1)*$W8+OFFSET('LTDS 2'!$C$16,AE$3-1,$Y8+2-1)*$X8)/SUM($W8:$X8),0)</f>
        <v>0.18596802197983481</v>
      </c>
      <c r="AG8" s="44">
        <f t="shared" ca="1" si="7"/>
        <v>1.2913344579693329</v>
      </c>
      <c r="AH8" s="44">
        <f ca="1">IFERROR(IF(AB8="","-",($I8+$K8)*R8*AB8*AB8/SUM($AA8:$AB8)),0)</f>
        <v>0.98822505828618523</v>
      </c>
      <c r="AI8" s="44">
        <f ca="1">IFERROR(IF(AC8="","-",($I8+$K8)*S8*AC8),0)</f>
        <v>1.4879394627231755</v>
      </c>
      <c r="AJ8" s="44">
        <f t="shared" ca="1" si="1"/>
        <v>0.67781975074746059</v>
      </c>
      <c r="AK8" s="44">
        <f ca="1">IFERROR(IF(AE8="","-",($I8+$K8)*U8*AE8),0)</f>
        <v>1.1478715839444975</v>
      </c>
      <c r="AM8" s="164">
        <f t="shared" ca="1" si="6"/>
        <v>0.15827313461573511</v>
      </c>
      <c r="AN8" s="164">
        <f t="shared" ca="1" si="2"/>
        <v>0.13989756204344181</v>
      </c>
      <c r="AO8" s="164">
        <f t="shared" ca="1" si="3"/>
        <v>0.16955105280807747</v>
      </c>
      <c r="AP8" s="164">
        <f t="shared" ca="1" si="4"/>
        <v>0.11587367728011924</v>
      </c>
      <c r="AQ8" s="164">
        <f t="shared" ca="1" si="5"/>
        <v>0.10729116053250674</v>
      </c>
      <c r="AS8" s="203">
        <f ca="1">IFERROR((OFFSET('LTDS 2'!$C$6,AS$3-1,$Y8+2-1)*$W8+OFFSET('LTDS 2'!$C$16,AS$3-1,$Y8+2-1)*$X8)/SUM($W8:$X8),0)</f>
        <v>2.127052358496739E-2</v>
      </c>
    </row>
    <row r="9" spans="2:45" ht="42.75" customHeight="1" x14ac:dyDescent="0.35">
      <c r="B9" s="125">
        <v>5</v>
      </c>
      <c r="C9" s="45" t="s">
        <v>30</v>
      </c>
      <c r="D9" s="122">
        <f ca="1">SUMPRODUCT(OFFSET('Compare Topics'!$C$5:$C$24,0,$B9-1),'Customer Priority Tracker'!$D$4:$D$23)/SUM(OFFSET('Compare Topics'!$C$5:$C$24,0,$B9-1))</f>
        <v>10</v>
      </c>
      <c r="E9" s="122">
        <f ca="1">'LTDS 1'!D7</f>
        <v>7</v>
      </c>
      <c r="F9" s="122">
        <f ca="1">IFERROR(SUMPRODUCT(OFFSET('Compare Topics'!$C$27:$C$38,0,$B9-1),OFFSET(WTP!$E$8:$E$19,($D$2-1)*19,0))/SUM(OFFSET('Compare Topics'!$C$27:$C$38,0,$B9-1)),"")</f>
        <v>1</v>
      </c>
      <c r="G9" s="122" t="str">
        <f>IF('WRMP PR24'!D7="","",'WRMP PR24'!D7)</f>
        <v/>
      </c>
      <c r="H9" s="153"/>
      <c r="I9" s="146" cm="1">
        <f t="array" aca="1" ref="I9" ca="1">SUMPRODUCT(--($D9:$G9&gt;0),$D9:$G9,$D$16:$G$16)/SUMIFS($D$16:$G$16,$D9:$G9,"&gt;0")</f>
        <v>6.28</v>
      </c>
      <c r="J9" s="146" cm="1">
        <f t="array" aca="1" ref="J9" ca="1">IFERROR(SQRT(SUMPRODUCT(--($D23:$G23&gt;0),$D23:$G23,$D$16:$G$16)/SUMIFS($D$16:$G$16,$D23:$G23,"&gt;0")),0)</f>
        <v>3.5272652296077762</v>
      </c>
      <c r="K9" s="201">
        <f ca="1">IF(M9=Control!$K$2,-J9,IF(M9=Control!$K$4,+J9,0))</f>
        <v>-3.5272652296077762</v>
      </c>
      <c r="L9" s="201"/>
      <c r="M9" s="204" t="s">
        <v>300</v>
      </c>
      <c r="O9" s="83">
        <f ca="1">1+OFFSET('LTDS 3'!$D$25,0,'Future Priority Ratings'!$B9-1)</f>
        <v>0.92</v>
      </c>
      <c r="Q9" s="85">
        <f t="shared" ca="1" si="0"/>
        <v>0.93600000000000005</v>
      </c>
      <c r="R9" s="85">
        <f t="shared" ca="1" si="0"/>
        <v>0.95200000000000007</v>
      </c>
      <c r="S9" s="85">
        <f t="shared" ca="1" si="0"/>
        <v>0.96799999999999997</v>
      </c>
      <c r="T9" s="85">
        <f t="shared" ca="1" si="0"/>
        <v>0.98399999999999999</v>
      </c>
      <c r="U9" s="84">
        <v>1</v>
      </c>
      <c r="V9" s="84"/>
      <c r="W9" s="156">
        <f ca="1">IF(OFFSET('LTDS 2'!$E$5,0,'Future Priority Ratings'!$Y9-1)="",0,OFFSET('Source RAG ratings'!$L$3,W$3-1,0))</f>
        <v>0.83333333333333337</v>
      </c>
      <c r="X9" s="156">
        <f ca="1">IF(OFFSET('LTDS 2'!$E$15,0,'Future Priority Ratings'!$Y9-1)="",0,OFFSET('Source RAG ratings'!$L$3,X$3-1,0))</f>
        <v>0.70000000000000007</v>
      </c>
      <c r="Y9" s="53">
        <f>MATCH($C9,'LTDS 2'!$C$3:$AC$3,0)</f>
        <v>7</v>
      </c>
      <c r="AA9" s="189" cm="1">
        <f t="array" aca="1" ref="AA9" ca="1">TREND(AB9:AD9,$AB$4:$AD$4,AA$4)</f>
        <v>0.4311568907640293</v>
      </c>
      <c r="AB9" s="81">
        <f ca="1">IFERROR((OFFSET('LTDS 2'!$C$6,AB$3-1,$Y9+2-1)*$W9+OFFSET('LTDS 2'!$C$16,AB$3-1,$Y9+2-1)*$X9)/SUM($W9:$X9),0)</f>
        <v>0.3030360710861239</v>
      </c>
      <c r="AC9" s="81">
        <f ca="1">IFERROR((OFFSET('LTDS 2'!$C$6,AC$3-1,$Y9+2-1)*$W9+OFFSET('LTDS 2'!$C$16,AC$3-1,$Y9+2-1)*$X9)/SUM($W9:$X9),0)</f>
        <v>0.28769377612990438</v>
      </c>
      <c r="AD9" s="81">
        <f ca="1">IFERROR((OFFSET('LTDS 2'!$C$6,AD$3-1,$Y9+2-1)*$W9+OFFSET('LTDS 2'!$C$16,AD$3-1,$Y9+2-1)*$X9)/SUM($W9:$X9),0)</f>
        <v>0.10318369409115434</v>
      </c>
      <c r="AE9" s="81">
        <f ca="1">IFERROR((OFFSET('LTDS 2'!$C$6,AE$3-1,$Y9+2-1)*$W9+OFFSET('LTDS 2'!$C$16,AE$3-1,$Y9+2-1)*$X9)/SUM($W9:$X9),0)</f>
        <v>0.27815253021585323</v>
      </c>
      <c r="AG9" s="44">
        <f t="shared" ca="1" si="7"/>
        <v>0.45852145137494865</v>
      </c>
      <c r="AH9" s="44">
        <f t="shared" ca="1" si="8"/>
        <v>0.32777796404012988</v>
      </c>
      <c r="AI9" s="44">
        <f t="shared" ca="1" si="9"/>
        <v>0.76660243163332098</v>
      </c>
      <c r="AJ9" s="44">
        <f t="shared" ca="1" si="1"/>
        <v>0.27949274498283944</v>
      </c>
      <c r="AK9" s="44">
        <f t="shared" ca="1" si="1"/>
        <v>0.76568014139775287</v>
      </c>
      <c r="AM9" s="164">
        <f t="shared" ca="1" si="6"/>
        <v>5.6198939747794566E-2</v>
      </c>
      <c r="AN9" s="164">
        <f t="shared" ca="1" si="2"/>
        <v>4.6401715556880385E-2</v>
      </c>
      <c r="AO9" s="164">
        <f t="shared" ca="1" si="3"/>
        <v>8.7354527939449977E-2</v>
      </c>
      <c r="AP9" s="164">
        <f t="shared" ca="1" si="4"/>
        <v>4.7779445934649958E-2</v>
      </c>
      <c r="AQ9" s="164">
        <f t="shared" ca="1" si="5"/>
        <v>7.1567858387921346E-2</v>
      </c>
      <c r="AS9" s="203">
        <f ca="1">IFERROR((OFFSET('LTDS 2'!$C$6,AS$3-1,$Y9+2-1)*$W9+OFFSET('LTDS 2'!$C$16,AS$3-1,$Y9+2-1)*$X9)/SUM($W9:$X9),0)</f>
        <v>2.7933928476918474E-2</v>
      </c>
    </row>
    <row r="10" spans="2:45" ht="42.75" customHeight="1" x14ac:dyDescent="0.35">
      <c r="B10" s="125">
        <v>6</v>
      </c>
      <c r="C10" s="45" t="s">
        <v>31</v>
      </c>
      <c r="D10" s="122">
        <f ca="1">SUMPRODUCT(OFFSET('Compare Topics'!$C$5:$C$24,0,$B10-1),'Customer Priority Tracker'!$D$4:$D$23)/SUM(OFFSET('Compare Topics'!$C$5:$C$24,0,$B10-1))</f>
        <v>1.6666666666666667</v>
      </c>
      <c r="E10" s="122">
        <f ca="1">'LTDS 1'!D8</f>
        <v>6</v>
      </c>
      <c r="F10" s="122">
        <f ca="1">IFERROR(SUMPRODUCT(OFFSET('Compare Topics'!$C$27:$C$38,0,$B10-1),OFFSET(WTP!$E$8:$E$19,($D$2-1)*19,0))/SUM(OFFSET('Compare Topics'!$C$27:$C$38,0,$B10-1)),"")</f>
        <v>1</v>
      </c>
      <c r="G10" s="122">
        <f ca="1">IF('WRMP PR24'!D8="","",'WRMP PR24'!D8)</f>
        <v>4</v>
      </c>
      <c r="H10" s="153"/>
      <c r="I10" s="146" cm="1">
        <f t="array" aca="1" ref="I10" ca="1">SUMPRODUCT(--($D10:$G10&gt;0),$D10:$G10,$D$16:$G$16)/SUMIFS($D$16:$G$16,$D10:$G10,"&gt;0")</f>
        <v>3.3218390804597693</v>
      </c>
      <c r="J10" s="146" cm="1">
        <f t="array" aca="1" ref="J10" ca="1">IFERROR(SQRT(SUMPRODUCT(--($D24:$G24&gt;0),$D24:$G24,$D$16:$G$16)/SUMIFS($D$16:$G$16,$D24:$G24,"&gt;0")),0)</f>
        <v>2.1433006354572948</v>
      </c>
      <c r="K10" s="201">
        <f>IF(M10=Control!$K$2,-J10,IF(M10=Control!$K$4,+J10,0))</f>
        <v>0</v>
      </c>
      <c r="L10" s="201"/>
      <c r="M10" s="204" t="s">
        <v>301</v>
      </c>
      <c r="O10" s="83">
        <f ca="1">1+OFFSET('LTDS 3'!$D$25,0,'Future Priority Ratings'!$B10-1)</f>
        <v>0.92</v>
      </c>
      <c r="Q10" s="85">
        <f t="shared" ca="1" si="0"/>
        <v>0.93600000000000005</v>
      </c>
      <c r="R10" s="85">
        <f t="shared" ca="1" si="0"/>
        <v>0.95200000000000007</v>
      </c>
      <c r="S10" s="85">
        <f t="shared" ca="1" si="0"/>
        <v>0.96799999999999997</v>
      </c>
      <c r="T10" s="85">
        <f t="shared" ca="1" si="0"/>
        <v>0.98399999999999999</v>
      </c>
      <c r="U10" s="84">
        <v>1</v>
      </c>
      <c r="V10" s="84"/>
      <c r="W10" s="156">
        <f ca="1">IF(OFFSET('LTDS 2'!$E$5,0,'Future Priority Ratings'!$Y10-1)="",0,OFFSET('Source RAG ratings'!$L$3,W$3-1,0))</f>
        <v>0</v>
      </c>
      <c r="X10" s="156">
        <f ca="1">IF(OFFSET('LTDS 2'!$E$15,0,'Future Priority Ratings'!$Y10-1)="",0,OFFSET('Source RAG ratings'!$L$3,X$3-1,0))</f>
        <v>0.70000000000000007</v>
      </c>
      <c r="Y10" s="53">
        <f>MATCH($C10,'LTDS 2'!$C$3:$AC$3,0)</f>
        <v>19</v>
      </c>
      <c r="AA10" s="189" cm="1">
        <f t="array" aca="1" ref="AA10" ca="1">TREND(AB10:AD10,$AB$4:$AD$4,AA$4)</f>
        <v>6.8181818181869858E-2</v>
      </c>
      <c r="AB10" s="81">
        <f ca="1">IFERROR((OFFSET('LTDS 2'!$C$6,AB$3-1,$Y10+2-1)*$W10+OFFSET('LTDS 2'!$C$16,AB$3-1,$Y10+2-1)*$X10)/SUM($W10:$X10),0)</f>
        <v>0.11363636363640001</v>
      </c>
      <c r="AC10" s="81">
        <f ca="1">IFERROR((OFFSET('LTDS 2'!$C$6,AC$3-1,$Y10+2-1)*$W10+OFFSET('LTDS 2'!$C$16,AC$3-1,$Y10+2-1)*$X10)/SUM($W10:$X10),0)</f>
        <v>0.25</v>
      </c>
      <c r="AD10" s="81">
        <f ca="1">IFERROR((OFFSET('LTDS 2'!$C$6,AD$3-1,$Y10+2-1)*$W10+OFFSET('LTDS 2'!$C$16,AD$3-1,$Y10+2-1)*$X10)/SUM($W10:$X10),0)</f>
        <v>0.25</v>
      </c>
      <c r="AE10" s="81">
        <f ca="1">IFERROR((OFFSET('LTDS 2'!$C$6,AE$3-1,$Y10+2-1)*$W10+OFFSET('LTDS 2'!$C$16,AE$3-1,$Y10+2-1)*$X10)/SUM($W10:$X10),0)</f>
        <v>0.20454545454546999</v>
      </c>
      <c r="AG10" s="44">
        <f t="shared" ca="1" si="7"/>
        <v>0.13249608150478084</v>
      </c>
      <c r="AH10" s="44">
        <f t="shared" ca="1" si="8"/>
        <v>0.22460161964475805</v>
      </c>
      <c r="AI10" s="44">
        <f t="shared" ca="1" si="9"/>
        <v>0.80388505747126415</v>
      </c>
      <c r="AJ10" s="44">
        <f t="shared" ca="1" si="1"/>
        <v>0.81717241379310324</v>
      </c>
      <c r="AK10" s="44">
        <f t="shared" ca="1" si="1"/>
        <v>0.67946708463954952</v>
      </c>
      <c r="AM10" s="164">
        <f t="shared" ca="1" si="6"/>
        <v>1.6239456799627669E-2</v>
      </c>
      <c r="AN10" s="164">
        <f t="shared" ca="1" si="2"/>
        <v>3.1795610479460869E-2</v>
      </c>
      <c r="AO10" s="164">
        <f t="shared" ca="1" si="3"/>
        <v>9.1602891949302809E-2</v>
      </c>
      <c r="AP10" s="164">
        <f t="shared" ca="1" si="4"/>
        <v>0.13969609539064151</v>
      </c>
      <c r="AQ10" s="164">
        <f t="shared" ca="1" si="5"/>
        <v>6.3509553746511418E-2</v>
      </c>
      <c r="AS10" s="203">
        <f ca="1">IFERROR((OFFSET('LTDS 2'!$C$6,AS$3-1,$Y10+2-1)*$W10+OFFSET('LTDS 2'!$C$16,AS$3-1,$Y10+2-1)*$X10)/SUM($W10:$X10),0)</f>
        <v>0.18181818181820003</v>
      </c>
    </row>
    <row r="11" spans="2:45" ht="42.75" customHeight="1" x14ac:dyDescent="0.35">
      <c r="B11" s="125">
        <v>7</v>
      </c>
      <c r="C11" s="45" t="s">
        <v>32</v>
      </c>
      <c r="D11" s="122">
        <f ca="1">SUMPRODUCT(OFFSET('Compare Topics'!$C$5:$C$24,0,$B11-1),'Customer Priority Tracker'!$D$4:$D$23)/SUM(OFFSET('Compare Topics'!$C$5:$C$24,0,$B11-1))</f>
        <v>6</v>
      </c>
      <c r="E11" s="122">
        <f ca="1">'LTDS 1'!D9</f>
        <v>5</v>
      </c>
      <c r="F11" s="122">
        <f ca="1">IFERROR(SUMPRODUCT(OFFSET('Compare Topics'!$C$27:$C$38,0,$B11-1),OFFSET(WTP!$E$8:$E$19,($D$2-1)*19,0))/SUM(OFFSET('Compare Topics'!$C$27:$C$38,0,$B11-1)),"")</f>
        <v>6.5</v>
      </c>
      <c r="G11" s="122" t="str">
        <f>IF('WRMP PR24'!D9="","",'WRMP PR24'!D9)</f>
        <v/>
      </c>
      <c r="H11" s="153"/>
      <c r="I11" s="146" cm="1">
        <f t="array" aca="1" ref="I11" ca="1">SUMPRODUCT(--($D11:$G11&gt;0),$D11:$G11,$D$16:$G$16)/SUMIFS($D$16:$G$16,$D11:$G11,"&gt;0")</f>
        <v>5.7400000000000011</v>
      </c>
      <c r="J11" s="146" cm="1">
        <f t="array" aca="1" ref="J11" ca="1">IFERROR(SQRT(SUMPRODUCT(--($D25:$G25&gt;0),$D25:$G25,$D$16:$G$16)/SUMIFS($D$16:$G$16,$D25:$G25,"&gt;0")),0)</f>
        <v>0.63435006108614822</v>
      </c>
      <c r="K11" s="201">
        <f>IF(M11=Control!$K$2,-J11,IF(M11=Control!$K$4,+J11,0))</f>
        <v>0</v>
      </c>
      <c r="L11" s="201"/>
      <c r="M11" s="204" t="s">
        <v>301</v>
      </c>
      <c r="O11" s="83">
        <f ca="1">1+OFFSET('LTDS 3'!$D$25,0,'Future Priority Ratings'!$B11-1)</f>
        <v>1.0900000000000001</v>
      </c>
      <c r="Q11" s="85">
        <f t="shared" ca="1" si="0"/>
        <v>1.0720000000000001</v>
      </c>
      <c r="R11" s="85">
        <f t="shared" ca="1" si="0"/>
        <v>1.054</v>
      </c>
      <c r="S11" s="85">
        <f t="shared" ca="1" si="0"/>
        <v>1.036</v>
      </c>
      <c r="T11" s="85">
        <f t="shared" ca="1" si="0"/>
        <v>1.018</v>
      </c>
      <c r="U11" s="84">
        <v>1</v>
      </c>
      <c r="V11" s="84"/>
      <c r="W11" s="156">
        <f ca="1">IF(OFFSET('LTDS 2'!$E$5,0,'Future Priority Ratings'!$Y11-1)="",0,OFFSET('Source RAG ratings'!$L$3,W$3-1,0))</f>
        <v>0.83333333333333337</v>
      </c>
      <c r="X11" s="156">
        <f ca="1">IF(OFFSET('LTDS 2'!$E$15,0,'Future Priority Ratings'!$Y11-1)="",0,OFFSET('Source RAG ratings'!$L$3,X$3-1,0))</f>
        <v>0.70000000000000007</v>
      </c>
      <c r="Y11" s="53">
        <f>MATCH($C11,'LTDS 2'!$C$3:$AC$3,0)</f>
        <v>13</v>
      </c>
      <c r="AA11" s="189" cm="1">
        <f t="array" aca="1" ref="AA11" ca="1">TREND(AB11:AD11,$AB$4:$AD$4,AA$4)</f>
        <v>0.23717703000039592</v>
      </c>
      <c r="AB11" s="81">
        <f ca="1">IFERROR((OFFSET('LTDS 2'!$C$6,AB$3-1,$Y11+2-1)*$W11+OFFSET('LTDS 2'!$C$16,AB$3-1,$Y11+2-1)*$X11)/SUM($W11:$X11),0)</f>
        <v>0.18672108196895434</v>
      </c>
      <c r="AC11" s="81">
        <f ca="1">IFERROR((OFFSET('LTDS 2'!$C$6,AC$3-1,$Y11+2-1)*$W11+OFFSET('LTDS 2'!$C$16,AC$3-1,$Y11+2-1)*$X11)/SUM($W11:$X11),0)</f>
        <v>0.15582138517751304</v>
      </c>
      <c r="AD11" s="81">
        <f ca="1">IFERROR((OFFSET('LTDS 2'!$C$6,AD$3-1,$Y11+2-1)*$W11+OFFSET('LTDS 2'!$C$16,AD$3-1,$Y11+2-1)*$X11)/SUM($W11:$X11),0)</f>
        <v>9.5587311526068253E-2</v>
      </c>
      <c r="AE11" s="81">
        <f ca="1">IFERROR((OFFSET('LTDS 2'!$C$6,AE$3-1,$Y11+2-1)*$W11+OFFSET('LTDS 2'!$C$16,AE$3-1,$Y11+2-1)*$X11)/SUM($W11:$X11),0)</f>
        <v>0.4253179771604465</v>
      </c>
      <c r="AG11" s="44">
        <f t="shared" ca="1" si="7"/>
        <v>0.64285226316192845</v>
      </c>
      <c r="AH11" s="44">
        <f t="shared" ca="1" si="8"/>
        <v>0.49759697504214856</v>
      </c>
      <c r="AI11" s="44">
        <f t="shared" ca="1" si="9"/>
        <v>0.92661368195200633</v>
      </c>
      <c r="AJ11" s="44">
        <f t="shared" ca="1" si="1"/>
        <v>0.55854724918650522</v>
      </c>
      <c r="AK11" s="44">
        <f t="shared" ca="1" si="1"/>
        <v>2.4413251889009633</v>
      </c>
      <c r="AM11" s="164">
        <f t="shared" ca="1" si="6"/>
        <v>7.8791549437515429E-2</v>
      </c>
      <c r="AN11" s="164">
        <f t="shared" ca="1" si="2"/>
        <v>7.0442054777797858E-2</v>
      </c>
      <c r="AO11" s="164">
        <f t="shared" ca="1" si="3"/>
        <v>0.10558784766269826</v>
      </c>
      <c r="AP11" s="164">
        <f t="shared" ca="1" si="4"/>
        <v>9.5483974355372411E-2</v>
      </c>
      <c r="AQ11" s="164">
        <f t="shared" ca="1" si="5"/>
        <v>0.22818982229208201</v>
      </c>
      <c r="AS11" s="203">
        <f ca="1">IFERROR((OFFSET('LTDS 2'!$C$6,AS$3-1,$Y11+2-1)*$W11+OFFSET('LTDS 2'!$C$16,AS$3-1,$Y11+2-1)*$X11)/SUM($W11:$X11),0)</f>
        <v>0.13655224416704892</v>
      </c>
    </row>
    <row r="12" spans="2:45" ht="42.75" customHeight="1" x14ac:dyDescent="0.35">
      <c r="B12" s="125">
        <v>8</v>
      </c>
      <c r="C12" s="45" t="s">
        <v>33</v>
      </c>
      <c r="D12" s="122">
        <f ca="1">SUMPRODUCT(OFFSET('Compare Topics'!$C$5:$C$24,0,$B12-1),'Customer Priority Tracker'!$D$4:$D$23)/SUM(OFFSET('Compare Topics'!$C$5:$C$24,0,$B12-1))</f>
        <v>1.8571428571428572</v>
      </c>
      <c r="E12" s="122">
        <f ca="1">'LTDS 1'!D10</f>
        <v>4</v>
      </c>
      <c r="F12" s="122">
        <f ca="1">IFERROR(SUMPRODUCT(OFFSET('Compare Topics'!$C$27:$C$38,0,$B12-1),OFFSET(WTP!$E$8:$E$19,($D$2-1)*19,0))/SUM(OFFSET('Compare Topics'!$C$27:$C$38,0,$B12-1)),"")</f>
        <v>1</v>
      </c>
      <c r="G12" s="122">
        <f ca="1">IF('WRMP PR24'!D10="","",'WRMP PR24'!D10)</f>
        <v>5</v>
      </c>
      <c r="H12" s="153"/>
      <c r="I12" s="146" cm="1">
        <f t="array" aca="1" ref="I12" ca="1">SUMPRODUCT(--($D12:$G12&gt;0),$D12:$G12,$D$16:$G$16)/SUMIFS($D$16:$G$16,$D12:$G12,"&gt;0")</f>
        <v>2.8226600985221668</v>
      </c>
      <c r="J12" s="146" cm="1">
        <f t="array" aca="1" ref="J12" ca="1">IFERROR(SQRT(SUMPRODUCT(--($D26:$G26&gt;0),$D26:$G26,$D$16:$G$16)/SUMIFS($D$16:$G$16,$D26:$G26,"&gt;0")),0)</f>
        <v>1.4801787614875754</v>
      </c>
      <c r="K12" s="201">
        <f>IF(M12=Control!$K$2,-J12,IF(M12=Control!$K$4,+J12,0))</f>
        <v>0</v>
      </c>
      <c r="L12" s="201"/>
      <c r="M12" s="204" t="s">
        <v>301</v>
      </c>
      <c r="O12" s="83">
        <f ca="1">1+OFFSET('LTDS 3'!$D$25,0,'Future Priority Ratings'!$B12-1)</f>
        <v>1.1100000000000001</v>
      </c>
      <c r="Q12" s="85">
        <f t="shared" ca="1" si="0"/>
        <v>1.0880000000000001</v>
      </c>
      <c r="R12" s="85">
        <f t="shared" ca="1" si="0"/>
        <v>1.0660000000000001</v>
      </c>
      <c r="S12" s="85">
        <f t="shared" ca="1" si="0"/>
        <v>1.044</v>
      </c>
      <c r="T12" s="85">
        <f t="shared" ca="1" si="0"/>
        <v>1.022</v>
      </c>
      <c r="U12" s="84">
        <v>1</v>
      </c>
      <c r="V12" s="84"/>
      <c r="W12" s="156">
        <f ca="1">IF(OFFSET('LTDS 2'!$E$5,0,'Future Priority Ratings'!$Y12-1)="",0,OFFSET('Source RAG ratings'!$L$3,W$3-1,0))</f>
        <v>0</v>
      </c>
      <c r="X12" s="156">
        <f ca="1">IF(OFFSET('LTDS 2'!$E$15,0,'Future Priority Ratings'!$Y12-1)="",0,OFFSET('Source RAG ratings'!$L$3,X$3-1,0))</f>
        <v>0.70000000000000007</v>
      </c>
      <c r="Y12" s="53">
        <f>MATCH($C12,'LTDS 2'!$C$3:$AC$3,0)</f>
        <v>25</v>
      </c>
      <c r="AA12" s="189">
        <f ca="1">AB12</f>
        <v>0.13500000000000001</v>
      </c>
      <c r="AB12" s="81">
        <f ca="1">IFERROR((OFFSET('LTDS 2'!$C$6,AB$3-1,$Y12+2-1)*$W12+OFFSET('LTDS 2'!$C$16,AB$3-1,$Y12+2-1)*$X12)/SUM($W12:$X12),0)/2</f>
        <v>0.13500000000000001</v>
      </c>
      <c r="AC12" s="81">
        <f ca="1">IFERROR((OFFSET('LTDS 2'!$C$6,AC$3-1,$Y12+2-1)*$W12+OFFSET('LTDS 2'!$C$16,AC$3-1,$Y12+2-1)*$X12)/SUM($W12:$X12),0)</f>
        <v>0.16</v>
      </c>
      <c r="AD12" s="81">
        <f ca="1">IFERROR((OFFSET('LTDS 2'!$C$6,AD$3-1,$Y12+2-1)*$W12+OFFSET('LTDS 2'!$C$16,AD$3-1,$Y12+2-1)*$X12)/SUM($W12:$X12),0)</f>
        <v>0.16</v>
      </c>
      <c r="AE12" s="81">
        <f ca="1">IFERROR((OFFSET('LTDS 2'!$C$6,AE$3-1,$Y12+2-1)*$W12+OFFSET('LTDS 2'!$C$16,AE$3-1,$Y12+2-1)*$X12)/SUM($W12:$X12),0)</f>
        <v>0.16</v>
      </c>
      <c r="AG12" s="44">
        <f t="shared" ca="1" si="7"/>
        <v>0.20729615763546794</v>
      </c>
      <c r="AH12" s="44">
        <f t="shared" ca="1" si="8"/>
        <v>0.20310450738916253</v>
      </c>
      <c r="AI12" s="44">
        <f t="shared" ca="1" si="9"/>
        <v>0.47149714285714278</v>
      </c>
      <c r="AJ12" s="44">
        <f t="shared" ca="1" si="1"/>
        <v>0.46156137931034474</v>
      </c>
      <c r="AK12" s="44">
        <f t="shared" ca="1" si="1"/>
        <v>0.45162561576354671</v>
      </c>
      <c r="AM12" s="164">
        <f t="shared" ca="1" si="6"/>
        <v>2.5407370228745368E-2</v>
      </c>
      <c r="AN12" s="164">
        <f t="shared" ca="1" si="2"/>
        <v>2.8752383058424268E-2</v>
      </c>
      <c r="AO12" s="164">
        <f t="shared" ca="1" si="3"/>
        <v>5.3727210662939506E-2</v>
      </c>
      <c r="AP12" s="164">
        <f t="shared" ca="1" si="4"/>
        <v>7.8904183969552122E-2</v>
      </c>
      <c r="AQ12" s="164">
        <f t="shared" ca="1" si="5"/>
        <v>4.2213290335987481E-2</v>
      </c>
      <c r="AS12" s="203">
        <f ca="1">IFERROR((OFFSET('LTDS 2'!$C$6,AS$3-1,$Y12+2-1)*$W12+OFFSET('LTDS 2'!$C$16,AS$3-1,$Y12+2-1)*$X12)/SUM($W12:$X12),0)</f>
        <v>0.24999999999999989</v>
      </c>
    </row>
    <row r="13" spans="2:45" ht="42.75" customHeight="1" x14ac:dyDescent="0.35">
      <c r="B13" s="125">
        <v>9</v>
      </c>
      <c r="C13" s="45" t="s">
        <v>34</v>
      </c>
      <c r="D13" s="122">
        <f ca="1">SUMPRODUCT(OFFSET('Compare Topics'!$C$5:$C$24,0,$B13-1),'Customer Priority Tracker'!$D$4:$D$23)/SUM(OFFSET('Compare Topics'!$C$5:$C$24,0,$B13-1))</f>
        <v>6</v>
      </c>
      <c r="E13" s="122">
        <f ca="1">'LTDS 1'!D11</f>
        <v>10</v>
      </c>
      <c r="F13" s="122">
        <f ca="1">IFERROR(SUMPRODUCT(OFFSET('Compare Topics'!$C$27:$C$38,0,$B13-1),OFFSET(WTP!$E$8:$E$19,($D$2-1)*19,0))/SUM(OFFSET('Compare Topics'!$C$27:$C$38,0,$B13-1)),"")</f>
        <v>6.333333333333333</v>
      </c>
      <c r="G13" s="122">
        <f ca="1">IF('WRMP PR24'!D11="","",'WRMP PR24'!D11)</f>
        <v>10</v>
      </c>
      <c r="H13" s="153"/>
      <c r="I13" s="146" cm="1">
        <f t="array" aca="1" ref="I13" ca="1">SUMPRODUCT(--($D13:$G13&gt;0),$D13:$G13,$D$16:$G$16)/SUMIFS($D$16:$G$16,$D13:$G13,"&gt;0")</f>
        <v>8.0114942528735629</v>
      </c>
      <c r="J13" s="146" cm="1">
        <f t="array" aca="1" ref="J13" ca="1">IFERROR(SQRT(SUMPRODUCT(--($D27:$G27&gt;0),$D27:$G27,$D$16:$G$16)/SUMIFS($D$16:$G$16,$D27:$G27,"&gt;0")),0)</f>
        <v>1.9247983595854281</v>
      </c>
      <c r="K13" s="201">
        <f>IF(M13=Control!$K$2,-J13,IF(M13=Control!$K$4,+J13,0))</f>
        <v>0</v>
      </c>
      <c r="L13" s="201"/>
      <c r="M13" s="204" t="s">
        <v>301</v>
      </c>
      <c r="O13" s="83">
        <f ca="1">1+OFFSET('LTDS 3'!$D$25,0,'Future Priority Ratings'!$B13-1)</f>
        <v>1.1400000000000001</v>
      </c>
      <c r="Q13" s="85">
        <f t="shared" ca="1" si="0"/>
        <v>1.1120000000000001</v>
      </c>
      <c r="R13" s="85">
        <f t="shared" ca="1" si="0"/>
        <v>1.0840000000000001</v>
      </c>
      <c r="S13" s="85">
        <f t="shared" ca="1" si="0"/>
        <v>1.056</v>
      </c>
      <c r="T13" s="85">
        <f t="shared" ca="1" si="0"/>
        <v>1.028</v>
      </c>
      <c r="U13" s="84">
        <v>1</v>
      </c>
      <c r="V13" s="84"/>
      <c r="W13" s="156">
        <f ca="1">IF(OFFSET('LTDS 2'!$E$5,0,'Future Priority Ratings'!$Y13-1)="",0,OFFSET('Source RAG ratings'!$L$3,W$3-1,0))</f>
        <v>0.83333333333333337</v>
      </c>
      <c r="X13" s="156">
        <f ca="1">IF(OFFSET('LTDS 2'!$E$15,0,'Future Priority Ratings'!$Y13-1)="",0,OFFSET('Source RAG ratings'!$L$3,X$3-1,0))</f>
        <v>0.70000000000000007</v>
      </c>
      <c r="Y13" s="53">
        <f>MATCH($C13,'LTDS 2'!$C$3:$AC$3,0)</f>
        <v>1</v>
      </c>
      <c r="AA13" s="189" cm="1">
        <f t="array" aca="1" ref="AA13" ca="1">TREND(AB13:AD13,$AB$4:$AD$4,AA$4)</f>
        <v>0.36578620986663779</v>
      </c>
      <c r="AB13" s="81">
        <f ca="1">IFERROR((OFFSET('LTDS 2'!$C$6,AB$3-1,$Y13+2-1)*$W13+OFFSET('LTDS 2'!$C$16,AB$3-1,$Y13+2-1)*$X13)/SUM($W13:$X13),0)</f>
        <v>0.27059313278263908</v>
      </c>
      <c r="AC13" s="81">
        <f ca="1">IFERROR((OFFSET('LTDS 2'!$C$6,AC$3-1,$Y13+2-1)*$W13+OFFSET('LTDS 2'!$C$16,AC$3-1,$Y13+2-1)*$X13)/SUM($W13:$X13),0)</f>
        <v>0.24965380195536957</v>
      </c>
      <c r="AD13" s="81">
        <f ca="1">IFERROR((OFFSET('LTDS 2'!$C$6,AD$3-1,$Y13+2-1)*$W13+OFFSET('LTDS 2'!$C$16,AD$3-1,$Y13+2-1)*$X13)/SUM($W13:$X13),0)</f>
        <v>0.11733385174300327</v>
      </c>
      <c r="AE13" s="81">
        <f ca="1">IFERROR((OFFSET('LTDS 2'!$C$6,AE$3-1,$Y13+2-1)*$W13+OFFSET('LTDS 2'!$C$16,AE$3-1,$Y13+2-1)*$X13)/SUM($W13:$X13),0)</f>
        <v>0.29366838595828371</v>
      </c>
      <c r="AG13" s="44">
        <f t="shared" ca="1" si="7"/>
        <v>1.3856270031723112</v>
      </c>
      <c r="AH13" s="44">
        <f t="shared" ca="1" si="8"/>
        <v>0.99921806111697586</v>
      </c>
      <c r="AI13" s="44">
        <f t="shared" ca="1" si="9"/>
        <v>2.1121055995495928</v>
      </c>
      <c r="AJ13" s="44">
        <f t="shared" ca="1" si="1"/>
        <v>0.96634002431597388</v>
      </c>
      <c r="AK13" s="44">
        <f t="shared" ca="1" si="1"/>
        <v>2.3527225863554451</v>
      </c>
      <c r="AM13" s="164">
        <f t="shared" ca="1" si="6"/>
        <v>0.16983015348723626</v>
      </c>
      <c r="AN13" s="164">
        <f t="shared" ca="1" si="2"/>
        <v>0.14145378072325482</v>
      </c>
      <c r="AO13" s="164">
        <f t="shared" ca="1" si="3"/>
        <v>0.24067493135108406</v>
      </c>
      <c r="AP13" s="164">
        <f t="shared" ca="1" si="4"/>
        <v>0.16519638443254855</v>
      </c>
      <c r="AQ13" s="164">
        <f t="shared" ca="1" si="5"/>
        <v>0.21990816763116419</v>
      </c>
      <c r="AS13" s="203">
        <f ca="1">IFERROR((OFFSET('LTDS 2'!$C$6,AS$3-1,$Y13+2-1)*$W13+OFFSET('LTDS 2'!$C$16,AS$3-1,$Y13+2-1)*$X13)/SUM($W13:$X13),0)</f>
        <v>6.8750827560673258E-2</v>
      </c>
    </row>
    <row r="14" spans="2:45" ht="42.75" customHeight="1" x14ac:dyDescent="0.35">
      <c r="B14" s="125">
        <v>10</v>
      </c>
      <c r="C14" s="45" t="s">
        <v>35</v>
      </c>
      <c r="D14" s="122">
        <f ca="1">SUMPRODUCT(OFFSET('Compare Topics'!$C$5:$C$24,0,$B14-1),'Customer Priority Tracker'!$D$4:$D$23)/SUM(OFFSET('Compare Topics'!$C$5:$C$24,0,$B14-1))</f>
        <v>4.333333333333333</v>
      </c>
      <c r="E14" s="122">
        <f ca="1">'LTDS 1'!D12</f>
        <v>7</v>
      </c>
      <c r="F14" s="122" t="str">
        <f ca="1">IFERROR(SUMPRODUCT(OFFSET('Compare Topics'!$C$27:$C$38,0,$B14-1),OFFSET(WTP!$E$8:$E$19,($D$2-1)*19,0))/SUM(OFFSET('Compare Topics'!$C$27:$C$38,0,$B14-1)),"")</f>
        <v/>
      </c>
      <c r="G14" s="122">
        <f ca="1">IF('WRMP PR24'!D12="","",'WRMP PR24'!D12)</f>
        <v>6</v>
      </c>
      <c r="H14" s="154"/>
      <c r="I14" s="147" cm="1">
        <f t="array" aca="1" ref="I14" ca="1">SUMPRODUCT(--($D14:$G14&gt;0),$D14:$G14,$D$16:$G$16)/SUMIFS($D$16:$G$16,$D14:$G14,"&gt;0")</f>
        <v>5.8484848484848486</v>
      </c>
      <c r="J14" s="147" cm="1">
        <f t="array" aca="1" ref="J14" ca="1">IFERROR(SQRT(SUMPRODUCT(--($D28:$G28&gt;0),$D28:$G28,$D$16:$G$16)/SUMIFS($D$16:$G$16,$D28:$G28,"&gt;0")),0)</f>
        <v>1.2007038034035729</v>
      </c>
      <c r="K14" s="201">
        <f>IF(M14=Control!$K$2,-J14,IF(M14=Control!$K$4,+J14,0))</f>
        <v>0</v>
      </c>
      <c r="L14" s="201"/>
      <c r="M14" s="204" t="s">
        <v>301</v>
      </c>
      <c r="O14" s="83">
        <f ca="1">1+OFFSET('LTDS 3'!$D$25,0,'Future Priority Ratings'!$B14-1)</f>
        <v>1.23</v>
      </c>
      <c r="Q14" s="85">
        <f t="shared" ca="1" si="0"/>
        <v>1.1839999999999999</v>
      </c>
      <c r="R14" s="85">
        <f t="shared" ca="1" si="0"/>
        <v>1.1379999999999999</v>
      </c>
      <c r="S14" s="85">
        <f t="shared" ca="1" si="0"/>
        <v>1.0920000000000001</v>
      </c>
      <c r="T14" s="85">
        <f t="shared" ca="1" si="0"/>
        <v>1.046</v>
      </c>
      <c r="U14" s="84">
        <v>1</v>
      </c>
      <c r="V14" s="84"/>
      <c r="W14" s="156">
        <f ca="1">IF(OFFSET('LTDS 2'!$E$5,0,'Future Priority Ratings'!$Y14-1)="",0,OFFSET('Source RAG ratings'!$L$3,W$3-1,0))</f>
        <v>0</v>
      </c>
      <c r="X14" s="156">
        <f ca="1">IF(OFFSET('LTDS 2'!$E$15,0,'Future Priority Ratings'!$Y14-1)="",0,OFFSET('Source RAG ratings'!$L$3,X$3-1,0))</f>
        <v>0.70000000000000007</v>
      </c>
      <c r="Y14" s="53">
        <f>MATCH($C14,'LTDS 2'!$C$3:$AC$3,0)</f>
        <v>10</v>
      </c>
      <c r="AA14" s="189" cm="1">
        <f t="array" aca="1" ref="AA14" ca="1">TREND(AB14:AD14,$AB$4:$AD$4,AA$4)</f>
        <v>0.60714285714290384</v>
      </c>
      <c r="AB14" s="81">
        <f ca="1">IFERROR((OFFSET('LTDS 2'!$C$6,AB$3-1,$Y14+2-1)*$W14+OFFSET('LTDS 2'!$C$16,AB$3-1,$Y14+2-1)*$X14)/SUM($W14:$X14),0)</f>
        <v>0.53571428571430002</v>
      </c>
      <c r="AC14" s="81">
        <f ca="1">IFERROR((OFFSET('LTDS 2'!$C$6,AC$3-1,$Y14+2-1)*$W14+OFFSET('LTDS 2'!$C$16,AC$3-1,$Y14+2-1)*$X14)/SUM($W14:$X14),0)</f>
        <v>3.5714285714290001E-2</v>
      </c>
      <c r="AD14" s="81">
        <f ca="1">IFERROR((OFFSET('LTDS 2'!$C$6,AD$3-1,$Y14+2-1)*$W14+OFFSET('LTDS 2'!$C$16,AD$3-1,$Y14+2-1)*$X14)/SUM($W14:$X14),0)</f>
        <v>0.17857142857139999</v>
      </c>
      <c r="AE14" s="81">
        <f ca="1">IFERROR((OFFSET('LTDS 2'!$C$6,AE$3-1,$Y14+2-1)*$W14+OFFSET('LTDS 2'!$C$16,AE$3-1,$Y14+2-1)*$X14)/SUM($W14:$X14),0)</f>
        <v>0.10714285714286001</v>
      </c>
      <c r="AG14" s="44">
        <f ca="1">IFERROR(IF(AA14="","-",($I14+$K14)*Q14*AB14*AA14/SUM($AA14:$AB14)),0)</f>
        <v>1.9707305194806182</v>
      </c>
      <c r="AH14" s="44">
        <f ca="1">IFERROR(IF(AB14="","-",($I14+$K14)*R14*AB14*AB14/SUM($AA14:$AB14)),0)</f>
        <v>1.6713220373376625</v>
      </c>
      <c r="AI14" s="44">
        <f t="shared" ca="1" si="9"/>
        <v>0.22809090909093649</v>
      </c>
      <c r="AJ14" s="44">
        <f t="shared" ca="1" si="1"/>
        <v>1.0924134199132451</v>
      </c>
      <c r="AK14" s="44">
        <f t="shared" ca="1" si="1"/>
        <v>0.6266233766233934</v>
      </c>
      <c r="AM14" s="164">
        <f t="shared" ca="1" si="6"/>
        <v>0.24154369526512004</v>
      </c>
      <c r="AN14" s="164">
        <f t="shared" ca="1" si="2"/>
        <v>0.23659982759241652</v>
      </c>
      <c r="AO14" s="164">
        <f t="shared" ca="1" si="3"/>
        <v>2.5991012901520661E-2</v>
      </c>
      <c r="AP14" s="164">
        <f t="shared" ca="1" si="4"/>
        <v>0.18674870411479078</v>
      </c>
      <c r="AQ14" s="164">
        <f t="shared" ca="1" si="5"/>
        <v>5.8570270607877277E-2</v>
      </c>
      <c r="AS14" s="203">
        <f ca="1">IFERROR((OFFSET('LTDS 2'!$C$6,AS$3-1,$Y14+2-1)*$W14+OFFSET('LTDS 2'!$C$16,AS$3-1,$Y14+2-1)*$X14)/SUM($W14:$X14),0)</f>
        <v>0.14285714285709999</v>
      </c>
    </row>
    <row r="15" spans="2:45" ht="17.25" hidden="1" customHeight="1" outlineLevel="1" x14ac:dyDescent="0.35"/>
    <row r="16" spans="2:45" ht="42.75" hidden="1" customHeight="1" outlineLevel="1" x14ac:dyDescent="0.35">
      <c r="C16" s="45" t="s">
        <v>163</v>
      </c>
      <c r="D16" s="87">
        <f ca="1">OFFSET('Source RAG ratings'!$L$3,D$3-1,$F$2-1)</f>
        <v>0.66666666666666663</v>
      </c>
      <c r="E16" s="87">
        <f ca="1">OFFSET('Source RAG ratings'!$L$3,E$3-1,$F$2-1)</f>
        <v>0.83333333333333337</v>
      </c>
      <c r="F16" s="87">
        <f ca="1">OFFSET('Source RAG ratings'!$L$3,F$3-1,$F$2-1)</f>
        <v>0.58333333333333337</v>
      </c>
      <c r="G16" s="87">
        <f ca="1">OFFSET('Source RAG ratings'!$L$3,G$3-1,$F$2-1)</f>
        <v>0.33333333333333331</v>
      </c>
      <c r="H16" s="87"/>
    </row>
    <row r="17" spans="3:8" ht="9" hidden="1" customHeight="1" outlineLevel="1" x14ac:dyDescent="0.35">
      <c r="C17" s="87"/>
      <c r="D17" s="87"/>
      <c r="E17" s="87"/>
      <c r="F17" s="87"/>
      <c r="G17" s="87"/>
      <c r="H17" s="87"/>
    </row>
    <row r="18" spans="3:8" ht="9" hidden="1" customHeight="1" outlineLevel="1" x14ac:dyDescent="0.35">
      <c r="C18" s="87" t="s">
        <v>293</v>
      </c>
      <c r="D18" s="87"/>
      <c r="E18" s="87"/>
      <c r="F18" s="87"/>
      <c r="G18" s="87"/>
      <c r="H18" s="87"/>
    </row>
    <row r="19" spans="3:8" hidden="1" outlineLevel="1" x14ac:dyDescent="0.35">
      <c r="C19" s="194" t="str">
        <f>C5</f>
        <v>Drought Resilience</v>
      </c>
      <c r="D19" s="87">
        <f ca="1">IFERROR((D5-$I5)^2,"")</f>
        <v>1.6000000000000385E-3</v>
      </c>
      <c r="E19" s="87">
        <f t="shared" ref="E19:G19" ca="1" si="10">IFERROR((E5-$I5)^2,"")</f>
        <v>4.1616000000000017</v>
      </c>
      <c r="F19" s="87">
        <f t="shared" ca="1" si="10"/>
        <v>8.7615999999999978</v>
      </c>
      <c r="G19" s="87" t="str">
        <f t="shared" ca="1" si="10"/>
        <v/>
      </c>
      <c r="H19" s="87"/>
    </row>
    <row r="20" spans="3:8" hidden="1" outlineLevel="1" x14ac:dyDescent="0.35">
      <c r="C20" s="194" t="str">
        <f t="shared" ref="C20:C28" si="11">C6</f>
        <v>WINEP</v>
      </c>
      <c r="D20" s="87">
        <f t="shared" ref="D20:G28" ca="1" si="12">IFERROR((D6-$I6)^2,"")</f>
        <v>2.25</v>
      </c>
      <c r="E20" s="87">
        <f t="shared" ca="1" si="12"/>
        <v>0</v>
      </c>
      <c r="F20" s="87" t="str">
        <f t="shared" ca="1" si="12"/>
        <v/>
      </c>
      <c r="G20" s="87">
        <f t="shared" ca="1" si="12"/>
        <v>9</v>
      </c>
      <c r="H20" s="87"/>
    </row>
    <row r="21" spans="3:8" hidden="1" outlineLevel="1" x14ac:dyDescent="0.35">
      <c r="C21" s="194" t="str">
        <f t="shared" si="11"/>
        <v>Achieving Net Zero Carbon</v>
      </c>
      <c r="D21" s="87">
        <f t="shared" ca="1" si="12"/>
        <v>2.677685950413224</v>
      </c>
      <c r="E21" s="87">
        <f t="shared" ca="1" si="12"/>
        <v>0.13223140495867744</v>
      </c>
      <c r="F21" s="87" t="str">
        <f t="shared" ca="1" si="12"/>
        <v/>
      </c>
      <c r="G21" s="87">
        <f t="shared" ca="1" si="12"/>
        <v>5.5867768595041305</v>
      </c>
      <c r="H21" s="87"/>
    </row>
    <row r="22" spans="3:8" hidden="1" outlineLevel="1" x14ac:dyDescent="0.35">
      <c r="C22" s="194" t="str">
        <f t="shared" si="11"/>
        <v>Leakage Reduction</v>
      </c>
      <c r="D22" s="87">
        <f t="shared" ca="1" si="12"/>
        <v>2.9726516052318405E-2</v>
      </c>
      <c r="E22" s="87">
        <f t="shared" ca="1" si="12"/>
        <v>7.9952437574316333</v>
      </c>
      <c r="F22" s="87">
        <f t="shared" ca="1" si="12"/>
        <v>10.064209274673004</v>
      </c>
      <c r="G22" s="87">
        <f t="shared" ca="1" si="12"/>
        <v>1.3745541022592134</v>
      </c>
      <c r="H22" s="87"/>
    </row>
    <row r="23" spans="3:8" hidden="1" outlineLevel="1" x14ac:dyDescent="0.35">
      <c r="C23" s="194" t="str">
        <f t="shared" si="11"/>
        <v>Lead Pipe Removal</v>
      </c>
      <c r="D23" s="87">
        <f t="shared" ca="1" si="12"/>
        <v>13.838399999999998</v>
      </c>
      <c r="E23" s="87">
        <f t="shared" ca="1" si="12"/>
        <v>0.51839999999999964</v>
      </c>
      <c r="F23" s="87">
        <f t="shared" ca="1" si="12"/>
        <v>27.878400000000003</v>
      </c>
      <c r="G23" s="87" t="str">
        <f t="shared" ca="1" si="12"/>
        <v/>
      </c>
      <c r="H23" s="87"/>
    </row>
    <row r="24" spans="3:8" ht="29" hidden="1" outlineLevel="1" x14ac:dyDescent="0.35">
      <c r="C24" s="194" t="str">
        <f t="shared" si="11"/>
        <v>Reducing how much water we use at home and at work</v>
      </c>
      <c r="D24" s="87">
        <f t="shared" ca="1" si="12"/>
        <v>2.7395957193816853</v>
      </c>
      <c r="E24" s="87">
        <f t="shared" ca="1" si="12"/>
        <v>7.1725459109525742</v>
      </c>
      <c r="F24" s="87">
        <f t="shared" ca="1" si="12"/>
        <v>5.390936715550267</v>
      </c>
      <c r="G24" s="87">
        <f t="shared" ca="1" si="12"/>
        <v>0.45990223279165127</v>
      </c>
      <c r="H24" s="87"/>
    </row>
    <row r="25" spans="3:8" hidden="1" outlineLevel="1" x14ac:dyDescent="0.35">
      <c r="C25" s="194" t="str">
        <f t="shared" si="11"/>
        <v>Reducing Supply Interruptions</v>
      </c>
      <c r="D25" s="87">
        <f t="shared" ca="1" si="12"/>
        <v>6.7599999999999424E-2</v>
      </c>
      <c r="E25" s="87">
        <f t="shared" ca="1" si="12"/>
        <v>0.54760000000000164</v>
      </c>
      <c r="F25" s="87">
        <f t="shared" ca="1" si="12"/>
        <v>0.57759999999999834</v>
      </c>
      <c r="G25" s="87" t="str">
        <f t="shared" ca="1" si="12"/>
        <v/>
      </c>
      <c r="H25" s="87"/>
    </row>
    <row r="26" spans="3:8" ht="29" hidden="1" outlineLevel="1" x14ac:dyDescent="0.35">
      <c r="C26" s="194" t="str">
        <f t="shared" si="11"/>
        <v>Offering better and smarter customer service</v>
      </c>
      <c r="D26" s="87">
        <f t="shared" ca="1" si="12"/>
        <v>0.93222354340071201</v>
      </c>
      <c r="E26" s="87">
        <f t="shared" ca="1" si="12"/>
        <v>1.386129243611834</v>
      </c>
      <c r="F26" s="87">
        <f t="shared" ca="1" si="12"/>
        <v>3.3220898347448347</v>
      </c>
      <c r="G26" s="87">
        <f t="shared" ca="1" si="12"/>
        <v>4.7408090465675006</v>
      </c>
      <c r="H26" s="87"/>
    </row>
    <row r="27" spans="3:8" hidden="1" outlineLevel="1" x14ac:dyDescent="0.35">
      <c r="C27" s="194" t="str">
        <f t="shared" si="11"/>
        <v>Improving Water Quality</v>
      </c>
      <c r="D27" s="87">
        <f t="shared" ca="1" si="12"/>
        <v>4.0461091293433729</v>
      </c>
      <c r="E27" s="87">
        <f t="shared" ca="1" si="12"/>
        <v>3.9541551063548699</v>
      </c>
      <c r="F27" s="87">
        <f t="shared" ca="1" si="12"/>
        <v>2.8162240718721097</v>
      </c>
      <c r="G27" s="87">
        <f t="shared" ca="1" si="12"/>
        <v>3.9541551063548699</v>
      </c>
      <c r="H27" s="87"/>
    </row>
    <row r="28" spans="3:8" hidden="1" outlineLevel="1" x14ac:dyDescent="0.35">
      <c r="C28" s="194" t="str">
        <f t="shared" si="11"/>
        <v>Tackling Water Poverty</v>
      </c>
      <c r="D28" s="87">
        <f t="shared" ca="1" si="12"/>
        <v>2.2956841138659332</v>
      </c>
      <c r="E28" s="87">
        <f t="shared" ca="1" si="12"/>
        <v>1.3259871441689621</v>
      </c>
      <c r="F28" s="87" t="str">
        <f t="shared" ca="1" si="12"/>
        <v/>
      </c>
      <c r="G28" s="87">
        <f t="shared" ca="1" si="12"/>
        <v>2.2956841138659281E-2</v>
      </c>
      <c r="H28" s="87"/>
    </row>
    <row r="29" spans="3:8" ht="42.75" customHeight="1" collapsed="1" x14ac:dyDescent="0.35"/>
    <row r="30" spans="3:8" ht="42.75" customHeight="1" x14ac:dyDescent="0.35"/>
  </sheetData>
  <mergeCells count="2">
    <mergeCell ref="AG2:AK2"/>
    <mergeCell ref="AM2:AQ2"/>
  </mergeCells>
  <conditionalFormatting sqref="C2">
    <cfRule type="expression" dxfId="24" priority="4">
      <formula>$D$2&lt;&gt;1</formula>
    </cfRule>
  </conditionalFormatting>
  <conditionalFormatting sqref="C5:C14">
    <cfRule type="expression" dxfId="23" priority="24">
      <formula>MOD(ROW(),2)=1</formula>
    </cfRule>
  </conditionalFormatting>
  <conditionalFormatting sqref="C16 C19:C28">
    <cfRule type="expression" dxfId="22" priority="21">
      <formula>MOD(ROW(),2)=1</formula>
    </cfRule>
  </conditionalFormatting>
  <conditionalFormatting sqref="D5:D14">
    <cfRule type="colorScale" priority="23">
      <colorScale>
        <cfvo type="min"/>
        <cfvo type="max"/>
        <color rgb="FFFCFCFF"/>
        <color rgb="FF63BE7B"/>
      </colorScale>
    </cfRule>
  </conditionalFormatting>
  <conditionalFormatting sqref="E2">
    <cfRule type="expression" dxfId="21" priority="6">
      <formula>$F$2&lt;&gt;1</formula>
    </cfRule>
  </conditionalFormatting>
  <conditionalFormatting sqref="E5:E14">
    <cfRule type="colorScale" priority="22">
      <colorScale>
        <cfvo type="min"/>
        <cfvo type="max"/>
        <color rgb="FFFCFCFF"/>
        <color rgb="FF63BE7B"/>
      </colorScale>
    </cfRule>
  </conditionalFormatting>
  <conditionalFormatting sqref="F5:F14">
    <cfRule type="colorScale" priority="12">
      <colorScale>
        <cfvo type="min"/>
        <cfvo type="max"/>
        <color rgb="FFFCFCFF"/>
        <color rgb="FF63BE7B"/>
      </colorScale>
    </cfRule>
  </conditionalFormatting>
  <conditionalFormatting sqref="G5:H14">
    <cfRule type="colorScale" priority="11">
      <colorScale>
        <cfvo type="min"/>
        <cfvo type="max"/>
        <color rgb="FFFCFCFF"/>
        <color rgb="FF63BE7B"/>
      </colorScale>
    </cfRule>
  </conditionalFormatting>
  <conditionalFormatting sqref="I5:I14">
    <cfRule type="colorScale" priority="10">
      <colorScale>
        <cfvo type="min"/>
        <cfvo type="max"/>
        <color rgb="FFFCFCFF"/>
        <color rgb="FF63BE7B"/>
      </colorScale>
    </cfRule>
  </conditionalFormatting>
  <conditionalFormatting sqref="J5:J14">
    <cfRule type="colorScale" priority="7">
      <colorScale>
        <cfvo type="min"/>
        <cfvo type="max"/>
        <color rgb="FFFCFCFF"/>
        <color rgb="FF63BE7B"/>
      </colorScale>
    </cfRule>
  </conditionalFormatting>
  <conditionalFormatting sqref="M5:M14">
    <cfRule type="expression" dxfId="20" priority="1">
      <formula>M5="High"</formula>
    </cfRule>
    <cfRule type="expression" dxfId="19" priority="2">
      <formula>M5="Low"</formula>
    </cfRule>
  </conditionalFormatting>
  <conditionalFormatting sqref="AA5:AE14 AG5:AK14">
    <cfRule type="expression" dxfId="18" priority="14">
      <formula>$W5=0</formula>
    </cfRule>
  </conditionalFormatting>
  <conditionalFormatting sqref="AG5:AK14">
    <cfRule type="dataBar" priority="26">
      <dataBar>
        <cfvo type="min"/>
        <cfvo type="max"/>
        <color rgb="FF63C384"/>
      </dataBar>
      <extLst>
        <ext xmlns:x14="http://schemas.microsoft.com/office/spreadsheetml/2009/9/main" uri="{B025F937-C7B1-47D3-B67F-A62EFF666E3E}">
          <x14:id>{15E2D356-9A5D-4093-A912-958798606838}</x14:id>
        </ext>
      </extLst>
    </cfRule>
  </conditionalFormatting>
  <conditionalFormatting sqref="AM5:AQ14">
    <cfRule type="expression" dxfId="17" priority="8">
      <formula>$W5=0</formula>
    </cfRule>
    <cfRule type="dataBar" priority="9">
      <dataBar>
        <cfvo type="min"/>
        <cfvo type="max"/>
        <color theme="4"/>
      </dataBar>
      <extLst>
        <ext xmlns:x14="http://schemas.microsoft.com/office/spreadsheetml/2009/9/main" uri="{B025F937-C7B1-47D3-B67F-A62EFF666E3E}">
          <x14:id>{6CDF64E0-0973-4DCD-9A49-DA36BB0D0573}</x14:id>
        </ext>
      </extLst>
    </cfRule>
  </conditionalFormatting>
  <conditionalFormatting sqref="AS5:AS14">
    <cfRule type="expression" dxfId="16" priority="3">
      <formula>$W5=0</formula>
    </cfRule>
  </conditionalFormatting>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dataBar" id="{15E2D356-9A5D-4093-A912-958798606838}">
            <x14:dataBar minLength="0" maxLength="100" border="1" negativeBarBorderColorSameAsPositive="0">
              <x14:cfvo type="autoMin"/>
              <x14:cfvo type="autoMax"/>
              <x14:borderColor rgb="FF63C384"/>
              <x14:negativeFillColor rgb="FFFF0000"/>
              <x14:negativeBorderColor rgb="FFFF0000"/>
              <x14:axisColor rgb="FF000000"/>
            </x14:dataBar>
          </x14:cfRule>
          <xm:sqref>AG5:AK14</xm:sqref>
        </x14:conditionalFormatting>
        <x14:conditionalFormatting xmlns:xm="http://schemas.microsoft.com/office/excel/2006/main">
          <x14:cfRule type="dataBar" id="{6CDF64E0-0973-4DCD-9A49-DA36BB0D0573}">
            <x14:dataBar minLength="0" maxLength="100" border="1" negativeBarBorderColorSameAsPositive="0">
              <x14:cfvo type="autoMin"/>
              <x14:cfvo type="autoMax"/>
              <x14:borderColor theme="4"/>
              <x14:negativeFillColor rgb="FFFF0000"/>
              <x14:negativeBorderColor rgb="FFFF0000"/>
              <x14:axisColor rgb="FF000000"/>
            </x14:dataBar>
          </x14:cfRule>
          <xm:sqref>AM5:AQ14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C5037E0-ADC8-4472-A40C-C5E6A4E7F978}">
          <x14:formula1>
            <xm:f>Control!$G$2:$G$4</xm:f>
          </x14:formula1>
          <xm:sqref>C2</xm:sqref>
        </x14:dataValidation>
        <x14:dataValidation type="list" allowBlank="1" showInputMessage="1" showErrorMessage="1" xr:uid="{73E88381-AA17-4D79-B25E-6D2314B904D7}">
          <x14:formula1>
            <xm:f>Control!$H$2:$H$4</xm:f>
          </x14:formula1>
          <xm:sqref>E2</xm:sqref>
        </x14:dataValidation>
        <x14:dataValidation type="list" allowBlank="1" showInputMessage="1" showErrorMessage="1" xr:uid="{EE4B6DB6-F517-46A8-81E5-185592F14D24}">
          <x14:formula1>
            <xm:f>Control!$K$2:$K$4</xm:f>
          </x14:formula1>
          <xm:sqref>M5:M14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16DA5-5AC6-4920-BA1B-1A9EAA625D7C}">
  <sheetPr codeName="Sheet4"/>
  <dimension ref="B2:Q13"/>
  <sheetViews>
    <sheetView workbookViewId="0">
      <pane xSplit="3" ySplit="2" topLeftCell="D3" activePane="bottomRight" state="frozen"/>
      <selection pane="topRight" activeCell="D1" sqref="D1"/>
      <selection pane="bottomLeft" activeCell="A3" sqref="A3"/>
      <selection pane="bottomRight" activeCell="L5" sqref="L5"/>
    </sheetView>
  </sheetViews>
  <sheetFormatPr defaultColWidth="9.1796875" defaultRowHeight="14.5" outlineLevelCol="1" x14ac:dyDescent="0.35"/>
  <cols>
    <col min="1" max="2" width="9.1796875" style="7"/>
    <col min="3" max="3" width="28.453125" style="7" customWidth="1"/>
    <col min="4" max="6" width="18.1796875" style="7" customWidth="1"/>
    <col min="7" max="7" width="3.81640625" style="7" customWidth="1"/>
    <col min="8" max="10" width="6.54296875" style="7" customWidth="1" outlineLevel="1"/>
    <col min="11" max="11" width="2.453125" style="7" customWidth="1" outlineLevel="1"/>
    <col min="12" max="14" width="6.54296875" style="7" customWidth="1" outlineLevel="1"/>
    <col min="15" max="16384" width="9.1796875" style="7"/>
  </cols>
  <sheetData>
    <row r="2" spans="2:17" ht="18.5" x14ac:dyDescent="0.35">
      <c r="C2" s="46" t="s">
        <v>24</v>
      </c>
      <c r="D2" s="47" t="s">
        <v>60</v>
      </c>
      <c r="E2" s="48" t="s">
        <v>61</v>
      </c>
      <c r="F2" s="47" t="s">
        <v>62</v>
      </c>
      <c r="H2" s="215" t="s">
        <v>68</v>
      </c>
      <c r="I2" s="215"/>
      <c r="J2" s="215"/>
      <c r="L2" s="86" t="s">
        <v>164</v>
      </c>
      <c r="M2" s="19" t="s">
        <v>66</v>
      </c>
      <c r="N2" s="19" t="s">
        <v>67</v>
      </c>
    </row>
    <row r="3" spans="2:17" ht="42.75" customHeight="1" x14ac:dyDescent="0.35">
      <c r="B3" s="91">
        <v>1</v>
      </c>
      <c r="C3" s="45" t="s">
        <v>1</v>
      </c>
      <c r="D3" s="88" t="s">
        <v>63</v>
      </c>
      <c r="E3" s="88" t="s">
        <v>10</v>
      </c>
      <c r="F3" s="88" t="s">
        <v>63</v>
      </c>
      <c r="H3" s="64">
        <f>VLOOKUP(D3,Control!$B$2:$C$6,2,FALSE)</f>
        <v>0.5</v>
      </c>
      <c r="I3" s="64">
        <f>VLOOKUP(E3,Control!$B$2:$C$6,2,FALSE)</f>
        <v>1</v>
      </c>
      <c r="J3" s="64">
        <f>VLOOKUP(F3,Control!$B$2:$C$6,2,FALSE)</f>
        <v>0.5</v>
      </c>
      <c r="L3" s="162">
        <f>AVERAGE(H3:J3)</f>
        <v>0.66666666666666663</v>
      </c>
      <c r="M3" s="64">
        <f>MIN(H3:J3)</f>
        <v>0.5</v>
      </c>
      <c r="N3" s="64">
        <f>MAX(H3:J3)</f>
        <v>1</v>
      </c>
    </row>
    <row r="4" spans="2:17" ht="42.75" customHeight="1" x14ac:dyDescent="0.35">
      <c r="B4" s="91">
        <v>2</v>
      </c>
      <c r="C4" s="45" t="s">
        <v>202</v>
      </c>
      <c r="D4" s="88" t="s">
        <v>10</v>
      </c>
      <c r="E4" s="88" t="s">
        <v>10</v>
      </c>
      <c r="F4" s="88" t="s">
        <v>63</v>
      </c>
      <c r="H4" s="64">
        <f>VLOOKUP(D4,Control!$B$2:$C$6,2,FALSE)</f>
        <v>1</v>
      </c>
      <c r="I4" s="64">
        <f>VLOOKUP(E4,Control!$B$2:$C$6,2,FALSE)</f>
        <v>1</v>
      </c>
      <c r="J4" s="64">
        <f>VLOOKUP(F4,Control!$B$2:$C$6,2,FALSE)</f>
        <v>0.5</v>
      </c>
      <c r="L4" s="162">
        <f>AVERAGE(H4:J4)</f>
        <v>0.83333333333333337</v>
      </c>
      <c r="M4" s="64">
        <f>MIN(H4:J4)</f>
        <v>0.5</v>
      </c>
      <c r="N4" s="64">
        <f>MAX(H4:J4)</f>
        <v>1</v>
      </c>
    </row>
    <row r="5" spans="2:17" ht="42.75" customHeight="1" x14ac:dyDescent="0.35">
      <c r="B5" s="91">
        <v>3</v>
      </c>
      <c r="C5" s="45" t="s">
        <v>203</v>
      </c>
      <c r="D5" s="88" t="s">
        <v>10</v>
      </c>
      <c r="E5" s="88" t="s">
        <v>10</v>
      </c>
      <c r="F5" s="88" t="s">
        <v>63</v>
      </c>
      <c r="H5" s="64">
        <f>VLOOKUP(D5,Control!$B$2:$C$6,2,FALSE)</f>
        <v>1</v>
      </c>
      <c r="I5" s="64">
        <f>VLOOKUP(E5,Control!$B$2:$C$6,2,FALSE)</f>
        <v>1</v>
      </c>
      <c r="J5" s="64">
        <f>VLOOKUP(F5,Control!$B$2:$C$6,2,FALSE)</f>
        <v>0.5</v>
      </c>
      <c r="L5" s="162">
        <f t="shared" ref="L5:L8" si="0">AVERAGE(H5:J5)</f>
        <v>0.83333333333333337</v>
      </c>
      <c r="M5" s="64">
        <f t="shared" ref="M5:M8" si="1">MIN(H5:J5)</f>
        <v>0.5</v>
      </c>
      <c r="N5" s="64">
        <f t="shared" ref="N5:N8" si="2">MAX(H5:J5)</f>
        <v>1</v>
      </c>
    </row>
    <row r="6" spans="2:17" ht="42.75" customHeight="1" x14ac:dyDescent="0.35">
      <c r="B6" s="91">
        <v>4</v>
      </c>
      <c r="C6" s="45" t="s">
        <v>223</v>
      </c>
      <c r="D6" s="88" t="s">
        <v>10</v>
      </c>
      <c r="E6" s="88" t="s">
        <v>65</v>
      </c>
      <c r="F6" s="88" t="s">
        <v>10</v>
      </c>
      <c r="H6" s="64">
        <f>VLOOKUP(D6,Control!$B$2:$C$6,2,FALSE)</f>
        <v>1</v>
      </c>
      <c r="I6" s="64">
        <f>VLOOKUP(E6,Control!$B$2:$C$6,2,FALSE)</f>
        <v>0.1</v>
      </c>
      <c r="J6" s="64">
        <f>VLOOKUP(F6,Control!$B$2:$C$6,2,FALSE)</f>
        <v>1</v>
      </c>
      <c r="L6" s="162">
        <f t="shared" ref="L6" si="3">AVERAGE(H6:J6)</f>
        <v>0.70000000000000007</v>
      </c>
      <c r="M6" s="64">
        <f t="shared" ref="M6" si="4">MIN(H6:J6)</f>
        <v>0.1</v>
      </c>
      <c r="N6" s="64">
        <f t="shared" ref="N6" si="5">MAX(H6:J6)</f>
        <v>1</v>
      </c>
    </row>
    <row r="7" spans="2:17" ht="42.75" customHeight="1" x14ac:dyDescent="0.35">
      <c r="B7" s="91">
        <v>5</v>
      </c>
      <c r="C7" s="45" t="s">
        <v>3</v>
      </c>
      <c r="D7" s="88" t="s">
        <v>9</v>
      </c>
      <c r="E7" s="88" t="s">
        <v>10</v>
      </c>
      <c r="F7" s="88" t="s">
        <v>63</v>
      </c>
      <c r="H7" s="64">
        <f>VLOOKUP(D7,Control!$B$2:$C$6,2,FALSE)</f>
        <v>0.25</v>
      </c>
      <c r="I7" s="64">
        <f>VLOOKUP(E7,Control!$B$2:$C$6,2,FALSE)</f>
        <v>1</v>
      </c>
      <c r="J7" s="64">
        <f>VLOOKUP(F7,Control!$B$2:$C$6,2,FALSE)</f>
        <v>0.5</v>
      </c>
      <c r="L7" s="162">
        <f t="shared" si="0"/>
        <v>0.58333333333333337</v>
      </c>
      <c r="M7" s="64">
        <f t="shared" si="1"/>
        <v>0.25</v>
      </c>
      <c r="N7" s="64">
        <f t="shared" si="2"/>
        <v>1</v>
      </c>
    </row>
    <row r="8" spans="2:17" ht="42.75" customHeight="1" x14ac:dyDescent="0.35">
      <c r="B8" s="91">
        <v>6</v>
      </c>
      <c r="C8" s="45" t="s">
        <v>4</v>
      </c>
      <c r="D8" s="88" t="s">
        <v>9</v>
      </c>
      <c r="E8" s="88" t="s">
        <v>9</v>
      </c>
      <c r="F8" s="88" t="s">
        <v>63</v>
      </c>
      <c r="H8" s="64">
        <f>VLOOKUP(D8,Control!$B$2:$C$6,2,FALSE)</f>
        <v>0.25</v>
      </c>
      <c r="I8" s="64">
        <f>VLOOKUP(E8,Control!$B$2:$C$6,2,FALSE)</f>
        <v>0.25</v>
      </c>
      <c r="J8" s="64">
        <f>VLOOKUP(F8,Control!$B$2:$C$6,2,FALSE)</f>
        <v>0.5</v>
      </c>
      <c r="L8" s="162">
        <f t="shared" si="0"/>
        <v>0.33333333333333331</v>
      </c>
      <c r="M8" s="64">
        <f t="shared" si="1"/>
        <v>0.25</v>
      </c>
      <c r="N8" s="64">
        <f t="shared" si="2"/>
        <v>0.5</v>
      </c>
    </row>
    <row r="9" spans="2:17" ht="42.75" customHeight="1" x14ac:dyDescent="0.35">
      <c r="Q9" s="7">
        <f>2.1/3</f>
        <v>0.70000000000000007</v>
      </c>
    </row>
    <row r="10" spans="2:17" ht="42.75" customHeight="1" x14ac:dyDescent="0.35"/>
    <row r="11" spans="2:17" ht="42.75" customHeight="1" x14ac:dyDescent="0.35"/>
    <row r="12" spans="2:17" ht="42.75" customHeight="1" x14ac:dyDescent="0.35"/>
    <row r="13" spans="2:17" ht="42.75" customHeight="1" x14ac:dyDescent="0.35"/>
  </sheetData>
  <mergeCells count="1">
    <mergeCell ref="H2:J2"/>
  </mergeCells>
  <conditionalFormatting sqref="C3:C8">
    <cfRule type="expression" dxfId="15" priority="6">
      <formula>MOD(ROW(),2)=1</formula>
    </cfRule>
  </conditionalFormatting>
  <conditionalFormatting sqref="D3:F8">
    <cfRule type="cellIs" dxfId="14" priority="1" operator="equal">
      <formula>"Red"</formula>
    </cfRule>
    <cfRule type="cellIs" dxfId="13" priority="2" operator="equal">
      <formula>"Amber/Red"</formula>
    </cfRule>
    <cfRule type="cellIs" dxfId="12" priority="3" operator="equal">
      <formula>"Amber"</formula>
    </cfRule>
    <cfRule type="cellIs" dxfId="11" priority="4" operator="equal">
      <formula>"Green/Amber"</formula>
    </cfRule>
    <cfRule type="cellIs" dxfId="10" priority="5" operator="equal">
      <formula>"Green"</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3CA30A4-5978-4234-A951-4CEA4702C784}">
          <x14:formula1>
            <xm:f>Control!$B$2:$B$6</xm:f>
          </x14:formula1>
          <xm:sqref>D3:F8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5EF65-8238-4997-9EDC-31115BC4A7F5}">
  <sheetPr codeName="Sheet5"/>
  <dimension ref="B1:O23"/>
  <sheetViews>
    <sheetView tabSelected="1" workbookViewId="0">
      <selection activeCell="B3" sqref="B3:D23"/>
    </sheetView>
  </sheetViews>
  <sheetFormatPr defaultRowHeight="14.5" outlineLevelCol="1" x14ac:dyDescent="0.35"/>
  <cols>
    <col min="2" max="2" width="45.453125" bestFit="1" customWidth="1"/>
    <col min="4" max="4" width="15.26953125" customWidth="1"/>
    <col min="6" max="6" width="17" customWidth="1" outlineLevel="1"/>
    <col min="7" max="9" width="10.54296875" customWidth="1" outlineLevel="1"/>
    <col min="10" max="11" width="9.1796875" customWidth="1" outlineLevel="1"/>
  </cols>
  <sheetData>
    <row r="1" spans="2:15" x14ac:dyDescent="0.35">
      <c r="G1" t="s">
        <v>98</v>
      </c>
    </row>
    <row r="2" spans="2:15" x14ac:dyDescent="0.35">
      <c r="G2" s="216" t="s">
        <v>91</v>
      </c>
      <c r="H2" s="216"/>
      <c r="I2" s="216"/>
      <c r="J2" s="216" t="s">
        <v>151</v>
      </c>
      <c r="K2" s="216"/>
      <c r="L2" s="216"/>
      <c r="M2" s="216" t="s">
        <v>192</v>
      </c>
      <c r="N2" s="216"/>
      <c r="O2" s="216"/>
    </row>
    <row r="3" spans="2:15" ht="31" x14ac:dyDescent="0.35">
      <c r="B3" s="163" t="str">
        <f>'Future Priority Ratings'!$C$2</f>
        <v>Total SSC</v>
      </c>
      <c r="C3" s="47" t="s">
        <v>69</v>
      </c>
      <c r="D3" s="48" t="s">
        <v>70</v>
      </c>
      <c r="G3" s="50">
        <v>2021</v>
      </c>
      <c r="H3" s="50">
        <v>2022</v>
      </c>
      <c r="I3" s="50">
        <v>2023</v>
      </c>
      <c r="J3" s="50">
        <v>2021</v>
      </c>
      <c r="K3" s="50">
        <v>2022</v>
      </c>
      <c r="L3" s="50">
        <v>2023</v>
      </c>
      <c r="M3" s="50">
        <v>2021</v>
      </c>
      <c r="N3" s="50">
        <v>2022</v>
      </c>
      <c r="O3" s="50">
        <v>2023</v>
      </c>
    </row>
    <row r="4" spans="2:15" ht="20.25" customHeight="1" x14ac:dyDescent="0.35">
      <c r="B4" s="40" t="s">
        <v>40</v>
      </c>
      <c r="C4" s="52">
        <f ca="1">OFFSET(I4,0,('Future Priority Ratings'!$D$2-1)*3)</f>
        <v>16.015599999999999</v>
      </c>
      <c r="D4" s="51">
        <f ca="1">ROUND(10*C4/MAX($C$4:$C$23),0)</f>
        <v>10</v>
      </c>
      <c r="F4" t="s">
        <v>71</v>
      </c>
      <c r="G4" s="49">
        <v>22.782957077026367</v>
      </c>
      <c r="H4" s="49">
        <v>20.2818603515625</v>
      </c>
      <c r="I4" s="49">
        <v>16.015599999999999</v>
      </c>
      <c r="J4" s="49">
        <v>22.88243293762207</v>
      </c>
      <c r="K4" s="49">
        <v>20.933034896850586</v>
      </c>
      <c r="L4" s="49">
        <v>15.6966</v>
      </c>
      <c r="M4" s="49">
        <v>22.393951416015625</v>
      </c>
      <c r="N4" s="49">
        <v>18.343070983886719</v>
      </c>
      <c r="O4" s="49">
        <v>17.195399999999999</v>
      </c>
    </row>
    <row r="5" spans="2:15" ht="20.25" customHeight="1" x14ac:dyDescent="0.35">
      <c r="B5" s="40" t="s">
        <v>41</v>
      </c>
      <c r="C5" s="52">
        <f ca="1">OFFSET(I5,0,('Future Priority Ratings'!$D$2-1)*3)</f>
        <v>11.575699999999999</v>
      </c>
      <c r="D5" s="51">
        <f ca="1">ROUND(10*C5/MAX($C$4:$C$23),0)</f>
        <v>7</v>
      </c>
      <c r="F5" t="s">
        <v>72</v>
      </c>
      <c r="G5" s="49">
        <v>9.7894105911254883</v>
      </c>
      <c r="H5" s="49">
        <v>11.62086009979248</v>
      </c>
      <c r="I5" s="49">
        <v>11.575699999999999</v>
      </c>
      <c r="J5" s="49">
        <v>10.299553871154785</v>
      </c>
      <c r="K5" s="49">
        <v>11.707962036132813</v>
      </c>
      <c r="L5" s="49">
        <v>11.9735</v>
      </c>
      <c r="M5" s="49">
        <v>8.1312313079833984</v>
      </c>
      <c r="N5" s="49">
        <v>11.128594398498535</v>
      </c>
      <c r="O5" s="49">
        <v>10.0533</v>
      </c>
    </row>
    <row r="6" spans="2:15" ht="20.25" customHeight="1" x14ac:dyDescent="0.35">
      <c r="B6" s="40" t="s">
        <v>42</v>
      </c>
      <c r="C6" s="52">
        <f ca="1">OFFSET(I6,0,('Future Priority Ratings'!$D$2-1)*3)</f>
        <v>9.6634799999999998</v>
      </c>
      <c r="D6" s="51">
        <f t="shared" ref="D6:D23" ca="1" si="0">ROUND(10*C6/MAX($C$4:$C$23),0)</f>
        <v>6</v>
      </c>
      <c r="F6" t="s">
        <v>73</v>
      </c>
      <c r="G6" s="49">
        <v>9.4289321899414063</v>
      </c>
      <c r="H6" s="49">
        <v>9.9377336502075195</v>
      </c>
      <c r="I6" s="49">
        <v>9.6634799999999998</v>
      </c>
      <c r="J6" s="49">
        <v>9.2104911804199219</v>
      </c>
      <c r="K6" s="49">
        <v>9.5192279815673828</v>
      </c>
      <c r="L6" s="49">
        <v>9.3452900000000003</v>
      </c>
      <c r="M6" s="49">
        <v>10.16551685333252</v>
      </c>
      <c r="N6" s="49">
        <v>11.376530647277832</v>
      </c>
      <c r="O6" s="49">
        <v>10.866400000000001</v>
      </c>
    </row>
    <row r="7" spans="2:15" ht="20.25" customHeight="1" x14ac:dyDescent="0.35">
      <c r="B7" s="40" t="s">
        <v>43</v>
      </c>
      <c r="C7" s="52">
        <f ca="1">OFFSET(I7,0,('Future Priority Ratings'!$D$2-1)*3)</f>
        <v>7.2551899999999998</v>
      </c>
      <c r="D7" s="51">
        <f t="shared" ca="1" si="0"/>
        <v>5</v>
      </c>
      <c r="F7" t="s">
        <v>74</v>
      </c>
      <c r="G7" s="49">
        <v>9.5809783935546875</v>
      </c>
      <c r="H7" s="49">
        <v>8.2764492034912109</v>
      </c>
      <c r="I7" s="49">
        <v>7.2551899999999998</v>
      </c>
      <c r="J7" s="49">
        <v>9.4124517440795898</v>
      </c>
      <c r="K7" s="49">
        <v>8.2823162078857422</v>
      </c>
      <c r="L7" s="49">
        <v>7.1326499999999999</v>
      </c>
      <c r="M7" s="49">
        <v>10.16059398651123</v>
      </c>
      <c r="N7" s="49">
        <v>8.1256952285766602</v>
      </c>
      <c r="O7" s="49">
        <v>7.5641800000000003</v>
      </c>
    </row>
    <row r="8" spans="2:15" ht="20.25" customHeight="1" x14ac:dyDescent="0.35">
      <c r="B8" s="40" t="s">
        <v>44</v>
      </c>
      <c r="C8" s="52">
        <f ca="1">OFFSET(I8,0,('Future Priority Ratings'!$D$2-1)*3)</f>
        <v>5.3441900000000002</v>
      </c>
      <c r="D8" s="51">
        <f t="shared" ca="1" si="0"/>
        <v>3</v>
      </c>
      <c r="F8" t="s">
        <v>75</v>
      </c>
      <c r="G8" s="49">
        <v>4.4983987808227539</v>
      </c>
      <c r="H8" s="49">
        <v>5.151463508605957</v>
      </c>
      <c r="I8" s="49">
        <v>5.3441900000000002</v>
      </c>
      <c r="J8" s="49">
        <v>4.1046180725097656</v>
      </c>
      <c r="K8" s="49">
        <v>4.585151195526123</v>
      </c>
      <c r="L8" s="49">
        <v>4.9723800000000002</v>
      </c>
      <c r="M8" s="49">
        <v>6.5107545852661133</v>
      </c>
      <c r="N8" s="49">
        <v>8.0325841903686523</v>
      </c>
      <c r="O8" s="49">
        <v>7.0712599999999997</v>
      </c>
    </row>
    <row r="9" spans="2:15" ht="20.25" customHeight="1" x14ac:dyDescent="0.35">
      <c r="B9" s="40" t="s">
        <v>45</v>
      </c>
      <c r="C9" s="52">
        <f ca="1">OFFSET(I9,0,('Future Priority Ratings'!$D$2-1)*3)</f>
        <v>5.6368999999999998</v>
      </c>
      <c r="D9" s="51">
        <f t="shared" ca="1" si="0"/>
        <v>4</v>
      </c>
      <c r="F9" t="s">
        <v>76</v>
      </c>
      <c r="G9" s="49">
        <v>4.2851772308349609</v>
      </c>
      <c r="H9" s="49">
        <v>4.2943015098571777</v>
      </c>
      <c r="I9" s="49">
        <v>5.6368999999999998</v>
      </c>
      <c r="J9" s="49">
        <v>4.4137392044067383</v>
      </c>
      <c r="K9" s="49">
        <v>4.3895111083984375</v>
      </c>
      <c r="L9" s="49">
        <v>5.8835699999999997</v>
      </c>
      <c r="M9" s="49">
        <v>3.6827948093414307</v>
      </c>
      <c r="N9" s="49">
        <v>3.8912889957427979</v>
      </c>
      <c r="O9" s="49">
        <v>4.6776799999999996</v>
      </c>
    </row>
    <row r="10" spans="2:15" ht="20.25" customHeight="1" x14ac:dyDescent="0.35">
      <c r="B10" s="40" t="s">
        <v>46</v>
      </c>
      <c r="C10" s="52">
        <f ca="1">OFFSET(I10,0,('Future Priority Ratings'!$D$2-1)*3)</f>
        <v>3.9133200000000001</v>
      </c>
      <c r="D10" s="51">
        <f t="shared" ca="1" si="0"/>
        <v>2</v>
      </c>
      <c r="F10" t="s">
        <v>77</v>
      </c>
      <c r="G10" s="49"/>
      <c r="H10" s="49">
        <v>3.2374651432037354</v>
      </c>
      <c r="I10" s="49">
        <v>3.9133200000000001</v>
      </c>
      <c r="J10" s="49"/>
      <c r="K10" s="49">
        <v>3.1176857948303223</v>
      </c>
      <c r="L10" s="49">
        <v>4.1031199999999997</v>
      </c>
      <c r="M10" s="49"/>
      <c r="N10" s="49">
        <v>3.5640223026275635</v>
      </c>
      <c r="O10" s="49">
        <v>3.17293</v>
      </c>
    </row>
    <row r="11" spans="2:15" ht="20.25" customHeight="1" x14ac:dyDescent="0.35">
      <c r="B11" s="40" t="s">
        <v>47</v>
      </c>
      <c r="C11" s="52">
        <f ca="1">OFFSET(I11,0,('Future Priority Ratings'!$D$2-1)*3)</f>
        <v>3.8432300000000001</v>
      </c>
      <c r="D11" s="51">
        <f t="shared" ca="1" si="0"/>
        <v>2</v>
      </c>
      <c r="F11" t="s">
        <v>78</v>
      </c>
      <c r="G11" s="49">
        <v>4.0960574150085449</v>
      </c>
      <c r="H11" s="49">
        <v>3.8070399761199951</v>
      </c>
      <c r="I11" s="49">
        <v>3.8432300000000001</v>
      </c>
      <c r="J11" s="49">
        <v>4.2482399940490723</v>
      </c>
      <c r="K11" s="49">
        <v>3.9392218589782715</v>
      </c>
      <c r="L11" s="49">
        <v>4.2568000000000001</v>
      </c>
      <c r="M11" s="49">
        <v>3.6176505088806152</v>
      </c>
      <c r="N11" s="49">
        <v>3.1817114353179932</v>
      </c>
      <c r="O11" s="49">
        <v>2.54989</v>
      </c>
    </row>
    <row r="12" spans="2:15" ht="20.25" customHeight="1" x14ac:dyDescent="0.35">
      <c r="B12" s="40" t="s">
        <v>48</v>
      </c>
      <c r="C12" s="52">
        <f ca="1">OFFSET(I12,0,('Future Priority Ratings'!$D$2-1)*3)</f>
        <v>3.9529999999999998</v>
      </c>
      <c r="D12" s="51">
        <f t="shared" ca="1" si="0"/>
        <v>2</v>
      </c>
      <c r="F12" t="s">
        <v>79</v>
      </c>
      <c r="G12" s="49">
        <v>3.5181043148040771</v>
      </c>
      <c r="H12" s="49">
        <v>3.755399227142334</v>
      </c>
      <c r="I12" s="49">
        <v>3.9529999999999998</v>
      </c>
      <c r="J12" s="49">
        <v>3.5242676734924316</v>
      </c>
      <c r="K12" s="49">
        <v>3.8482000827789307</v>
      </c>
      <c r="L12" s="49">
        <v>3.95749</v>
      </c>
      <c r="M12" s="49">
        <v>3.4320759773254395</v>
      </c>
      <c r="N12" s="49">
        <v>3.3248801231384277</v>
      </c>
      <c r="O12" s="49">
        <v>3.8153899999999998</v>
      </c>
    </row>
    <row r="13" spans="2:15" ht="20.25" customHeight="1" x14ac:dyDescent="0.35">
      <c r="B13" s="40" t="s">
        <v>49</v>
      </c>
      <c r="C13" s="52">
        <f ca="1">OFFSET(I13,0,('Future Priority Ratings'!$D$2-1)*3)</f>
        <v>3.3743799999999999</v>
      </c>
      <c r="D13" s="51">
        <f t="shared" ca="1" si="0"/>
        <v>2</v>
      </c>
      <c r="F13" t="s">
        <v>80</v>
      </c>
      <c r="G13" s="49">
        <v>3.2492752075195313</v>
      </c>
      <c r="H13" s="49">
        <v>3.5997035503387451</v>
      </c>
      <c r="I13" s="49">
        <v>3.3743799999999999</v>
      </c>
      <c r="J13" s="49">
        <v>3.0365726947784424</v>
      </c>
      <c r="K13" s="49">
        <v>3.8063201904296875</v>
      </c>
      <c r="L13" s="49">
        <v>3.5565000000000002</v>
      </c>
      <c r="M13" s="49">
        <v>4.1433420181274414</v>
      </c>
      <c r="N13" s="49">
        <v>2.8380608558654785</v>
      </c>
      <c r="O13" s="49">
        <v>2.6918600000000001</v>
      </c>
    </row>
    <row r="14" spans="2:15" ht="20.25" customHeight="1" x14ac:dyDescent="0.35">
      <c r="B14" s="40" t="s">
        <v>50</v>
      </c>
      <c r="C14" s="52">
        <f ca="1">OFFSET(I14,0,('Future Priority Ratings'!$D$2-1)*3)</f>
        <v>3.2180499999999999</v>
      </c>
      <c r="D14" s="51">
        <f t="shared" ca="1" si="0"/>
        <v>2</v>
      </c>
      <c r="F14" t="s">
        <v>81</v>
      </c>
      <c r="G14" s="49">
        <v>3.7843565940856934</v>
      </c>
      <c r="H14" s="49">
        <v>3.4243497848510742</v>
      </c>
      <c r="I14" s="49">
        <v>3.2180499999999999</v>
      </c>
      <c r="J14" s="49">
        <v>3.7145383358001709</v>
      </c>
      <c r="K14" s="49">
        <v>3.325690746307373</v>
      </c>
      <c r="L14" s="49">
        <v>3.03403</v>
      </c>
      <c r="M14" s="49">
        <v>3.9673542976379395</v>
      </c>
      <c r="N14" s="49">
        <v>3.6988294124603271</v>
      </c>
      <c r="O14" s="49">
        <v>4.0007700000000002</v>
      </c>
    </row>
    <row r="15" spans="2:15" ht="20.25" customHeight="1" x14ac:dyDescent="0.35">
      <c r="B15" s="40" t="s">
        <v>51</v>
      </c>
      <c r="C15" s="52">
        <f ca="1">OFFSET(I15,0,('Future Priority Ratings'!$D$2-1)*3)</f>
        <v>3.3555899999999999</v>
      </c>
      <c r="D15" s="51">
        <f t="shared" ca="1" si="0"/>
        <v>2</v>
      </c>
      <c r="F15" t="s">
        <v>82</v>
      </c>
      <c r="G15" s="49">
        <v>2.9823002815246582</v>
      </c>
      <c r="H15" s="49">
        <v>2.7609238624572754</v>
      </c>
      <c r="I15" s="49">
        <v>3.3555899999999999</v>
      </c>
      <c r="J15" s="49">
        <v>3.1191301345825195</v>
      </c>
      <c r="K15" s="49">
        <v>2.9474406242370605</v>
      </c>
      <c r="L15" s="49">
        <v>3.3874</v>
      </c>
      <c r="M15" s="49">
        <v>2.3773698806762695</v>
      </c>
      <c r="N15" s="49">
        <v>2.1032860279083252</v>
      </c>
      <c r="O15" s="49">
        <v>3.15544</v>
      </c>
    </row>
    <row r="16" spans="2:15" ht="20.25" customHeight="1" x14ac:dyDescent="0.35">
      <c r="B16" s="40" t="s">
        <v>52</v>
      </c>
      <c r="C16" s="52">
        <f ca="1">OFFSET(I16,0,('Future Priority Ratings'!$D$2-1)*3)</f>
        <v>3.3140299999999998</v>
      </c>
      <c r="D16" s="51">
        <f t="shared" ca="1" si="0"/>
        <v>2</v>
      </c>
      <c r="F16" t="s">
        <v>83</v>
      </c>
      <c r="G16" s="49">
        <v>2.3604178428649902</v>
      </c>
      <c r="H16" s="49">
        <v>2.5626435279846191</v>
      </c>
      <c r="I16" s="49">
        <v>3.3140299999999998</v>
      </c>
      <c r="J16" s="49">
        <v>2.4030742645263672</v>
      </c>
      <c r="K16" s="49">
        <v>2.5725135803222656</v>
      </c>
      <c r="L16" s="49">
        <v>3.2052200000000002</v>
      </c>
      <c r="M16" s="49">
        <v>2.1281387805938721</v>
      </c>
      <c r="N16" s="49">
        <v>2.4164080619812012</v>
      </c>
      <c r="O16" s="49">
        <v>3.6663299999999999</v>
      </c>
    </row>
    <row r="17" spans="2:15" ht="20.25" customHeight="1" x14ac:dyDescent="0.35">
      <c r="B17" s="40" t="s">
        <v>53</v>
      </c>
      <c r="C17" s="52">
        <f ca="1">OFFSET(I17,0,('Future Priority Ratings'!$D$2-1)*3)</f>
        <v>2.0444200000000001</v>
      </c>
      <c r="D17" s="51">
        <f t="shared" ca="1" si="0"/>
        <v>1</v>
      </c>
      <c r="F17" t="s">
        <v>84</v>
      </c>
      <c r="G17" s="49">
        <v>1.5786871910095215</v>
      </c>
      <c r="H17" s="49">
        <v>1.6744850873947144</v>
      </c>
      <c r="I17" s="49">
        <v>2.0444200000000001</v>
      </c>
      <c r="J17" s="49">
        <v>1.598522424697876</v>
      </c>
      <c r="K17" s="49">
        <v>1.7188506126403809</v>
      </c>
      <c r="L17" s="49">
        <v>2.0605199999999999</v>
      </c>
      <c r="M17" s="49">
        <v>1.4661688804626465</v>
      </c>
      <c r="N17" s="49">
        <v>1.4578474760055542</v>
      </c>
      <c r="O17" s="49">
        <v>1.8978999999999999</v>
      </c>
    </row>
    <row r="18" spans="2:15" ht="20.25" customHeight="1" x14ac:dyDescent="0.35">
      <c r="B18" s="41" t="s">
        <v>54</v>
      </c>
      <c r="C18" s="52">
        <f ca="1">OFFSET(I18,0,('Future Priority Ratings'!$D$2-1)*3)</f>
        <v>1.4356800000000001</v>
      </c>
      <c r="D18" s="51">
        <f t="shared" ca="1" si="0"/>
        <v>1</v>
      </c>
      <c r="F18" t="s">
        <v>85</v>
      </c>
      <c r="G18" s="49"/>
      <c r="H18" s="49">
        <v>1.0435363054275513</v>
      </c>
      <c r="I18" s="49">
        <v>1.4356800000000001</v>
      </c>
      <c r="J18" s="49">
        <v>1.0157190561294556</v>
      </c>
      <c r="K18" s="49">
        <v>1.0736026763916016</v>
      </c>
      <c r="L18" s="49">
        <v>1.5270600000000001</v>
      </c>
      <c r="M18" s="49">
        <v>0.68516123294830322</v>
      </c>
      <c r="N18" s="49">
        <v>0.89625167846679688</v>
      </c>
      <c r="O18" s="49">
        <v>1.0732900000000001</v>
      </c>
    </row>
    <row r="19" spans="2:15" ht="20.25" customHeight="1" x14ac:dyDescent="0.35">
      <c r="B19" s="41" t="s">
        <v>55</v>
      </c>
      <c r="C19" s="52">
        <f ca="1">OFFSET(I19,0,('Future Priority Ratings'!$D$2-1)*3)</f>
        <v>5.5761099999999999</v>
      </c>
      <c r="D19" s="51">
        <f t="shared" ca="1" si="0"/>
        <v>3</v>
      </c>
      <c r="F19" t="s">
        <v>86</v>
      </c>
      <c r="G19" s="49">
        <v>5.8264875411987305</v>
      </c>
      <c r="H19" s="49">
        <v>4.9406123161315918</v>
      </c>
      <c r="I19" s="49">
        <v>5.5761099999999999</v>
      </c>
      <c r="J19" s="49">
        <v>5.7432737350463867</v>
      </c>
      <c r="K19" s="49">
        <v>4.7525343894958496</v>
      </c>
      <c r="L19" s="49">
        <v>5.6642200000000003</v>
      </c>
      <c r="M19" s="49">
        <v>6.0087265968322754</v>
      </c>
      <c r="N19" s="49">
        <v>5.5124688148498535</v>
      </c>
      <c r="O19" s="49">
        <v>5.1669600000000004</v>
      </c>
    </row>
    <row r="20" spans="2:15" ht="20.25" customHeight="1" x14ac:dyDescent="0.35">
      <c r="B20" s="40" t="s">
        <v>56</v>
      </c>
      <c r="C20" s="52">
        <f ca="1">OFFSET(I20,0,('Future Priority Ratings'!$D$2-1)*3)</f>
        <v>3.3089499999999998</v>
      </c>
      <c r="D20" s="51">
        <f t="shared" ca="1" si="0"/>
        <v>2</v>
      </c>
      <c r="F20" t="s">
        <v>87</v>
      </c>
      <c r="G20" s="49">
        <v>2.9155218601226807</v>
      </c>
      <c r="H20" s="49">
        <v>2.9701015949249268</v>
      </c>
      <c r="I20" s="49">
        <v>3.3089499999999998</v>
      </c>
      <c r="J20" s="49">
        <v>2.9299826622009277</v>
      </c>
      <c r="K20" s="49">
        <v>2.9595334529876709</v>
      </c>
      <c r="L20" s="49">
        <v>3.2385999999999999</v>
      </c>
      <c r="M20" s="49">
        <v>2.7986268997192383</v>
      </c>
      <c r="N20" s="49">
        <v>2.9443211555480957</v>
      </c>
      <c r="O20" s="49">
        <v>3.5058600000000002</v>
      </c>
    </row>
    <row r="21" spans="2:15" ht="20.25" customHeight="1" x14ac:dyDescent="0.35">
      <c r="B21" s="40" t="s">
        <v>57</v>
      </c>
      <c r="C21" s="52">
        <f ca="1">OFFSET(I21,0,('Future Priority Ratings'!$D$2-1)*3)</f>
        <v>3.27155</v>
      </c>
      <c r="D21" s="51">
        <f t="shared" ca="1" si="0"/>
        <v>2</v>
      </c>
      <c r="F21" t="s">
        <v>88</v>
      </c>
      <c r="G21" s="49">
        <v>2.9117448329925537</v>
      </c>
      <c r="H21" s="49">
        <v>3.2207672595977783</v>
      </c>
      <c r="I21" s="49">
        <v>3.27155</v>
      </c>
      <c r="J21" s="49">
        <v>2.8130557537078857</v>
      </c>
      <c r="K21" s="49">
        <v>2.9827196598052979</v>
      </c>
      <c r="L21" s="49">
        <v>3.0489999999999999</v>
      </c>
      <c r="M21" s="49">
        <v>3.2317507266998291</v>
      </c>
      <c r="N21" s="49">
        <v>4.1680436134338379</v>
      </c>
      <c r="O21" s="49">
        <v>4.2849700000000004</v>
      </c>
    </row>
    <row r="22" spans="2:15" ht="20.25" customHeight="1" x14ac:dyDescent="0.35">
      <c r="B22" s="40" t="s">
        <v>58</v>
      </c>
      <c r="C22" s="52">
        <f ca="1">OFFSET(I22,0,('Future Priority Ratings'!$D$2-1)*3)</f>
        <v>1.8818900000000001</v>
      </c>
      <c r="D22" s="51">
        <f t="shared" ca="1" si="0"/>
        <v>1</v>
      </c>
      <c r="F22" t="s">
        <v>89</v>
      </c>
      <c r="G22" s="49">
        <v>1.6760567426681519</v>
      </c>
      <c r="H22" s="49">
        <v>1.7479943037033081</v>
      </c>
      <c r="I22" s="49">
        <v>1.8818900000000001</v>
      </c>
      <c r="J22" s="49">
        <v>1.6482229232788086</v>
      </c>
      <c r="K22" s="49">
        <v>1.7589247226715088</v>
      </c>
      <c r="L22" s="49">
        <v>1.88944</v>
      </c>
      <c r="M22" s="49">
        <v>1.7326281070709229</v>
      </c>
      <c r="N22" s="49">
        <v>1.6466852426528931</v>
      </c>
      <c r="O22" s="49">
        <v>1.80497</v>
      </c>
    </row>
    <row r="23" spans="2:15" ht="20.25" customHeight="1" x14ac:dyDescent="0.35">
      <c r="B23" s="40" t="s">
        <v>59</v>
      </c>
      <c r="C23" s="52">
        <f ca="1">OFFSET(I23,0,('Future Priority Ratings'!$D$2-1)*3)</f>
        <v>2.0187599999999999</v>
      </c>
      <c r="D23" s="51">
        <f t="shared" ca="1" si="0"/>
        <v>1</v>
      </c>
      <c r="F23" t="s">
        <v>90</v>
      </c>
      <c r="G23" s="49">
        <v>1.4749526977539063</v>
      </c>
      <c r="H23" s="49">
        <v>1.692308783531189</v>
      </c>
      <c r="I23" s="49">
        <v>2.0187599999999999</v>
      </c>
      <c r="J23" s="49">
        <v>1.5883257389068604</v>
      </c>
      <c r="K23" s="49">
        <v>1.7795588970184326</v>
      </c>
      <c r="L23" s="49">
        <v>2.0665499999999999</v>
      </c>
      <c r="M23" s="49">
        <v>1.0514007806777954</v>
      </c>
      <c r="N23" s="49">
        <v>1.3494195938110352</v>
      </c>
      <c r="O23" s="49">
        <v>1.78518</v>
      </c>
    </row>
  </sheetData>
  <mergeCells count="3">
    <mergeCell ref="G2:I2"/>
    <mergeCell ref="J2:L2"/>
    <mergeCell ref="M2:O2"/>
  </mergeCells>
  <conditionalFormatting sqref="B4:C23">
    <cfRule type="expression" dxfId="9" priority="6">
      <formula>MOD(ROW(),2)=1</formula>
    </cfRule>
  </conditionalFormatting>
  <conditionalFormatting sqref="I4:I23">
    <cfRule type="colorScale" priority="5">
      <colorScale>
        <cfvo type="min"/>
        <cfvo type="max"/>
        <color rgb="FFFCFCFF"/>
        <color rgb="FF63BE7B"/>
      </colorScale>
    </cfRule>
  </conditionalFormatting>
  <conditionalFormatting sqref="L4:L23">
    <cfRule type="colorScale" priority="2">
      <colorScale>
        <cfvo type="min"/>
        <cfvo type="max"/>
        <color rgb="FFFCFCFF"/>
        <color rgb="FF63BE7B"/>
      </colorScale>
    </cfRule>
  </conditionalFormatting>
  <conditionalFormatting sqref="O4:O23">
    <cfRule type="colorScale" priority="1">
      <colorScale>
        <cfvo type="min"/>
        <cfvo type="max"/>
        <color rgb="FFFCFCFF"/>
        <color rgb="FF63BE7B"/>
      </colorScale>
    </cfRule>
  </conditionalFormatting>
  <dataValidations count="1">
    <dataValidation type="whole" allowBlank="1" showInputMessage="1" showErrorMessage="1" sqref="D4:D23" xr:uid="{3D238331-F794-4B05-A86C-BC68397FBD60}">
      <formula1>1</formula1>
      <formula2>10</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D0706-124A-487F-A97F-8554A67541FB}">
  <sheetPr codeName="Sheet6"/>
  <dimension ref="B1:J24"/>
  <sheetViews>
    <sheetView workbookViewId="0">
      <selection activeCell="B3" sqref="B3:D12"/>
    </sheetView>
  </sheetViews>
  <sheetFormatPr defaultRowHeight="14.5" outlineLevelCol="1" x14ac:dyDescent="0.35"/>
  <cols>
    <col min="2" max="2" width="51.453125" customWidth="1"/>
    <col min="4" max="4" width="15.26953125" customWidth="1"/>
    <col min="7" max="7" width="81" bestFit="1" customWidth="1" outlineLevel="1"/>
    <col min="8" max="8" width="20.7265625" bestFit="1" customWidth="1" outlineLevel="1"/>
    <col min="9" max="9" width="19.7265625" bestFit="1" customWidth="1" outlineLevel="1"/>
    <col min="10" max="10" width="14.1796875" bestFit="1" customWidth="1" outlineLevel="1"/>
  </cols>
  <sheetData>
    <row r="1" spans="2:10" x14ac:dyDescent="0.35">
      <c r="H1" t="s">
        <v>97</v>
      </c>
    </row>
    <row r="2" spans="2:10" ht="31" x14ac:dyDescent="0.35">
      <c r="B2" s="163" t="str">
        <f>'Future Priority Ratings'!$C$2</f>
        <v>Total SSC</v>
      </c>
      <c r="C2" s="47" t="s">
        <v>69</v>
      </c>
      <c r="D2" s="48" t="s">
        <v>70</v>
      </c>
      <c r="G2" t="s">
        <v>92</v>
      </c>
      <c r="H2" s="148" t="s">
        <v>95</v>
      </c>
      <c r="I2" s="148" t="s">
        <v>93</v>
      </c>
      <c r="J2" s="148" t="s">
        <v>94</v>
      </c>
    </row>
    <row r="3" spans="2:10" ht="20.25" customHeight="1" x14ac:dyDescent="0.35">
      <c r="B3" s="45" t="s">
        <v>26</v>
      </c>
      <c r="C3" s="52">
        <f ca="1">10*OFFSET(H3,0,'Future Priority Ratings'!$D$2-1)/MAX(OFFSET($H$3:$H$12,0,'Future Priority Ratings'!$D$2-1))</f>
        <v>5.9039338416046245</v>
      </c>
      <c r="D3" s="51">
        <f ca="1">ROUND(10*C3/MAX($C$3:$C$12),0)</f>
        <v>6</v>
      </c>
      <c r="G3" t="s">
        <v>26</v>
      </c>
      <c r="H3" s="56">
        <v>9.7848244864260003</v>
      </c>
      <c r="I3" s="56">
        <v>9.2023930391529998</v>
      </c>
      <c r="J3" s="56">
        <v>10.65847165734</v>
      </c>
    </row>
    <row r="4" spans="2:10" ht="20.25" customHeight="1" x14ac:dyDescent="0.35">
      <c r="B4" s="45" t="s">
        <v>27</v>
      </c>
      <c r="C4" s="52">
        <f ca="1">10*OFFSET(H4,0,'Future Priority Ratings'!$D$2-1)/MAX(OFFSET($H$3:$H$12,0,'Future Priority Ratings'!$D$2-1))</f>
        <v>3.8465085071645819</v>
      </c>
      <c r="D4" s="51">
        <f t="shared" ref="D4:D12" ca="1" si="0">ROUND(10*C4/MAX($C$3:$C$12),0)</f>
        <v>4</v>
      </c>
      <c r="G4" t="s">
        <v>96</v>
      </c>
      <c r="H4" s="56">
        <v>6.3749716101020004</v>
      </c>
      <c r="I4" s="56">
        <v>5.8656835402520002</v>
      </c>
      <c r="J4" s="56">
        <v>7.1389037148780004</v>
      </c>
    </row>
    <row r="5" spans="2:10" ht="20.25" customHeight="1" x14ac:dyDescent="0.35">
      <c r="B5" s="45" t="s">
        <v>28</v>
      </c>
      <c r="C5" s="52">
        <f ca="1">10*OFFSET(H5,0,'Future Priority Ratings'!$D$2-1)/MAX(OFFSET($H$3:$H$12,0,'Future Priority Ratings'!$D$2-1))</f>
        <v>3.5991456721670279</v>
      </c>
      <c r="D5" s="51">
        <f t="shared" ca="1" si="0"/>
        <v>4</v>
      </c>
      <c r="G5" t="s">
        <v>28</v>
      </c>
      <c r="H5" s="56">
        <v>5.9650073405399997</v>
      </c>
      <c r="I5" s="56">
        <v>5.644888648537</v>
      </c>
      <c r="J5" s="56">
        <v>6.4451853785440001</v>
      </c>
    </row>
    <row r="6" spans="2:10" ht="20.25" customHeight="1" x14ac:dyDescent="0.35">
      <c r="B6" s="45" t="s">
        <v>29</v>
      </c>
      <c r="C6" s="52">
        <f ca="1">10*OFFSET(H6,0,'Future Priority Ratings'!$D$2-1)/MAX(OFFSET($H$3:$H$12,0,'Future Priority Ratings'!$D$2-1))</f>
        <v>9.176462208333426</v>
      </c>
      <c r="D6" s="51">
        <f t="shared" ca="1" si="0"/>
        <v>9</v>
      </c>
      <c r="G6" t="s">
        <v>29</v>
      </c>
      <c r="H6" s="56">
        <v>15.20851596983</v>
      </c>
      <c r="I6" s="56">
        <v>15.77000247286</v>
      </c>
      <c r="J6" s="56">
        <v>14.366286215280001</v>
      </c>
    </row>
    <row r="7" spans="2:10" ht="20.25" customHeight="1" x14ac:dyDescent="0.35">
      <c r="B7" s="45" t="s">
        <v>30</v>
      </c>
      <c r="C7" s="52">
        <f ca="1">10*OFFSET(H7,0,'Future Priority Ratings'!$D$2-1)/MAX(OFFSET($H$3:$H$12,0,'Future Priority Ratings'!$D$2-1))</f>
        <v>6.7823456516710401</v>
      </c>
      <c r="D7" s="51">
        <f t="shared" ca="1" si="0"/>
        <v>7</v>
      </c>
      <c r="G7" t="s">
        <v>30</v>
      </c>
      <c r="H7" s="56">
        <v>11.240651333220001</v>
      </c>
      <c r="I7" s="56">
        <v>11.212454702740001</v>
      </c>
      <c r="J7" s="56">
        <v>11.28294627893</v>
      </c>
    </row>
    <row r="8" spans="2:10" ht="20.25" customHeight="1" x14ac:dyDescent="0.35">
      <c r="B8" s="45" t="s">
        <v>31</v>
      </c>
      <c r="C8" s="52">
        <f ca="1">10*OFFSET(H8,0,'Future Priority Ratings'!$D$2-1)/MAX(OFFSET($H$3:$H$12,0,'Future Priority Ratings'!$D$2-1))</f>
        <v>5.5128712814170155</v>
      </c>
      <c r="D8" s="51">
        <f t="shared" ca="1" si="0"/>
        <v>6</v>
      </c>
      <c r="G8" t="s">
        <v>31</v>
      </c>
      <c r="H8" s="56">
        <v>9.1367009441730005</v>
      </c>
      <c r="I8" s="56">
        <v>10.096547571349999</v>
      </c>
      <c r="J8" s="56">
        <v>7.6969310034009997</v>
      </c>
    </row>
    <row r="9" spans="2:10" ht="20.25" customHeight="1" x14ac:dyDescent="0.35">
      <c r="B9" s="45" t="s">
        <v>32</v>
      </c>
      <c r="C9" s="52">
        <f ca="1">10*OFFSET(H9,0,'Future Priority Ratings'!$D$2-1)/MAX(OFFSET($H$3:$H$12,0,'Future Priority Ratings'!$D$2-1))</f>
        <v>4.9262773624399117</v>
      </c>
      <c r="D9" s="51">
        <f t="shared" ca="1" si="0"/>
        <v>5</v>
      </c>
      <c r="G9" t="s">
        <v>32</v>
      </c>
      <c r="H9" s="56">
        <v>8.1645155003679992</v>
      </c>
      <c r="I9" s="56">
        <v>8.7382437403100006</v>
      </c>
      <c r="J9" s="56">
        <v>7.3039231404559999</v>
      </c>
    </row>
    <row r="10" spans="2:10" ht="20.25" customHeight="1" x14ac:dyDescent="0.35">
      <c r="B10" s="45" t="s">
        <v>33</v>
      </c>
      <c r="C10" s="52">
        <f ca="1">10*OFFSET(H10,0,'Future Priority Ratings'!$D$2-1)/MAX(OFFSET($H$3:$H$12,0,'Future Priority Ratings'!$D$2-1))</f>
        <v>3.6619087055113244</v>
      </c>
      <c r="D10" s="51">
        <f t="shared" ca="1" si="0"/>
        <v>4</v>
      </c>
      <c r="G10" t="s">
        <v>33</v>
      </c>
      <c r="H10" s="56">
        <v>6.0690270131829998</v>
      </c>
      <c r="I10" s="56">
        <v>6.4359679477620002</v>
      </c>
      <c r="J10" s="56">
        <v>5.5186156113160001</v>
      </c>
    </row>
    <row r="11" spans="2:10" ht="20.25" customHeight="1" x14ac:dyDescent="0.35">
      <c r="B11" s="45" t="s">
        <v>34</v>
      </c>
      <c r="C11" s="52">
        <f ca="1">10*OFFSET(H11,0,'Future Priority Ratings'!$D$2-1)/MAX(OFFSET($H$3:$H$12,0,'Future Priority Ratings'!$D$2-1))</f>
        <v>10</v>
      </c>
      <c r="D11" s="51">
        <f t="shared" ca="1" si="0"/>
        <v>10</v>
      </c>
      <c r="G11" t="s">
        <v>34</v>
      </c>
      <c r="H11" s="56">
        <v>16.573397922369999</v>
      </c>
      <c r="I11" s="56">
        <v>15.134957268320001</v>
      </c>
      <c r="J11" s="56">
        <v>18.731058903449998</v>
      </c>
    </row>
    <row r="12" spans="2:10" ht="20.25" customHeight="1" x14ac:dyDescent="0.35">
      <c r="B12" s="45" t="s">
        <v>35</v>
      </c>
      <c r="C12" s="52">
        <f ca="1">10*OFFSET(H12,0,'Future Priority Ratings'!$D$2-1)/MAX(OFFSET($H$3:$H$12,0,'Future Priority Ratings'!$D$2-1))</f>
        <v>6.928203820105959</v>
      </c>
      <c r="D12" s="51">
        <f t="shared" ca="1" si="0"/>
        <v>7</v>
      </c>
      <c r="G12" t="s">
        <v>35</v>
      </c>
      <c r="H12" s="56">
        <v>11.48238787979</v>
      </c>
      <c r="I12" s="56">
        <v>11.89886106871</v>
      </c>
      <c r="J12" s="56">
        <v>10.857678096400001</v>
      </c>
    </row>
    <row r="15" spans="2:10" x14ac:dyDescent="0.35">
      <c r="H15" s="56"/>
      <c r="I15" s="56"/>
      <c r="J15" s="56"/>
    </row>
    <row r="16" spans="2:10" x14ac:dyDescent="0.35">
      <c r="H16" s="56"/>
      <c r="I16" s="56"/>
      <c r="J16" s="56"/>
    </row>
    <row r="17" spans="8:10" x14ac:dyDescent="0.35">
      <c r="H17" s="56"/>
      <c r="I17" s="56"/>
      <c r="J17" s="56"/>
    </row>
    <row r="18" spans="8:10" x14ac:dyDescent="0.35">
      <c r="H18" s="56"/>
      <c r="I18" s="56"/>
      <c r="J18" s="56"/>
    </row>
    <row r="19" spans="8:10" x14ac:dyDescent="0.35">
      <c r="H19" s="56"/>
      <c r="I19" s="56"/>
      <c r="J19" s="56"/>
    </row>
    <row r="20" spans="8:10" x14ac:dyDescent="0.35">
      <c r="H20" s="56"/>
      <c r="I20" s="56"/>
      <c r="J20" s="56"/>
    </row>
    <row r="21" spans="8:10" x14ac:dyDescent="0.35">
      <c r="H21" s="56"/>
      <c r="I21" s="56"/>
      <c r="J21" s="56"/>
    </row>
    <row r="22" spans="8:10" x14ac:dyDescent="0.35">
      <c r="H22" s="56"/>
      <c r="I22" s="56"/>
      <c r="J22" s="56"/>
    </row>
    <row r="23" spans="8:10" x14ac:dyDescent="0.35">
      <c r="H23" s="56"/>
      <c r="I23" s="56"/>
      <c r="J23" s="56"/>
    </row>
    <row r="24" spans="8:10" x14ac:dyDescent="0.35">
      <c r="H24" s="56"/>
      <c r="I24" s="56"/>
      <c r="J24" s="56"/>
    </row>
  </sheetData>
  <conditionalFormatting sqref="B3:C12">
    <cfRule type="expression" dxfId="8" priority="1">
      <formula>MOD(ROW(),2)=1</formula>
    </cfRule>
  </conditionalFormatting>
  <dataValidations count="1">
    <dataValidation type="whole" allowBlank="1" showInputMessage="1" showErrorMessage="1" sqref="D3:D12" xr:uid="{ECEA2371-BC05-4B83-8050-C67FEABF3EC1}">
      <formula1>1</formula1>
      <formula2>10</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6BEE1-BE09-4302-84CB-6DD9E73D411F}">
  <sheetPr codeName="Sheet7"/>
  <dimension ref="B1:AL62"/>
  <sheetViews>
    <sheetView workbookViewId="0">
      <pane xSplit="3" ySplit="7" topLeftCell="D8" activePane="bottomRight" state="frozen"/>
      <selection pane="topRight" activeCell="D1" sqref="D1"/>
      <selection pane="bottomLeft" activeCell="A8" sqref="A8"/>
      <selection pane="bottomRight" activeCell="C5" sqref="C5"/>
    </sheetView>
  </sheetViews>
  <sheetFormatPr defaultRowHeight="14.5" x14ac:dyDescent="0.35"/>
  <cols>
    <col min="3" max="3" width="19.1796875" customWidth="1"/>
    <col min="4" max="4" width="18" customWidth="1"/>
    <col min="5" max="5" width="15.54296875" customWidth="1"/>
    <col min="6" max="6" width="2.81640625" customWidth="1"/>
    <col min="7" max="7" width="31.26953125" customWidth="1"/>
    <col min="8" max="19" width="17.7265625" customWidth="1"/>
    <col min="20" max="20" width="6.26953125" customWidth="1"/>
    <col min="21" max="21" width="17.7265625" customWidth="1"/>
    <col min="22" max="22" width="19.1796875" customWidth="1"/>
    <col min="23" max="23" width="17.7265625" customWidth="1"/>
    <col min="24" max="24" width="15.54296875" customWidth="1"/>
    <col min="25" max="25" width="2.81640625" customWidth="1"/>
    <col min="26" max="26" width="31.26953125" customWidth="1"/>
    <col min="27" max="38" width="17.81640625" customWidth="1"/>
  </cols>
  <sheetData>
    <row r="1" spans="2:38" ht="15" thickBot="1" x14ac:dyDescent="0.4"/>
    <row r="2" spans="2:38" x14ac:dyDescent="0.35">
      <c r="B2" s="104"/>
      <c r="C2" s="105" t="s">
        <v>194</v>
      </c>
      <c r="U2" s="104"/>
      <c r="V2" s="105" t="s">
        <v>195</v>
      </c>
    </row>
    <row r="3" spans="2:38" ht="18.5" x14ac:dyDescent="0.35">
      <c r="B3" s="106" t="s">
        <v>151</v>
      </c>
      <c r="C3" s="132">
        <v>539437</v>
      </c>
      <c r="G3" s="89" t="s">
        <v>166</v>
      </c>
      <c r="H3" s="7"/>
      <c r="I3" s="7"/>
      <c r="J3" s="7"/>
      <c r="K3" s="7"/>
      <c r="L3" s="7"/>
      <c r="M3" s="7"/>
      <c r="N3" s="7"/>
      <c r="O3" s="7"/>
      <c r="P3" s="7"/>
      <c r="Q3" s="7"/>
      <c r="R3" s="7"/>
      <c r="S3" s="7"/>
      <c r="U3" s="106" t="s">
        <v>151</v>
      </c>
      <c r="V3" s="132">
        <v>29988</v>
      </c>
      <c r="Z3" s="89" t="s">
        <v>193</v>
      </c>
      <c r="AA3" s="7"/>
      <c r="AB3" s="7"/>
      <c r="AC3" s="7"/>
      <c r="AD3" s="7"/>
      <c r="AE3" s="7"/>
      <c r="AF3" s="7"/>
    </row>
    <row r="4" spans="2:38" x14ac:dyDescent="0.35">
      <c r="B4" s="106" t="s">
        <v>192</v>
      </c>
      <c r="C4" s="132">
        <v>135882</v>
      </c>
      <c r="G4" s="90" t="s">
        <v>167</v>
      </c>
      <c r="H4" s="91">
        <v>3</v>
      </c>
      <c r="I4" s="91">
        <v>4</v>
      </c>
      <c r="J4" s="91">
        <v>5</v>
      </c>
      <c r="K4" s="91">
        <v>2</v>
      </c>
      <c r="L4" s="91">
        <v>3</v>
      </c>
      <c r="M4" s="91">
        <v>3</v>
      </c>
      <c r="N4" s="91">
        <v>10</v>
      </c>
      <c r="O4" s="91">
        <v>11</v>
      </c>
      <c r="P4" s="91">
        <v>13</v>
      </c>
      <c r="Q4" s="91">
        <v>14</v>
      </c>
      <c r="R4" s="91">
        <v>6</v>
      </c>
      <c r="S4" s="91">
        <v>9</v>
      </c>
      <c r="U4" s="106" t="s">
        <v>192</v>
      </c>
      <c r="V4" s="132">
        <v>8592</v>
      </c>
      <c r="Z4" s="90" t="s">
        <v>167</v>
      </c>
      <c r="AA4" s="91">
        <v>3</v>
      </c>
      <c r="AB4" s="91">
        <v>4</v>
      </c>
      <c r="AC4" s="91">
        <v>5</v>
      </c>
      <c r="AD4" s="91">
        <v>2</v>
      </c>
      <c r="AE4" s="91">
        <v>3</v>
      </c>
      <c r="AF4" s="91">
        <v>3</v>
      </c>
      <c r="AG4" s="91">
        <v>10</v>
      </c>
      <c r="AH4" s="91">
        <v>11</v>
      </c>
      <c r="AI4" s="91">
        <v>13</v>
      </c>
      <c r="AJ4" s="91">
        <v>14</v>
      </c>
      <c r="AK4" s="91">
        <v>6</v>
      </c>
      <c r="AL4" s="91">
        <v>9</v>
      </c>
    </row>
    <row r="5" spans="2:38" ht="15" thickBot="1" x14ac:dyDescent="0.4">
      <c r="B5" s="107" t="s">
        <v>196</v>
      </c>
      <c r="C5" s="133">
        <v>675319</v>
      </c>
      <c r="G5" s="90" t="s">
        <v>168</v>
      </c>
      <c r="H5" s="91">
        <v>1</v>
      </c>
      <c r="I5" s="91">
        <v>1</v>
      </c>
      <c r="J5" s="91">
        <v>1</v>
      </c>
      <c r="K5" s="91">
        <v>1</v>
      </c>
      <c r="L5" s="91">
        <v>2</v>
      </c>
      <c r="M5" s="91">
        <v>3</v>
      </c>
      <c r="N5" s="91">
        <v>1</v>
      </c>
      <c r="O5" s="91">
        <v>1</v>
      </c>
      <c r="P5" s="91">
        <v>1</v>
      </c>
      <c r="Q5" s="91">
        <v>1</v>
      </c>
      <c r="R5" s="91">
        <v>1</v>
      </c>
      <c r="S5" s="91">
        <v>1</v>
      </c>
      <c r="U5" s="107" t="s">
        <v>196</v>
      </c>
      <c r="V5" s="133">
        <v>38580</v>
      </c>
      <c r="Z5" s="90" t="s">
        <v>168</v>
      </c>
      <c r="AA5" s="91">
        <v>1</v>
      </c>
      <c r="AB5" s="91">
        <v>1</v>
      </c>
      <c r="AC5" s="91">
        <v>1</v>
      </c>
      <c r="AD5" s="91">
        <v>1</v>
      </c>
      <c r="AE5" s="91">
        <v>2</v>
      </c>
      <c r="AF5" s="91">
        <v>3</v>
      </c>
      <c r="AG5" s="91">
        <v>1</v>
      </c>
      <c r="AH5" s="91">
        <v>1</v>
      </c>
      <c r="AI5" s="91">
        <v>1</v>
      </c>
      <c r="AJ5" s="91">
        <v>1</v>
      </c>
      <c r="AK5" s="91">
        <v>1</v>
      </c>
      <c r="AL5" s="91">
        <v>1</v>
      </c>
    </row>
    <row r="6" spans="2:38" ht="59.25" customHeight="1" thickBot="1" x14ac:dyDescent="0.4">
      <c r="B6" s="135">
        <f>MATCH(C6,H7:S7,0)</f>
        <v>7</v>
      </c>
      <c r="C6" s="134" t="s">
        <v>224</v>
      </c>
      <c r="G6" s="90"/>
      <c r="H6" s="91"/>
      <c r="I6" s="91"/>
      <c r="J6" s="91"/>
      <c r="K6" s="91"/>
      <c r="L6" s="91"/>
      <c r="M6" s="91"/>
      <c r="N6" s="91"/>
      <c r="O6" s="91"/>
      <c r="P6" s="91"/>
      <c r="Q6" s="91"/>
      <c r="R6" s="91"/>
      <c r="S6" s="91"/>
      <c r="Z6" s="90"/>
      <c r="AA6" s="91"/>
      <c r="AB6" s="91"/>
      <c r="AC6" s="91"/>
      <c r="AD6" s="91"/>
      <c r="AE6" s="91"/>
      <c r="AF6" s="91"/>
      <c r="AG6" s="91"/>
      <c r="AH6" s="91"/>
      <c r="AI6" s="91"/>
      <c r="AJ6" s="91"/>
      <c r="AK6" s="91"/>
      <c r="AL6" s="91"/>
    </row>
    <row r="7" spans="2:38" ht="78" thickBot="1" x14ac:dyDescent="0.4">
      <c r="B7" s="109" t="s">
        <v>197</v>
      </c>
      <c r="C7" s="7"/>
      <c r="D7" s="47" t="s">
        <v>69</v>
      </c>
      <c r="E7" s="48" t="s">
        <v>70</v>
      </c>
      <c r="G7" s="92" t="s">
        <v>169</v>
      </c>
      <c r="H7" s="93" t="s">
        <v>170</v>
      </c>
      <c r="I7" s="93" t="s">
        <v>171</v>
      </c>
      <c r="J7" s="93" t="s">
        <v>172</v>
      </c>
      <c r="K7" s="93" t="s">
        <v>173</v>
      </c>
      <c r="L7" s="93" t="s">
        <v>174</v>
      </c>
      <c r="M7" s="93" t="s">
        <v>175</v>
      </c>
      <c r="N7" s="93" t="s">
        <v>224</v>
      </c>
      <c r="O7" s="93" t="s">
        <v>225</v>
      </c>
      <c r="P7" s="93" t="s">
        <v>226</v>
      </c>
      <c r="Q7" s="93" t="s">
        <v>227</v>
      </c>
      <c r="R7" s="93" t="s">
        <v>228</v>
      </c>
      <c r="S7" s="93" t="s">
        <v>229</v>
      </c>
      <c r="U7" s="109" t="s">
        <v>197</v>
      </c>
      <c r="V7" s="7"/>
      <c r="W7" s="47" t="s">
        <v>69</v>
      </c>
      <c r="X7" s="48" t="s">
        <v>70</v>
      </c>
      <c r="Z7" s="92" t="s">
        <v>169</v>
      </c>
      <c r="AA7" s="93" t="s">
        <v>170</v>
      </c>
      <c r="AB7" s="93" t="s">
        <v>171</v>
      </c>
      <c r="AC7" s="93" t="s">
        <v>172</v>
      </c>
      <c r="AD7" s="93" t="s">
        <v>173</v>
      </c>
      <c r="AE7" s="93" t="s">
        <v>174</v>
      </c>
      <c r="AF7" s="93" t="s">
        <v>175</v>
      </c>
      <c r="AG7" s="93" t="s">
        <v>224</v>
      </c>
      <c r="AH7" s="93" t="s">
        <v>225</v>
      </c>
      <c r="AI7" s="93" t="s">
        <v>226</v>
      </c>
      <c r="AJ7" s="93" t="s">
        <v>227</v>
      </c>
      <c r="AK7" s="93" t="s">
        <v>228</v>
      </c>
      <c r="AL7" s="93" t="s">
        <v>229</v>
      </c>
    </row>
    <row r="8" spans="2:38" ht="32" thickTop="1" thickBot="1" x14ac:dyDescent="0.4">
      <c r="B8" s="110" t="s">
        <v>198</v>
      </c>
      <c r="C8" s="103" t="str">
        <f>TRIM(MID(G8,1,FIND(" (",G8)))</f>
        <v>Water not safe to drink</v>
      </c>
      <c r="D8" s="111">
        <f t="shared" ref="D8:D19" ca="1" si="0">OFFSET($H8,0,$B$6-1)/IF($B8="Y",$C$5,1)</f>
        <v>210.8970947265625</v>
      </c>
      <c r="E8" s="108">
        <f ca="1">MAX(MIN(ROUND(10*D8/MAX($D$8:$D$19),0),10),1)</f>
        <v>10</v>
      </c>
      <c r="G8" s="94" t="s">
        <v>176</v>
      </c>
      <c r="H8" s="94">
        <v>66160.28212357474</v>
      </c>
      <c r="I8" s="94">
        <v>24589.266069559308</v>
      </c>
      <c r="J8" s="94">
        <v>587.19635074504413</v>
      </c>
      <c r="K8" s="94">
        <v>952.19700443432339</v>
      </c>
      <c r="L8" s="94">
        <v>13242.313575881948</v>
      </c>
      <c r="M8" s="94">
        <v>289108.77375119581</v>
      </c>
      <c r="N8" s="94">
        <v>210.8970947265625</v>
      </c>
      <c r="O8" s="94">
        <v>41852.683330305721</v>
      </c>
      <c r="P8" s="94">
        <v>53631.508956165097</v>
      </c>
      <c r="Q8" s="94">
        <v>86519.538520615446</v>
      </c>
      <c r="R8" s="94">
        <v>86771.17602028804</v>
      </c>
      <c r="S8" s="94">
        <v>344845.896658101</v>
      </c>
      <c r="U8" s="110" t="s">
        <v>198</v>
      </c>
      <c r="V8" s="103" t="str">
        <f>TRIM(MID(Z8,1,FIND(" (",Z8)))</f>
        <v>Water not safe to drink</v>
      </c>
      <c r="W8" s="111">
        <f t="shared" ref="W8:W19" ca="1" si="1">OFFSET($AA8,0,$B$6-1)/IF($U8="Y",$V$5,1)</f>
        <v>14669.2265625</v>
      </c>
      <c r="X8" s="108">
        <f ca="1">MAX(MIN(ROUND(10*W8/MAX($W$8:$W$19),0),10),1)</f>
        <v>10</v>
      </c>
      <c r="Z8" s="94" t="s">
        <v>176</v>
      </c>
      <c r="AA8" s="94">
        <v>7477.808377863038</v>
      </c>
      <c r="AB8" s="94">
        <v>3430.0600122478995</v>
      </c>
      <c r="AC8" s="94">
        <v>5437.411972631241</v>
      </c>
      <c r="AD8" s="94">
        <v>575.90513006346077</v>
      </c>
      <c r="AE8" s="94">
        <v>1547.0271079139488</v>
      </c>
      <c r="AF8" s="94">
        <v>15015.839196527108</v>
      </c>
      <c r="AG8" s="94">
        <v>14669.2265625</v>
      </c>
      <c r="AH8" s="94">
        <v>5339.1120334014586</v>
      </c>
      <c r="AI8" s="94">
        <v>7074.2760034563817</v>
      </c>
      <c r="AJ8" s="94">
        <v>8040.0557605823296</v>
      </c>
      <c r="AK8" s="94">
        <v>4849.2975431486475</v>
      </c>
      <c r="AL8" s="94">
        <v>15144.475283991615</v>
      </c>
    </row>
    <row r="9" spans="2:38" ht="31.5" thickBot="1" x14ac:dyDescent="0.4">
      <c r="B9" s="110" t="s">
        <v>198</v>
      </c>
      <c r="C9" s="103" t="str">
        <f t="shared" ref="C9:C19" si="2">TRIM(MID(G9,1,FIND(" (",G9)))</f>
        <v>Flooding from a burst pipe</v>
      </c>
      <c r="D9" s="111">
        <f t="shared" ca="1" si="0"/>
        <v>109.59118594973231</v>
      </c>
      <c r="E9" s="108">
        <f ca="1">MAX(MIN(ROUND(10*D9/MAX($D$8:$D$19),0),10),1)</f>
        <v>5</v>
      </c>
      <c r="G9" s="95" t="s">
        <v>177</v>
      </c>
      <c r="H9" s="95">
        <v>21882.5050942077</v>
      </c>
      <c r="I9" s="95">
        <v>8904.1279861839303</v>
      </c>
      <c r="J9" s="95">
        <v>325.88367293377729</v>
      </c>
      <c r="K9" s="95">
        <v>450.89173783007095</v>
      </c>
      <c r="L9" s="95">
        <v>4452.7928713659603</v>
      </c>
      <c r="M9" s="95">
        <v>82241.045073774701</v>
      </c>
      <c r="N9" s="95">
        <v>109.59118594973231</v>
      </c>
      <c r="O9" s="95">
        <v>13477.415658111991</v>
      </c>
      <c r="P9" s="95">
        <v>19723.036601403819</v>
      </c>
      <c r="Q9" s="95">
        <v>24581.840710212549</v>
      </c>
      <c r="R9" s="95">
        <v>30257.797087406478</v>
      </c>
      <c r="S9" s="95">
        <v>97330.680068666436</v>
      </c>
      <c r="U9" s="110" t="s">
        <v>198</v>
      </c>
      <c r="V9" s="103" t="str">
        <f t="shared" ref="V9:V19" si="3">TRIM(MID(Z9,1,FIND(" (",Z9)))</f>
        <v>Flooding from a burst pipe</v>
      </c>
      <c r="W9" s="111">
        <f t="shared" ca="1" si="1"/>
        <v>3651.0194126366287</v>
      </c>
      <c r="X9" s="108">
        <f t="shared" ref="X9:X19" ca="1" si="4">MAX(MIN(ROUND(10*W9/MAX($W$8:$W$19),0),10),1)</f>
        <v>2</v>
      </c>
      <c r="Z9" s="95" t="s">
        <v>177</v>
      </c>
      <c r="AA9" s="95">
        <v>1913.3294293946471</v>
      </c>
      <c r="AB9" s="95">
        <v>1228.5949950428505</v>
      </c>
      <c r="AC9" s="95">
        <v>1812.548890972774</v>
      </c>
      <c r="AD9" s="95">
        <v>642.91622647186114</v>
      </c>
      <c r="AE9" s="95">
        <v>531.71480928830999</v>
      </c>
      <c r="AF9" s="95">
        <v>3303.4814159882326</v>
      </c>
      <c r="AG9" s="95">
        <v>3651.0194126366287</v>
      </c>
      <c r="AH9" s="95">
        <v>1471.8118001286766</v>
      </c>
      <c r="AI9" s="95">
        <v>1892.7766024891332</v>
      </c>
      <c r="AJ9" s="95">
        <v>1940.0224749829081</v>
      </c>
      <c r="AK9" s="95">
        <v>1208.1645476928031</v>
      </c>
      <c r="AL9" s="95">
        <v>2363.8040582248182</v>
      </c>
    </row>
    <row r="10" spans="2:38" ht="47" thickBot="1" x14ac:dyDescent="0.4">
      <c r="B10" s="110" t="s">
        <v>198</v>
      </c>
      <c r="C10" s="103" t="str">
        <f t="shared" si="2"/>
        <v>Unexpected temporary loss of water supply</v>
      </c>
      <c r="D10" s="111">
        <f t="shared" ca="1" si="0"/>
        <v>171.9460754394531</v>
      </c>
      <c r="E10" s="108">
        <f t="shared" ref="E10:E19" ca="1" si="5">MAX(MIN(ROUND(10*D10/MAX($D$8:$D$19),0),10),1)</f>
        <v>8</v>
      </c>
      <c r="G10" s="94" t="s">
        <v>178</v>
      </c>
      <c r="H10" s="94">
        <v>175.76899863224097</v>
      </c>
      <c r="I10" s="94">
        <v>216.08559913527708</v>
      </c>
      <c r="J10" s="94">
        <v>222.0239982723044</v>
      </c>
      <c r="K10" s="94">
        <v>269.61859221140742</v>
      </c>
      <c r="L10" s="94">
        <v>35.153799726448192</v>
      </c>
      <c r="M10" s="94">
        <v>647.41683167008057</v>
      </c>
      <c r="N10" s="94">
        <v>171.9460754394531</v>
      </c>
      <c r="O10" s="94">
        <v>196.94656666690378</v>
      </c>
      <c r="P10" s="94">
        <v>205.57317101884695</v>
      </c>
      <c r="Q10" s="94">
        <v>116.16065385902903</v>
      </c>
      <c r="R10" s="94">
        <v>179.4757301637556</v>
      </c>
      <c r="S10" s="94">
        <v>0</v>
      </c>
      <c r="U10" s="110" t="s">
        <v>198</v>
      </c>
      <c r="V10" s="103" t="str">
        <f t="shared" si="3"/>
        <v>Unexpected temporary loss of water supply</v>
      </c>
      <c r="W10" s="111">
        <f t="shared" ca="1" si="1"/>
        <v>10708.5107421875</v>
      </c>
      <c r="X10" s="108">
        <f t="shared" ca="1" si="4"/>
        <v>7</v>
      </c>
      <c r="Z10" s="94" t="s">
        <v>178</v>
      </c>
      <c r="AA10" s="94">
        <v>3209.0800660159825</v>
      </c>
      <c r="AB10" s="94">
        <v>1629.7519421871491</v>
      </c>
      <c r="AC10" s="94">
        <v>4381.4301204601325</v>
      </c>
      <c r="AD10" s="94">
        <v>240.35387729260194</v>
      </c>
      <c r="AE10" s="94">
        <v>641.81601320319658</v>
      </c>
      <c r="AF10" s="94">
        <v>13615.07469014963</v>
      </c>
      <c r="AG10" s="94">
        <v>10708.5107421875</v>
      </c>
      <c r="AH10" s="94">
        <v>2509.2300877319844</v>
      </c>
      <c r="AI10" s="94">
        <v>3385.9691349485947</v>
      </c>
      <c r="AJ10" s="94">
        <v>2939.1147956467244</v>
      </c>
      <c r="AK10" s="94">
        <v>125.91193184884081</v>
      </c>
      <c r="AL10" s="94">
        <v>0</v>
      </c>
    </row>
    <row r="11" spans="2:38" ht="31.5" thickBot="1" x14ac:dyDescent="0.4">
      <c r="B11" s="110" t="s">
        <v>198</v>
      </c>
      <c r="C11" s="103" t="str">
        <f t="shared" si="2"/>
        <v>Water hardness</v>
      </c>
      <c r="D11" s="111">
        <f t="shared" ca="1" si="0"/>
        <v>72.81003337786143</v>
      </c>
      <c r="E11" s="108">
        <f t="shared" ca="1" si="5"/>
        <v>3</v>
      </c>
      <c r="G11" s="95" t="s">
        <v>179</v>
      </c>
      <c r="H11" s="95">
        <v>347.0879172555409</v>
      </c>
      <c r="I11" s="95">
        <v>317.09314967508379</v>
      </c>
      <c r="J11" s="95">
        <v>225.75400462169469</v>
      </c>
      <c r="K11" s="95">
        <v>255.96859914427648</v>
      </c>
      <c r="L11" s="95">
        <v>70.333530898717186</v>
      </c>
      <c r="M11" s="95">
        <v>1219.1767469635593</v>
      </c>
      <c r="N11" s="95">
        <v>72.81003337786143</v>
      </c>
      <c r="O11" s="95">
        <v>300.242907678709</v>
      </c>
      <c r="P11" s="95">
        <v>312.26868639679481</v>
      </c>
      <c r="Q11" s="95">
        <v>394.9643596863167</v>
      </c>
      <c r="R11" s="95">
        <v>445.71942544679013</v>
      </c>
      <c r="S11" s="95">
        <v>802.09008963246413</v>
      </c>
      <c r="U11" s="110" t="s">
        <v>198</v>
      </c>
      <c r="V11" s="103" t="str">
        <f t="shared" si="3"/>
        <v>Water hardness</v>
      </c>
      <c r="W11" s="111">
        <f t="shared" ca="1" si="1"/>
        <v>308.3404888645951</v>
      </c>
      <c r="X11" s="108">
        <f t="shared" ca="1" si="4"/>
        <v>1</v>
      </c>
      <c r="Z11" s="95" t="s">
        <v>179</v>
      </c>
      <c r="AA11" s="95">
        <v>136.37581095959419</v>
      </c>
      <c r="AB11" s="95">
        <v>120.80923763453937</v>
      </c>
      <c r="AC11" s="95">
        <v>179.39518522492597</v>
      </c>
      <c r="AD11" s="95">
        <v>128.20366449608628</v>
      </c>
      <c r="AE11" s="95">
        <v>27.275162191918838</v>
      </c>
      <c r="AF11" s="95">
        <v>566.36649717088949</v>
      </c>
      <c r="AG11" s="95">
        <v>308.3404888645951</v>
      </c>
      <c r="AH11" s="95">
        <v>145.27847724477672</v>
      </c>
      <c r="AI11" s="95">
        <v>153.11628412726674</v>
      </c>
      <c r="AJ11" s="95">
        <v>114.62011226780585</v>
      </c>
      <c r="AK11" s="95">
        <v>69.304340715183457</v>
      </c>
      <c r="AL11" s="95">
        <v>0</v>
      </c>
    </row>
    <row r="12" spans="2:38" ht="31.5" thickBot="1" x14ac:dyDescent="0.4">
      <c r="B12" s="110" t="s">
        <v>198</v>
      </c>
      <c r="C12" s="103" t="str">
        <f t="shared" si="2"/>
        <v>Taste and smell of water</v>
      </c>
      <c r="D12" s="111">
        <f t="shared" ca="1" si="0"/>
        <v>118.4474258422852</v>
      </c>
      <c r="E12" s="108">
        <f t="shared" ca="1" si="5"/>
        <v>6</v>
      </c>
      <c r="G12" s="94" t="s">
        <v>180</v>
      </c>
      <c r="H12" s="94">
        <v>118.88404592260046</v>
      </c>
      <c r="I12" s="94">
        <v>147.50383311080188</v>
      </c>
      <c r="J12" s="94">
        <v>151.90739201221169</v>
      </c>
      <c r="K12" s="94">
        <v>192.4265251916963</v>
      </c>
      <c r="L12" s="94">
        <v>23.776809184520094</v>
      </c>
      <c r="M12" s="94">
        <v>425.19405189016572</v>
      </c>
      <c r="N12" s="94">
        <v>118.4474258422852</v>
      </c>
      <c r="O12" s="94">
        <v>150.40595901154578</v>
      </c>
      <c r="P12" s="94">
        <v>132.4434413071836</v>
      </c>
      <c r="Q12" s="94">
        <v>93.460179576507088</v>
      </c>
      <c r="R12" s="94">
        <v>121.10146260815893</v>
      </c>
      <c r="S12" s="94">
        <v>0</v>
      </c>
      <c r="U12" s="110" t="s">
        <v>198</v>
      </c>
      <c r="V12" s="103" t="str">
        <f t="shared" si="3"/>
        <v>Taste and smell of water</v>
      </c>
      <c r="W12" s="111">
        <f t="shared" ca="1" si="1"/>
        <v>7756.318359375</v>
      </c>
      <c r="X12" s="108">
        <f t="shared" ca="1" si="4"/>
        <v>5</v>
      </c>
      <c r="Z12" s="94" t="s">
        <v>180</v>
      </c>
      <c r="AA12" s="94">
        <v>2010.1111278688779</v>
      </c>
      <c r="AB12" s="94">
        <v>1033.8090272150926</v>
      </c>
      <c r="AC12" s="94">
        <v>2748.1225299606995</v>
      </c>
      <c r="AD12" s="94">
        <v>344.63668463113396</v>
      </c>
      <c r="AE12" s="94">
        <v>402.02222557377559</v>
      </c>
      <c r="AF12" s="94">
        <v>6607.0769130737754</v>
      </c>
      <c r="AG12" s="94">
        <v>7756.318359375</v>
      </c>
      <c r="AH12" s="94">
        <v>1514.1292339827889</v>
      </c>
      <c r="AI12" s="94">
        <v>1927.9607799222736</v>
      </c>
      <c r="AJ12" s="94">
        <v>2135.9673080617822</v>
      </c>
      <c r="AK12" s="94">
        <v>165.39719408792388</v>
      </c>
      <c r="AL12" s="94">
        <v>0</v>
      </c>
    </row>
    <row r="13" spans="2:38" ht="31.5" thickBot="1" x14ac:dyDescent="0.4">
      <c r="B13" s="110" t="s">
        <v>198</v>
      </c>
      <c r="C13" s="103" t="str">
        <f t="shared" si="2"/>
        <v>Low water pressure</v>
      </c>
      <c r="D13" s="111">
        <f t="shared" ca="1" si="0"/>
        <v>70.089530944824219</v>
      </c>
      <c r="E13" s="108">
        <f t="shared" ca="1" si="5"/>
        <v>3</v>
      </c>
      <c r="G13" s="95" t="s">
        <v>181</v>
      </c>
      <c r="H13" s="95">
        <v>39.146805456349952</v>
      </c>
      <c r="I13" s="95">
        <v>41.334625579641404</v>
      </c>
      <c r="J13" s="95">
        <v>50.020918083113827</v>
      </c>
      <c r="K13" s="95">
        <v>41.209747948025971</v>
      </c>
      <c r="L13" s="95">
        <v>7.8293610912699911</v>
      </c>
      <c r="M13" s="95">
        <v>71.555101993123941</v>
      </c>
      <c r="N13" s="95">
        <v>70.089530944824219</v>
      </c>
      <c r="O13" s="95">
        <v>35.08342524858233</v>
      </c>
      <c r="P13" s="95">
        <v>39.218333283255795</v>
      </c>
      <c r="Q13" s="95">
        <v>39.01269078090148</v>
      </c>
      <c r="R13" s="95">
        <v>31.017610419149005</v>
      </c>
      <c r="S13" s="95">
        <v>0</v>
      </c>
      <c r="U13" s="110" t="s">
        <v>198</v>
      </c>
      <c r="V13" s="103" t="str">
        <f t="shared" si="3"/>
        <v>Low water pressure</v>
      </c>
      <c r="W13" s="111">
        <f t="shared" ca="1" si="1"/>
        <v>4237.861328125</v>
      </c>
      <c r="X13" s="108">
        <f t="shared" ca="1" si="4"/>
        <v>3</v>
      </c>
      <c r="Z13" s="95" t="s">
        <v>181</v>
      </c>
      <c r="AA13" s="95">
        <v>1151.6670416928248</v>
      </c>
      <c r="AB13" s="95">
        <v>545.64903622126167</v>
      </c>
      <c r="AC13" s="95">
        <v>1572.5561392079965</v>
      </c>
      <c r="AD13" s="95">
        <v>33.361044035441523</v>
      </c>
      <c r="AE13" s="95">
        <v>230.33340833856496</v>
      </c>
      <c r="AF13" s="95">
        <v>3920.0922866249743</v>
      </c>
      <c r="AG13" s="95">
        <v>4237.861328125</v>
      </c>
      <c r="AH13" s="95">
        <v>856.91404222510266</v>
      </c>
      <c r="AI13" s="95">
        <v>1155.8526279592188</v>
      </c>
      <c r="AJ13" s="95">
        <v>1146.4677882262056</v>
      </c>
      <c r="AK13" s="95">
        <v>18.559168475961126</v>
      </c>
      <c r="AL13" s="95">
        <v>0</v>
      </c>
    </row>
    <row r="14" spans="2:38" ht="31.5" thickBot="1" x14ac:dyDescent="0.4">
      <c r="B14" s="110" t="s">
        <v>198</v>
      </c>
      <c r="C14" s="103" t="str">
        <f t="shared" si="2"/>
        <v>Lead pipes</v>
      </c>
      <c r="D14" s="111">
        <f t="shared" ca="1" si="0"/>
        <v>5.0647596645857345</v>
      </c>
      <c r="E14" s="108">
        <f t="shared" ca="1" si="5"/>
        <v>1</v>
      </c>
      <c r="G14" s="94" t="s">
        <v>182</v>
      </c>
      <c r="H14" s="94">
        <v>12.413929368452452</v>
      </c>
      <c r="I14" s="94">
        <v>17.582742456782302</v>
      </c>
      <c r="J14" s="94">
        <v>15.72431053337311</v>
      </c>
      <c r="K14" s="94">
        <v>21.276488093184053</v>
      </c>
      <c r="L14" s="94">
        <v>2.4827858736904904</v>
      </c>
      <c r="M14" s="94">
        <v>23.604560572839333</v>
      </c>
      <c r="N14" s="94">
        <v>5.0647596645857345</v>
      </c>
      <c r="O14" s="94">
        <v>14.913699012198498</v>
      </c>
      <c r="P14" s="94">
        <v>12.089473082708359</v>
      </c>
      <c r="Q14" s="94">
        <v>12.860056761350581</v>
      </c>
      <c r="R14" s="94">
        <v>15.085595126501591</v>
      </c>
      <c r="S14" s="94">
        <v>0</v>
      </c>
      <c r="U14" s="110" t="s">
        <v>198</v>
      </c>
      <c r="V14" s="103" t="str">
        <f t="shared" si="3"/>
        <v>Lead pipes</v>
      </c>
      <c r="W14" s="111">
        <f t="shared" ca="1" si="1"/>
        <v>59.676978207097314</v>
      </c>
      <c r="X14" s="108">
        <f t="shared" ca="1" si="4"/>
        <v>1</v>
      </c>
      <c r="Z14" s="94" t="s">
        <v>182</v>
      </c>
      <c r="AA14" s="94">
        <v>26.110106527117964</v>
      </c>
      <c r="AB14" s="94">
        <v>22.924993653210755</v>
      </c>
      <c r="AC14" s="94">
        <v>34.215321694642192</v>
      </c>
      <c r="AD14" s="94">
        <v>20.63037563886094</v>
      </c>
      <c r="AE14" s="94">
        <v>5.2220213054235929</v>
      </c>
      <c r="AF14" s="94">
        <v>66.569832428363583</v>
      </c>
      <c r="AG14" s="94">
        <v>59.676978207097314</v>
      </c>
      <c r="AH14" s="94">
        <v>24.600867772359948</v>
      </c>
      <c r="AI14" s="94">
        <v>27.155959770039487</v>
      </c>
      <c r="AJ14" s="94">
        <v>24.756114882985621</v>
      </c>
      <c r="AK14" s="94">
        <v>13.183792142868782</v>
      </c>
      <c r="AL14" s="94">
        <v>0</v>
      </c>
    </row>
    <row r="15" spans="2:38" ht="31" x14ac:dyDescent="0.35">
      <c r="B15" s="110" t="s">
        <v>198</v>
      </c>
      <c r="C15" s="103" t="str">
        <f t="shared" si="2"/>
        <v>Water metering</v>
      </c>
      <c r="D15" s="111">
        <f t="shared" ca="1" si="0"/>
        <v>3.4997853509541241</v>
      </c>
      <c r="E15" s="108">
        <f t="shared" ca="1" si="5"/>
        <v>1</v>
      </c>
      <c r="G15" s="96" t="s">
        <v>183</v>
      </c>
      <c r="H15" s="96">
        <v>8.3621547835250585</v>
      </c>
      <c r="I15" s="96">
        <v>9.7957935515934409</v>
      </c>
      <c r="J15" s="96">
        <v>8.3621547835250585</v>
      </c>
      <c r="K15" s="96">
        <v>9.9678412811400339</v>
      </c>
      <c r="L15" s="96">
        <v>3.0714509211645042</v>
      </c>
      <c r="M15" s="96">
        <v>20.118530422896161</v>
      </c>
      <c r="N15" s="96">
        <v>3.4997853509541241</v>
      </c>
      <c r="O15" s="96">
        <v>9.1052052322921178</v>
      </c>
      <c r="P15" s="96">
        <v>7.4371927077689284</v>
      </c>
      <c r="Q15" s="96">
        <v>9.903758243118606</v>
      </c>
      <c r="R15" s="96">
        <v>10.613624338753148</v>
      </c>
      <c r="S15" s="96">
        <v>0</v>
      </c>
      <c r="U15" s="110" t="s">
        <v>198</v>
      </c>
      <c r="V15" s="103" t="str">
        <f t="shared" si="3"/>
        <v>Water metering</v>
      </c>
      <c r="W15" s="111">
        <f t="shared" ca="1" si="1"/>
        <v>0</v>
      </c>
      <c r="X15" s="108">
        <f t="shared" ca="1" si="4"/>
        <v>1</v>
      </c>
      <c r="Z15" s="96" t="s">
        <v>183</v>
      </c>
      <c r="AA15" s="96">
        <v>0</v>
      </c>
      <c r="AB15" s="96">
        <v>0</v>
      </c>
      <c r="AC15" s="96">
        <v>0</v>
      </c>
      <c r="AD15" s="96">
        <v>0</v>
      </c>
      <c r="AE15" s="96">
        <v>0</v>
      </c>
      <c r="AF15" s="96">
        <v>0</v>
      </c>
      <c r="AG15" s="96">
        <v>0</v>
      </c>
      <c r="AH15" s="96">
        <v>0</v>
      </c>
      <c r="AI15" s="96">
        <v>0</v>
      </c>
      <c r="AJ15" s="96">
        <v>0</v>
      </c>
      <c r="AK15" s="96">
        <v>0</v>
      </c>
      <c r="AL15" s="96">
        <v>0</v>
      </c>
    </row>
    <row r="16" spans="2:38" ht="31" x14ac:dyDescent="0.35">
      <c r="B16" s="110" t="s">
        <v>198</v>
      </c>
      <c r="C16" s="103" t="str">
        <f t="shared" si="2"/>
        <v>Customer service</v>
      </c>
      <c r="D16" s="111">
        <f t="shared" ca="1" si="0"/>
        <v>0</v>
      </c>
      <c r="E16" s="108">
        <f t="shared" ca="1" si="5"/>
        <v>1</v>
      </c>
      <c r="G16" s="97" t="s">
        <v>184</v>
      </c>
      <c r="H16" s="97">
        <v>0</v>
      </c>
      <c r="I16" s="97">
        <v>0</v>
      </c>
      <c r="J16" s="97">
        <v>0</v>
      </c>
      <c r="K16" s="97">
        <v>0</v>
      </c>
      <c r="L16" s="97">
        <v>0</v>
      </c>
      <c r="M16" s="97">
        <v>0</v>
      </c>
      <c r="N16" s="97">
        <v>0</v>
      </c>
      <c r="O16" s="97">
        <v>0</v>
      </c>
      <c r="P16" s="97">
        <v>0</v>
      </c>
      <c r="Q16" s="97">
        <v>0</v>
      </c>
      <c r="R16" s="97">
        <v>0</v>
      </c>
      <c r="S16" s="97">
        <v>0</v>
      </c>
      <c r="U16" s="110" t="s">
        <v>198</v>
      </c>
      <c r="V16" s="103" t="str">
        <f t="shared" si="3"/>
        <v>Customer service</v>
      </c>
      <c r="W16" s="111">
        <f t="shared" ca="1" si="1"/>
        <v>0</v>
      </c>
      <c r="X16" s="108">
        <f t="shared" ca="1" si="4"/>
        <v>1</v>
      </c>
      <c r="Z16" s="97" t="s">
        <v>184</v>
      </c>
      <c r="AA16" s="97">
        <v>0</v>
      </c>
      <c r="AB16" s="97">
        <v>0</v>
      </c>
      <c r="AC16" s="97">
        <v>0</v>
      </c>
      <c r="AD16" s="97">
        <v>0</v>
      </c>
      <c r="AE16" s="97">
        <v>0</v>
      </c>
      <c r="AF16" s="97">
        <v>0</v>
      </c>
      <c r="AG16" s="97">
        <v>0</v>
      </c>
      <c r="AH16" s="97">
        <v>0</v>
      </c>
      <c r="AI16" s="97">
        <v>0</v>
      </c>
      <c r="AJ16" s="97">
        <v>0</v>
      </c>
      <c r="AK16" s="97">
        <v>0</v>
      </c>
      <c r="AL16" s="97">
        <v>0</v>
      </c>
    </row>
    <row r="17" spans="2:38" ht="31.5" thickBot="1" x14ac:dyDescent="0.4">
      <c r="B17" s="110" t="s">
        <v>199</v>
      </c>
      <c r="C17" s="103" t="str">
        <f t="shared" si="2"/>
        <v>Temporary use ban</v>
      </c>
      <c r="D17" s="111">
        <f t="shared" ca="1" si="0"/>
        <v>0.79447304700761601</v>
      </c>
      <c r="E17" s="108">
        <f t="shared" ca="1" si="5"/>
        <v>1</v>
      </c>
      <c r="G17" s="98" t="s">
        <v>185</v>
      </c>
      <c r="H17" s="98">
        <v>288412.95407593879</v>
      </c>
      <c r="I17" s="98">
        <v>290870.28754006146</v>
      </c>
      <c r="J17" s="98">
        <v>365323.07516285579</v>
      </c>
      <c r="K17" s="98">
        <v>268954.64783525001</v>
      </c>
      <c r="L17" s="98">
        <v>57682.590815187759</v>
      </c>
      <c r="M17" s="98">
        <v>549294.71851711266</v>
      </c>
      <c r="N17" s="98">
        <v>536522.74363213626</v>
      </c>
      <c r="O17" s="98">
        <v>299521.40762251144</v>
      </c>
      <c r="P17" s="98">
        <v>290803.01691562083</v>
      </c>
      <c r="Q17" s="98">
        <v>285126.61767137604</v>
      </c>
      <c r="R17" s="98">
        <v>206757.94770225105</v>
      </c>
      <c r="S17" s="98">
        <v>0</v>
      </c>
      <c r="U17" s="110" t="s">
        <v>199</v>
      </c>
      <c r="V17" s="103" t="str">
        <f t="shared" si="3"/>
        <v>Temporary use ban</v>
      </c>
      <c r="W17" s="111">
        <f t="shared" ca="1" si="1"/>
        <v>21.275760207635166</v>
      </c>
      <c r="X17" s="108">
        <f t="shared" ca="1" si="4"/>
        <v>1</v>
      </c>
      <c r="Z17" s="98" t="s">
        <v>185</v>
      </c>
      <c r="AA17" s="98">
        <v>396679.41890988935</v>
      </c>
      <c r="AB17" s="98">
        <v>386482.55674949812</v>
      </c>
      <c r="AC17" s="98">
        <v>510530.60420017329</v>
      </c>
      <c r="AD17" s="98">
        <v>388092.24734280165</v>
      </c>
      <c r="AE17" s="98">
        <v>79335.883781977871</v>
      </c>
      <c r="AF17" s="98">
        <v>879394.39167643362</v>
      </c>
      <c r="AG17" s="98">
        <v>820818.82881056471</v>
      </c>
      <c r="AH17" s="98">
        <v>427205.15063830349</v>
      </c>
      <c r="AI17" s="98">
        <v>422627.98255971295</v>
      </c>
      <c r="AJ17" s="98">
        <v>360842.18113323802</v>
      </c>
      <c r="AK17" s="98">
        <v>252982.59379012202</v>
      </c>
      <c r="AL17" s="98">
        <v>0</v>
      </c>
    </row>
    <row r="18" spans="2:38" ht="31.5" thickBot="1" x14ac:dyDescent="0.4">
      <c r="B18" s="110" t="s">
        <v>199</v>
      </c>
      <c r="C18" s="103" t="str">
        <f t="shared" si="2"/>
        <v>Leakage</v>
      </c>
      <c r="D18" s="111">
        <f t="shared" ca="1" si="0"/>
        <v>1.8075507768274615E-2</v>
      </c>
      <c r="E18" s="108">
        <f t="shared" ca="1" si="5"/>
        <v>1</v>
      </c>
      <c r="G18" s="95" t="s">
        <v>186</v>
      </c>
      <c r="H18" s="95">
        <v>70235.359566387473</v>
      </c>
      <c r="I18" s="95">
        <v>54865.789914635345</v>
      </c>
      <c r="J18" s="95">
        <v>37276.022211117175</v>
      </c>
      <c r="K18" s="95">
        <v>44366.163973270297</v>
      </c>
      <c r="L18" s="95">
        <v>22544.783924838019</v>
      </c>
      <c r="M18" s="95">
        <v>200456.17942261096</v>
      </c>
      <c r="N18" s="95">
        <v>12206.733830563444</v>
      </c>
      <c r="O18" s="95">
        <v>57366.97897761903</v>
      </c>
      <c r="P18" s="95">
        <v>64957.680106426436</v>
      </c>
      <c r="Q18" s="95">
        <v>80790.718486309532</v>
      </c>
      <c r="R18" s="95">
        <v>85589.450224031301</v>
      </c>
      <c r="S18" s="95">
        <v>224112.24829636855</v>
      </c>
      <c r="U18" s="110" t="s">
        <v>199</v>
      </c>
      <c r="V18" s="103" t="str">
        <f t="shared" si="3"/>
        <v>Leakage</v>
      </c>
      <c r="W18" s="111">
        <f t="shared" ca="1" si="1"/>
        <v>4.9380849752587102</v>
      </c>
      <c r="X18" s="108">
        <f t="shared" ca="1" si="4"/>
        <v>1</v>
      </c>
      <c r="Z18" s="95" t="s">
        <v>186</v>
      </c>
      <c r="AA18" s="95">
        <v>101828.08394106755</v>
      </c>
      <c r="AB18" s="95">
        <v>78009.63132976857</v>
      </c>
      <c r="AC18" s="95">
        <v>103594.23431407091</v>
      </c>
      <c r="AD18" s="95">
        <v>64316.416407741002</v>
      </c>
      <c r="AE18" s="95">
        <v>20365.616788213512</v>
      </c>
      <c r="AF18" s="95">
        <v>259157.27637361796</v>
      </c>
      <c r="AG18" s="95">
        <v>190511.31834548104</v>
      </c>
      <c r="AH18" s="95">
        <v>84346.427679956978</v>
      </c>
      <c r="AI18" s="95">
        <v>97041.831972635788</v>
      </c>
      <c r="AJ18" s="95">
        <v>109657.96942484238</v>
      </c>
      <c r="AK18" s="95">
        <v>73917.840297019167</v>
      </c>
      <c r="AL18" s="95">
        <v>117009.5085067972</v>
      </c>
    </row>
    <row r="19" spans="2:38" ht="31.5" thickBot="1" x14ac:dyDescent="0.4">
      <c r="B19" s="110" t="s">
        <v>199</v>
      </c>
      <c r="C19" s="103" t="str">
        <f t="shared" si="2"/>
        <v>Protecting wildlife habitats</v>
      </c>
      <c r="D19" s="111">
        <f t="shared" ca="1" si="0"/>
        <v>3.9580597131342026E-3</v>
      </c>
      <c r="E19" s="108">
        <f t="shared" ca="1" si="5"/>
        <v>1</v>
      </c>
      <c r="G19" s="94" t="s">
        <v>187</v>
      </c>
      <c r="H19" s="94">
        <v>6789.2302226253551</v>
      </c>
      <c r="I19" s="94">
        <v>8692.7713796077587</v>
      </c>
      <c r="J19" s="94">
        <v>8114.2054426487739</v>
      </c>
      <c r="K19" s="94">
        <v>10383.593715482091</v>
      </c>
      <c r="L19" s="94">
        <v>1357.8460445250712</v>
      </c>
      <c r="M19" s="94">
        <v>27365.720278115034</v>
      </c>
      <c r="N19" s="94">
        <v>2672.9529274140768</v>
      </c>
      <c r="O19" s="94">
        <v>8330.52822617116</v>
      </c>
      <c r="P19" s="94">
        <v>7607.6178383419747</v>
      </c>
      <c r="Q19" s="94">
        <v>5332.613322994398</v>
      </c>
      <c r="R19" s="94">
        <v>7835.6487601422286</v>
      </c>
      <c r="S19" s="94">
        <v>1861.6616781645998</v>
      </c>
      <c r="U19" s="110" t="s">
        <v>199</v>
      </c>
      <c r="V19" s="103" t="str">
        <f t="shared" si="3"/>
        <v>Protecting wildlife habitats</v>
      </c>
      <c r="W19" s="111">
        <f t="shared" ca="1" si="1"/>
        <v>0.82503611281428901</v>
      </c>
      <c r="X19" s="108">
        <f t="shared" ca="1" si="4"/>
        <v>1</v>
      </c>
      <c r="Z19" s="94" t="s">
        <v>187</v>
      </c>
      <c r="AA19" s="94">
        <v>12701.012008758671</v>
      </c>
      <c r="AB19" s="94">
        <v>11358.251792716497</v>
      </c>
      <c r="AC19" s="94">
        <v>16703.429699501055</v>
      </c>
      <c r="AD19" s="94">
        <v>11866.962917549905</v>
      </c>
      <c r="AE19" s="94">
        <v>2540.2024017517342</v>
      </c>
      <c r="AF19" s="94">
        <v>34961.974553941101</v>
      </c>
      <c r="AG19" s="94">
        <v>31829.893232375271</v>
      </c>
      <c r="AH19" s="94">
        <v>13507.747924297968</v>
      </c>
      <c r="AI19" s="94">
        <v>13495.501813225283</v>
      </c>
      <c r="AJ19" s="94">
        <v>10768.158007932605</v>
      </c>
      <c r="AK19" s="94">
        <v>7127.9900589037125</v>
      </c>
      <c r="AL19" s="94">
        <v>47.430010588496188</v>
      </c>
    </row>
    <row r="20" spans="2:38" x14ac:dyDescent="0.35">
      <c r="G20" s="7"/>
      <c r="H20" s="13"/>
      <c r="I20" s="13"/>
      <c r="J20" s="13"/>
      <c r="K20" s="13"/>
      <c r="L20" s="13"/>
      <c r="M20" s="13"/>
      <c r="N20" s="13"/>
      <c r="O20" s="13"/>
      <c r="P20" s="13"/>
      <c r="Q20" s="13"/>
      <c r="R20" s="13"/>
      <c r="S20" s="13"/>
      <c r="Z20" s="7"/>
      <c r="AA20" s="13"/>
      <c r="AB20" s="13"/>
      <c r="AC20" s="13"/>
      <c r="AD20" s="13"/>
      <c r="AE20" s="13"/>
      <c r="AF20" s="13"/>
      <c r="AG20" s="13"/>
      <c r="AH20" s="13"/>
      <c r="AI20" s="13"/>
      <c r="AJ20" s="13"/>
      <c r="AK20" s="13"/>
      <c r="AL20" s="13"/>
    </row>
    <row r="21" spans="2:38" x14ac:dyDescent="0.35">
      <c r="G21" s="99" t="s">
        <v>188</v>
      </c>
      <c r="H21" s="100">
        <v>889521.98367037077</v>
      </c>
      <c r="I21" s="100">
        <v>534915.14627837692</v>
      </c>
      <c r="J21" s="100">
        <v>889521.98367037077</v>
      </c>
      <c r="K21" s="100">
        <v>366876.38054474274</v>
      </c>
      <c r="L21" s="100">
        <v>257889.0108979576</v>
      </c>
      <c r="M21" s="100">
        <v>1515653.1605987889</v>
      </c>
      <c r="N21" s="100">
        <v>1672185.9548308933</v>
      </c>
      <c r="O21" s="100">
        <v>767252.86262655875</v>
      </c>
      <c r="P21" s="100">
        <v>871191.56724747305</v>
      </c>
      <c r="Q21" s="100">
        <v>921600.21241044195</v>
      </c>
      <c r="R21" s="100">
        <v>291051.92422469246</v>
      </c>
      <c r="S21" s="100">
        <v>0</v>
      </c>
      <c r="Z21" s="99" t="s">
        <v>188</v>
      </c>
      <c r="AA21" s="100">
        <v>3423317.7751340428</v>
      </c>
      <c r="AB21" s="100">
        <v>1749854.7015927634</v>
      </c>
      <c r="AC21" s="100">
        <v>3423317.7751340428</v>
      </c>
      <c r="AD21" s="100">
        <v>650590.11760998331</v>
      </c>
      <c r="AE21" s="100">
        <v>983132.009229952</v>
      </c>
      <c r="AF21" s="100">
        <v>6251630.6531901555</v>
      </c>
      <c r="AG21" s="100">
        <v>6958708.8727041828</v>
      </c>
      <c r="AH21" s="100">
        <v>2626108.4111893279</v>
      </c>
      <c r="AI21" s="100">
        <v>3259345.2434512628</v>
      </c>
      <c r="AJ21" s="100">
        <v>3710269.7055789093</v>
      </c>
      <c r="AK21" s="100">
        <v>572653.30689421343</v>
      </c>
      <c r="AL21" s="100">
        <v>0</v>
      </c>
    </row>
    <row r="22" spans="2:38" x14ac:dyDescent="0.35">
      <c r="G22" s="101" t="s">
        <v>189</v>
      </c>
      <c r="H22" s="102">
        <v>2979.1532537588046</v>
      </c>
      <c r="I22" s="102">
        <v>3577.6846411920451</v>
      </c>
      <c r="J22" s="102">
        <v>2979.1532537588046</v>
      </c>
      <c r="K22" s="102">
        <v>4087.5960602108203</v>
      </c>
      <c r="L22" s="102">
        <v>1485.3053701758172</v>
      </c>
      <c r="M22" s="102">
        <v>5669.4384188664317</v>
      </c>
      <c r="N22" s="102">
        <v>1277.7064148859833</v>
      </c>
      <c r="O22" s="102">
        <v>3462.5662618206425</v>
      </c>
      <c r="P22" s="102">
        <v>3013.154566263268</v>
      </c>
      <c r="Q22" s="102">
        <v>2933.8181704195204</v>
      </c>
      <c r="R22" s="102">
        <v>3942.8307215332516</v>
      </c>
      <c r="S22" s="102">
        <v>0</v>
      </c>
      <c r="Z22" s="101" t="s">
        <v>189</v>
      </c>
      <c r="AA22" s="102">
        <v>13513.440864366339</v>
      </c>
      <c r="AB22" s="102">
        <v>9053.4381910038956</v>
      </c>
      <c r="AC22" s="102">
        <v>13513.440864366339</v>
      </c>
      <c r="AD22" s="102">
        <v>5959.0458583721111</v>
      </c>
      <c r="AE22" s="102">
        <v>6002.1478196776034</v>
      </c>
      <c r="AF22" s="102">
        <v>23223.517598059072</v>
      </c>
      <c r="AG22" s="102">
        <v>25651.036781482253</v>
      </c>
      <c r="AH22" s="102">
        <v>10461.585773263032</v>
      </c>
      <c r="AI22" s="102">
        <v>13388.956367867426</v>
      </c>
      <c r="AJ22" s="102">
        <v>13703.913867344745</v>
      </c>
      <c r="AK22" s="102">
        <v>6225.4880205565332</v>
      </c>
      <c r="AL22" s="102">
        <v>0</v>
      </c>
    </row>
    <row r="23" spans="2:38" x14ac:dyDescent="0.35">
      <c r="G23" s="99" t="s">
        <v>190</v>
      </c>
      <c r="H23" s="100">
        <v>619.77543231830339</v>
      </c>
      <c r="I23" s="100">
        <v>619.77543231830339</v>
      </c>
      <c r="J23" s="100">
        <v>619.77543231830339</v>
      </c>
      <c r="K23" s="100">
        <v>609.67192969066195</v>
      </c>
      <c r="L23" s="100">
        <v>385.30988366709704</v>
      </c>
      <c r="M23" s="100">
        <v>710.11387668646262</v>
      </c>
      <c r="N23" s="100"/>
      <c r="O23" s="100">
        <v>646.20281623577</v>
      </c>
      <c r="P23" s="100">
        <v>582.27376478183078</v>
      </c>
      <c r="Q23" s="100">
        <v>694.77876739124827</v>
      </c>
      <c r="R23" s="100">
        <v>619.77543231830339</v>
      </c>
      <c r="S23" s="100" t="s">
        <v>92</v>
      </c>
      <c r="Z23" s="99" t="s">
        <v>190</v>
      </c>
      <c r="AA23" s="100">
        <v>966.04436613424684</v>
      </c>
      <c r="AB23" s="100">
        <v>966.04436613424684</v>
      </c>
      <c r="AC23" s="100">
        <v>966.04436613424684</v>
      </c>
      <c r="AD23" s="100">
        <v>1062.2508073309111</v>
      </c>
      <c r="AE23" s="100">
        <v>650.79174585502915</v>
      </c>
      <c r="AF23" s="100">
        <v>1504.8004368355673</v>
      </c>
      <c r="AG23" s="100"/>
      <c r="AH23" s="100">
        <v>1137.9252139568875</v>
      </c>
      <c r="AI23" s="100">
        <v>1005.4950023614291</v>
      </c>
      <c r="AJ23" s="100">
        <v>887.14309367988255</v>
      </c>
      <c r="AK23" s="100">
        <v>966.04436613424684</v>
      </c>
      <c r="AL23" s="100" t="s">
        <v>92</v>
      </c>
    </row>
    <row r="24" spans="2:38" x14ac:dyDescent="0.35">
      <c r="G24" s="101" t="s">
        <v>191</v>
      </c>
      <c r="H24" s="102">
        <v>124.70820150230071</v>
      </c>
      <c r="I24" s="102">
        <v>130.07078309435175</v>
      </c>
      <c r="J24" s="102">
        <v>132.04397806125957</v>
      </c>
      <c r="K24" s="102">
        <v>139.06099702217134</v>
      </c>
      <c r="L24" s="102">
        <v>24.941640300460143</v>
      </c>
      <c r="M24" s="102">
        <v>213.87078481536113</v>
      </c>
      <c r="N24" s="102">
        <v>134.23005676269531</v>
      </c>
      <c r="O24" s="102">
        <v>133.38250236542871</v>
      </c>
      <c r="P24" s="102">
        <v>111.22874303138687</v>
      </c>
      <c r="Q24" s="102">
        <v>151.66711844412839</v>
      </c>
      <c r="R24" s="102">
        <v>125.33535768501365</v>
      </c>
      <c r="S24" s="102">
        <v>0</v>
      </c>
      <c r="Z24" s="101" t="s">
        <v>191</v>
      </c>
      <c r="AA24" s="102">
        <v>1911.5751438962229</v>
      </c>
      <c r="AB24" s="102">
        <v>848.06757614520893</v>
      </c>
      <c r="AC24" s="102">
        <v>2052.3807506517587</v>
      </c>
      <c r="AD24" s="102">
        <v>204.56085799300953</v>
      </c>
      <c r="AE24" s="102">
        <v>382.31502877924459</v>
      </c>
      <c r="AF24" s="102">
        <v>4814.3822162792439</v>
      </c>
      <c r="AG24" s="102">
        <v>5540.083984375</v>
      </c>
      <c r="AH24" s="102">
        <v>1340.8485243460693</v>
      </c>
      <c r="AI24" s="102">
        <v>1787.3389487962133</v>
      </c>
      <c r="AJ24" s="102">
        <v>2134.0738559613919</v>
      </c>
      <c r="AK24" s="102">
        <v>154.97590679739264</v>
      </c>
      <c r="AL24" s="102">
        <v>0</v>
      </c>
    </row>
    <row r="25" spans="2:38" ht="15" thickBot="1" x14ac:dyDescent="0.4">
      <c r="G25" s="7"/>
      <c r="H25" s="13"/>
      <c r="I25" s="13"/>
      <c r="J25" s="13"/>
      <c r="K25" s="13"/>
      <c r="L25" s="13"/>
      <c r="M25" s="13"/>
      <c r="N25" s="13"/>
      <c r="O25" s="13"/>
      <c r="P25" s="13"/>
      <c r="Q25" s="13"/>
      <c r="R25" s="13"/>
      <c r="S25" s="13"/>
      <c r="Z25" s="7"/>
      <c r="AA25" s="13"/>
      <c r="AB25" s="13"/>
      <c r="AC25" s="13"/>
      <c r="AD25" s="13"/>
      <c r="AE25" s="13"/>
      <c r="AF25" s="13"/>
    </row>
    <row r="26" spans="2:38" ht="78" thickBot="1" x14ac:dyDescent="0.4">
      <c r="B26" s="109" t="s">
        <v>197</v>
      </c>
      <c r="C26" s="7"/>
      <c r="D26" s="47" t="s">
        <v>69</v>
      </c>
      <c r="E26" s="48" t="s">
        <v>70</v>
      </c>
      <c r="G26" s="92" t="s">
        <v>151</v>
      </c>
      <c r="H26" s="93" t="s">
        <v>170</v>
      </c>
      <c r="I26" s="93" t="s">
        <v>171</v>
      </c>
      <c r="J26" s="93" t="s">
        <v>172</v>
      </c>
      <c r="K26" s="93" t="s">
        <v>173</v>
      </c>
      <c r="L26" s="93" t="s">
        <v>174</v>
      </c>
      <c r="M26" s="93" t="s">
        <v>175</v>
      </c>
      <c r="N26" s="93" t="s">
        <v>224</v>
      </c>
      <c r="O26" s="93" t="s">
        <v>225</v>
      </c>
      <c r="P26" s="93" t="s">
        <v>226</v>
      </c>
      <c r="Q26" s="93" t="s">
        <v>227</v>
      </c>
      <c r="R26" s="93" t="s">
        <v>228</v>
      </c>
      <c r="S26" s="93" t="s">
        <v>229</v>
      </c>
      <c r="U26" s="109" t="s">
        <v>197</v>
      </c>
      <c r="V26" s="7"/>
      <c r="W26" s="47"/>
      <c r="X26" s="48" t="s">
        <v>70</v>
      </c>
      <c r="Z26" s="92" t="s">
        <v>151</v>
      </c>
      <c r="AA26" s="93" t="s">
        <v>170</v>
      </c>
      <c r="AB26" s="93" t="s">
        <v>171</v>
      </c>
      <c r="AC26" s="93" t="s">
        <v>172</v>
      </c>
      <c r="AD26" s="93" t="s">
        <v>173</v>
      </c>
      <c r="AE26" s="93" t="s">
        <v>174</v>
      </c>
      <c r="AF26" s="93" t="s">
        <v>175</v>
      </c>
      <c r="AG26" s="93" t="s">
        <v>224</v>
      </c>
      <c r="AH26" s="93" t="s">
        <v>225</v>
      </c>
      <c r="AI26" s="93" t="s">
        <v>226</v>
      </c>
      <c r="AJ26" s="93" t="s">
        <v>227</v>
      </c>
      <c r="AK26" s="93" t="s">
        <v>228</v>
      </c>
      <c r="AL26" s="93" t="s">
        <v>229</v>
      </c>
    </row>
    <row r="27" spans="2:38" ht="32" thickTop="1" thickBot="1" x14ac:dyDescent="0.4">
      <c r="B27" s="110" t="s">
        <v>198</v>
      </c>
      <c r="C27" s="103" t="str">
        <f>TRIM(MID(G27,1,FIND(" (",G27)))</f>
        <v>Water not safe to drink</v>
      </c>
      <c r="D27" s="111">
        <f t="shared" ref="D27:D38" ca="1" si="6">OFFSET($H27,0,$B$6-1)/IF($B27="Y",$C$3,1)</f>
        <v>210.8970947265625</v>
      </c>
      <c r="E27" s="108">
        <f t="shared" ref="E27:E38" ca="1" si="7">MAX(MIN(ROUND(10*D27/MAX($D$26:$D$38),0),10),1)</f>
        <v>10</v>
      </c>
      <c r="G27" s="94" t="s">
        <v>176</v>
      </c>
      <c r="H27" s="94">
        <v>76407.098861916034</v>
      </c>
      <c r="I27" s="94">
        <v>28322.391554932299</v>
      </c>
      <c r="J27" s="94">
        <v>584.15471255518514</v>
      </c>
      <c r="K27" s="94">
        <v>946.08232693866489</v>
      </c>
      <c r="L27" s="94">
        <v>15290.984667308676</v>
      </c>
      <c r="M27" s="94">
        <v>334205.10896974301</v>
      </c>
      <c r="N27" s="94">
        <v>210.8970947265625</v>
      </c>
      <c r="O27" s="94">
        <v>48253.576717271353</v>
      </c>
      <c r="P27" s="94">
        <v>61907.144357917838</v>
      </c>
      <c r="Q27" s="94">
        <v>99969.524930913132</v>
      </c>
      <c r="R27" s="94">
        <v>100220.12298936097</v>
      </c>
      <c r="S27" s="94">
        <v>398654.61149669968</v>
      </c>
      <c r="U27" s="110" t="s">
        <v>198</v>
      </c>
      <c r="V27" s="103" t="str">
        <f>TRIM(MID(Z27,1,FIND(" (",Z27)))</f>
        <v>Water not safe to drink</v>
      </c>
      <c r="W27" s="111">
        <f t="shared" ref="W27:W38" ca="1" si="8">OFFSET($AA27,0,$B$6-1)/IF($U27="Y",$V$3,1)</f>
        <v>14669.2265625</v>
      </c>
      <c r="X27" s="108">
        <f t="shared" ref="X27" ca="1" si="9">MAX(MIN(ROUND(10*W27/MAX($W$27:$W$38),0),10),1)</f>
        <v>10</v>
      </c>
      <c r="Z27" s="94" t="s">
        <v>176</v>
      </c>
      <c r="AA27" s="94">
        <v>7622.6095930999772</v>
      </c>
      <c r="AB27" s="94">
        <v>3292.4492473516857</v>
      </c>
      <c r="AC27" s="94">
        <v>4978.0800270944756</v>
      </c>
      <c r="AD27" s="94">
        <v>376.14382592212957</v>
      </c>
      <c r="AE27" s="94">
        <v>1562.6060264896446</v>
      </c>
      <c r="AF27" s="94">
        <v>15556.19829111648</v>
      </c>
      <c r="AG27" s="94">
        <v>14669.2265625</v>
      </c>
      <c r="AH27" s="94">
        <v>5270.5019258756211</v>
      </c>
      <c r="AI27" s="94">
        <v>7179.5218295671129</v>
      </c>
      <c r="AJ27" s="94">
        <v>8231.8552679576642</v>
      </c>
      <c r="AK27" s="94">
        <v>5275.5785826146312</v>
      </c>
      <c r="AL27" s="94">
        <v>17539.595465620605</v>
      </c>
    </row>
    <row r="28" spans="2:38" ht="31.5" thickBot="1" x14ac:dyDescent="0.4">
      <c r="B28" s="110" t="s">
        <v>198</v>
      </c>
      <c r="C28" s="103" t="str">
        <f>TRIM(MID(G28,1,FIND(" (",G28)))</f>
        <v>Flooding from a burst pipe</v>
      </c>
      <c r="D28" s="111">
        <f t="shared" ca="1" si="6"/>
        <v>106.20083930187631</v>
      </c>
      <c r="E28" s="108">
        <f t="shared" ca="1" si="7"/>
        <v>5</v>
      </c>
      <c r="G28" s="95" t="s">
        <v>177</v>
      </c>
      <c r="H28" s="95">
        <v>19509.759207595394</v>
      </c>
      <c r="I28" s="95">
        <v>7958.6802608537573</v>
      </c>
      <c r="J28" s="95">
        <v>315.15141006523351</v>
      </c>
      <c r="K28" s="95">
        <v>438.96940341652061</v>
      </c>
      <c r="L28" s="95">
        <v>3975.8835058201189</v>
      </c>
      <c r="M28" s="95">
        <v>73254.661040679857</v>
      </c>
      <c r="N28" s="95">
        <v>106.20083930187631</v>
      </c>
      <c r="O28" s="95">
        <v>12030.932457768373</v>
      </c>
      <c r="P28" s="95">
        <v>17588.143627396457</v>
      </c>
      <c r="Q28" s="95">
        <v>21911.778682844066</v>
      </c>
      <c r="R28" s="95">
        <v>26973.726753779487</v>
      </c>
      <c r="S28" s="95">
        <v>86690.88649895096</v>
      </c>
      <c r="U28" s="110" t="s">
        <v>198</v>
      </c>
      <c r="V28" s="103" t="str">
        <f t="shared" ref="V28:V38" si="10">TRIM(MID(Z28,1,FIND(" (",Z28)))</f>
        <v>Flooding from a burst pipe</v>
      </c>
      <c r="W28" s="111">
        <f t="shared" ca="1" si="8"/>
        <v>3103.4169562152765</v>
      </c>
      <c r="X28" s="108">
        <f t="shared" ref="X28:X38" ca="1" si="11">MAX(MIN(ROUND(10*W28/MAX($W$27:$W$38),0),10),1)</f>
        <v>2</v>
      </c>
      <c r="Z28" s="95" t="s">
        <v>177</v>
      </c>
      <c r="AA28" s="95">
        <v>1538.744562493473</v>
      </c>
      <c r="AB28" s="95">
        <v>835.83886207719922</v>
      </c>
      <c r="AC28" s="95">
        <v>1283.3414596030409</v>
      </c>
      <c r="AD28" s="95">
        <v>320.90830161435758</v>
      </c>
      <c r="AE28" s="95">
        <v>488.89929455253525</v>
      </c>
      <c r="AF28" s="95">
        <v>2790.4824774709159</v>
      </c>
      <c r="AG28" s="95">
        <v>3103.4169562152765</v>
      </c>
      <c r="AH28" s="95">
        <v>1105.544395592093</v>
      </c>
      <c r="AI28" s="95">
        <v>1527.7722866933407</v>
      </c>
      <c r="AJ28" s="95">
        <v>1552.4599072436386</v>
      </c>
      <c r="AK28" s="95">
        <v>975.59213067771657</v>
      </c>
      <c r="AL28" s="95">
        <v>2432.6554226099865</v>
      </c>
    </row>
    <row r="29" spans="2:38" ht="47" thickBot="1" x14ac:dyDescent="0.4">
      <c r="B29" s="110" t="s">
        <v>198</v>
      </c>
      <c r="C29" s="103" t="str">
        <f t="shared" ref="C29:C38" si="12">TRIM(MID(G29,1,FIND(" (",G29)))</f>
        <v>Unexpected temporary loss of water supply</v>
      </c>
      <c r="D29" s="111">
        <f t="shared" ca="1" si="6"/>
        <v>171.9460754394531</v>
      </c>
      <c r="E29" s="108">
        <f t="shared" ca="1" si="7"/>
        <v>8</v>
      </c>
      <c r="G29" s="94" t="s">
        <v>178</v>
      </c>
      <c r="H29" s="94">
        <v>188.73767978356349</v>
      </c>
      <c r="I29" s="94">
        <v>234.61228649430925</v>
      </c>
      <c r="J29" s="94">
        <v>238.40549025292231</v>
      </c>
      <c r="K29" s="94">
        <v>292.11649021975143</v>
      </c>
      <c r="L29" s="94">
        <v>37.747535956712703</v>
      </c>
      <c r="M29" s="94">
        <v>675.67647960631564</v>
      </c>
      <c r="N29" s="94">
        <v>171.9460754394531</v>
      </c>
      <c r="O29" s="94">
        <v>217.76143439909495</v>
      </c>
      <c r="P29" s="94">
        <v>218.07914708885812</v>
      </c>
      <c r="Q29" s="94">
        <v>130.05474517297418</v>
      </c>
      <c r="R29" s="94">
        <v>195.85722214437351</v>
      </c>
      <c r="S29" s="94">
        <v>0</v>
      </c>
      <c r="U29" s="110" t="s">
        <v>198</v>
      </c>
      <c r="V29" s="103" t="str">
        <f t="shared" si="10"/>
        <v>Unexpected temporary loss of water supply</v>
      </c>
      <c r="W29" s="111">
        <f t="shared" ca="1" si="8"/>
        <v>10708.5107421875</v>
      </c>
      <c r="X29" s="108">
        <f t="shared" ca="1" si="11"/>
        <v>7</v>
      </c>
      <c r="Z29" s="94" t="s">
        <v>178</v>
      </c>
      <c r="AA29" s="94">
        <v>3038.9562982561574</v>
      </c>
      <c r="AB29" s="94">
        <v>1478.4101352227201</v>
      </c>
      <c r="AC29" s="94">
        <v>4051.9417310082094</v>
      </c>
      <c r="AD29" s="94">
        <v>202.44488161437289</v>
      </c>
      <c r="AE29" s="94">
        <v>607.79125965123148</v>
      </c>
      <c r="AF29" s="94">
        <v>13581.049936597665</v>
      </c>
      <c r="AG29" s="94">
        <v>10708.5107421875</v>
      </c>
      <c r="AH29" s="94">
        <v>2330.541199021126</v>
      </c>
      <c r="AI29" s="94">
        <v>3230.774425811393</v>
      </c>
      <c r="AJ29" s="94">
        <v>2751.2291069233029</v>
      </c>
      <c r="AK29" s="94">
        <v>115.23397667934029</v>
      </c>
      <c r="AL29" s="94">
        <v>0</v>
      </c>
    </row>
    <row r="30" spans="2:38" ht="31.5" thickBot="1" x14ac:dyDescent="0.4">
      <c r="B30" s="110" t="s">
        <v>198</v>
      </c>
      <c r="C30" s="103" t="str">
        <f t="shared" si="12"/>
        <v>Water hardness</v>
      </c>
      <c r="D30" s="111">
        <f t="shared" ca="1" si="6"/>
        <v>82.146487747187777</v>
      </c>
      <c r="E30" s="108">
        <f t="shared" ca="1" si="7"/>
        <v>4</v>
      </c>
      <c r="G30" s="95" t="s">
        <v>179</v>
      </c>
      <c r="H30" s="95">
        <v>200.68834953644827</v>
      </c>
      <c r="I30" s="95">
        <v>284.17334668235031</v>
      </c>
      <c r="J30" s="95">
        <v>254.20524274616778</v>
      </c>
      <c r="K30" s="95">
        <v>283.4412514830027</v>
      </c>
      <c r="L30" s="95">
        <v>40.137669907289656</v>
      </c>
      <c r="M30" s="95">
        <v>676.2098465500859</v>
      </c>
      <c r="N30" s="95">
        <v>82.146487747187777</v>
      </c>
      <c r="O30" s="95">
        <v>228.71391006528026</v>
      </c>
      <c r="P30" s="95">
        <v>186.02118285321379</v>
      </c>
      <c r="Q30" s="95">
        <v>220.85570372589569</v>
      </c>
      <c r="R30" s="95">
        <v>243.7864208371964</v>
      </c>
      <c r="S30" s="95">
        <v>0</v>
      </c>
      <c r="U30" s="110" t="s">
        <v>198</v>
      </c>
      <c r="V30" s="103" t="str">
        <f t="shared" si="10"/>
        <v>Water hardness</v>
      </c>
      <c r="W30" s="111">
        <f t="shared" ca="1" si="8"/>
        <v>312.40515970505493</v>
      </c>
      <c r="X30" s="108">
        <f t="shared" ca="1" si="11"/>
        <v>1</v>
      </c>
      <c r="Z30" s="95" t="s">
        <v>179</v>
      </c>
      <c r="AA30" s="95">
        <v>129.80393778360127</v>
      </c>
      <c r="AB30" s="95">
        <v>108.96101283284753</v>
      </c>
      <c r="AC30" s="95">
        <v>166.89077715034449</v>
      </c>
      <c r="AD30" s="95">
        <v>93.532122120616222</v>
      </c>
      <c r="AE30" s="95">
        <v>25.960787556720256</v>
      </c>
      <c r="AF30" s="95">
        <v>275.88491532076421</v>
      </c>
      <c r="AG30" s="95">
        <v>312.40515970505493</v>
      </c>
      <c r="AH30" s="95">
        <v>123.74994410655134</v>
      </c>
      <c r="AI30" s="95">
        <v>138.52546007887307</v>
      </c>
      <c r="AJ30" s="95">
        <v>118.90203491451145</v>
      </c>
      <c r="AK30" s="95">
        <v>63.462857701995603</v>
      </c>
      <c r="AL30" s="95">
        <v>0</v>
      </c>
    </row>
    <row r="31" spans="2:38" ht="31.5" thickBot="1" x14ac:dyDescent="0.4">
      <c r="B31" s="110" t="s">
        <v>198</v>
      </c>
      <c r="C31" s="103" t="str">
        <f t="shared" si="12"/>
        <v>Taste and smell of water</v>
      </c>
      <c r="D31" s="111">
        <f t="shared" ca="1" si="6"/>
        <v>118.4474258422852</v>
      </c>
      <c r="E31" s="108">
        <f t="shared" ca="1" si="7"/>
        <v>6</v>
      </c>
      <c r="G31" s="94" t="s">
        <v>180</v>
      </c>
      <c r="H31" s="94">
        <v>115.36542928251625</v>
      </c>
      <c r="I31" s="94">
        <v>142.38179622966663</v>
      </c>
      <c r="J31" s="94">
        <v>147.41138186099298</v>
      </c>
      <c r="K31" s="94">
        <v>180.12413106965909</v>
      </c>
      <c r="L31" s="94">
        <v>23.073085856503251</v>
      </c>
      <c r="M31" s="94">
        <v>364.82351547044885</v>
      </c>
      <c r="N31" s="94">
        <v>118.4474258422852</v>
      </c>
      <c r="O31" s="94">
        <v>142.89918418873387</v>
      </c>
      <c r="P31" s="94">
        <v>126.69126855339628</v>
      </c>
      <c r="Q31" s="94">
        <v>94.129480649616227</v>
      </c>
      <c r="R31" s="94">
        <v>116.60545245694023</v>
      </c>
      <c r="S31" s="94">
        <v>0</v>
      </c>
      <c r="U31" s="110" t="s">
        <v>198</v>
      </c>
      <c r="V31" s="103" t="str">
        <f t="shared" si="10"/>
        <v>Taste and smell of water</v>
      </c>
      <c r="W31" s="111">
        <f t="shared" ca="1" si="8"/>
        <v>7756.318359375</v>
      </c>
      <c r="X31" s="108">
        <f t="shared" ca="1" si="11"/>
        <v>5</v>
      </c>
      <c r="Z31" s="94" t="s">
        <v>180</v>
      </c>
      <c r="AA31" s="94">
        <v>1864.5747735639102</v>
      </c>
      <c r="AB31" s="94">
        <v>869.88949428710055</v>
      </c>
      <c r="AC31" s="94">
        <v>2486.0996980852137</v>
      </c>
      <c r="AD31" s="94">
        <v>159.13604901750873</v>
      </c>
      <c r="AE31" s="94">
        <v>372.91495471278205</v>
      </c>
      <c r="AF31" s="94">
        <v>6577.9696422127818</v>
      </c>
      <c r="AG31" s="94">
        <v>7756.318359375</v>
      </c>
      <c r="AH31" s="94">
        <v>1340.5647069993568</v>
      </c>
      <c r="AI31" s="94">
        <v>1779.1934328027226</v>
      </c>
      <c r="AJ31" s="94">
        <v>1992.646784705692</v>
      </c>
      <c r="AK31" s="94">
        <v>96.864261554289413</v>
      </c>
      <c r="AL31" s="94">
        <v>0</v>
      </c>
    </row>
    <row r="32" spans="2:38" ht="31.5" thickBot="1" x14ac:dyDescent="0.4">
      <c r="B32" s="110" t="s">
        <v>198</v>
      </c>
      <c r="C32" s="103" t="str">
        <f t="shared" si="12"/>
        <v>Low water pressure</v>
      </c>
      <c r="D32" s="111">
        <f t="shared" ca="1" si="6"/>
        <v>70.089530944824219</v>
      </c>
      <c r="E32" s="108">
        <f t="shared" ca="1" si="7"/>
        <v>3</v>
      </c>
      <c r="G32" s="95" t="s">
        <v>181</v>
      </c>
      <c r="H32" s="95">
        <v>36.063122450039202</v>
      </c>
      <c r="I32" s="95">
        <v>36.845719937543478</v>
      </c>
      <c r="J32" s="95">
        <v>46.080656463938979</v>
      </c>
      <c r="K32" s="95">
        <v>35.921740395115087</v>
      </c>
      <c r="L32" s="95">
        <v>7.2126244900078404</v>
      </c>
      <c r="M32" s="95">
        <v>63.284249245867215</v>
      </c>
      <c r="N32" s="95">
        <v>70.089530944824219</v>
      </c>
      <c r="O32" s="95">
        <v>32.017981292733644</v>
      </c>
      <c r="P32" s="95">
        <v>36.113127975398548</v>
      </c>
      <c r="Q32" s="95">
        <v>35.969362089990426</v>
      </c>
      <c r="R32" s="95">
        <v>27.077348799974157</v>
      </c>
      <c r="S32" s="95">
        <v>0</v>
      </c>
      <c r="U32" s="110" t="s">
        <v>198</v>
      </c>
      <c r="V32" s="103" t="str">
        <f t="shared" si="10"/>
        <v>Low water pressure</v>
      </c>
      <c r="W32" s="111">
        <f t="shared" ca="1" si="8"/>
        <v>4237.861328125</v>
      </c>
      <c r="X32" s="108">
        <f t="shared" ca="1" si="11"/>
        <v>3</v>
      </c>
      <c r="Z32" s="95" t="s">
        <v>181</v>
      </c>
      <c r="AA32" s="95">
        <v>1088.9269992761444</v>
      </c>
      <c r="AB32" s="95">
        <v>492.00287831508444</v>
      </c>
      <c r="AC32" s="95">
        <v>1451.9026657015261</v>
      </c>
      <c r="AD32" s="95">
        <v>22.552814250436217</v>
      </c>
      <c r="AE32" s="95">
        <v>217.78539985522889</v>
      </c>
      <c r="AF32" s="95">
        <v>3907.5442781416386</v>
      </c>
      <c r="AG32" s="95">
        <v>4237.861328125</v>
      </c>
      <c r="AH32" s="95">
        <v>793.37992943285201</v>
      </c>
      <c r="AI32" s="95">
        <v>1102.6416847877429</v>
      </c>
      <c r="AJ32" s="95">
        <v>1068.3549710087466</v>
      </c>
      <c r="AK32" s="95">
        <v>14.326405010991772</v>
      </c>
      <c r="AL32" s="95">
        <v>0</v>
      </c>
    </row>
    <row r="33" spans="2:38" ht="31.5" thickBot="1" x14ac:dyDescent="0.4">
      <c r="B33" s="110" t="s">
        <v>198</v>
      </c>
      <c r="C33" s="103" t="str">
        <f t="shared" si="12"/>
        <v>Lead pipes</v>
      </c>
      <c r="D33" s="111">
        <f t="shared" ca="1" si="6"/>
        <v>5.445775619538213</v>
      </c>
      <c r="E33" s="108">
        <f t="shared" ca="1" si="7"/>
        <v>1</v>
      </c>
      <c r="G33" s="94" t="s">
        <v>182</v>
      </c>
      <c r="H33" s="94">
        <v>13.304326831287657</v>
      </c>
      <c r="I33" s="94">
        <v>18.838836881839818</v>
      </c>
      <c r="J33" s="94">
        <v>16.852147319631033</v>
      </c>
      <c r="K33" s="94">
        <v>22.494496524379965</v>
      </c>
      <c r="L33" s="94">
        <v>2.6608653662575317</v>
      </c>
      <c r="M33" s="94">
        <v>23.168802629286031</v>
      </c>
      <c r="N33" s="94">
        <v>5.445775619538213</v>
      </c>
      <c r="O33" s="94">
        <v>15.772838974459859</v>
      </c>
      <c r="P33" s="94">
        <v>12.798266236912559</v>
      </c>
      <c r="Q33" s="94">
        <v>14.000160148553416</v>
      </c>
      <c r="R33" s="94">
        <v>16.161447474851247</v>
      </c>
      <c r="S33" s="94">
        <v>0</v>
      </c>
      <c r="U33" s="110" t="s">
        <v>198</v>
      </c>
      <c r="V33" s="103" t="str">
        <f t="shared" si="10"/>
        <v>Lead pipes</v>
      </c>
      <c r="W33" s="111">
        <f t="shared" ca="1" si="8"/>
        <v>63.365269422269094</v>
      </c>
      <c r="X33" s="108">
        <f t="shared" ca="1" si="11"/>
        <v>1</v>
      </c>
      <c r="Z33" s="94" t="s">
        <v>182</v>
      </c>
      <c r="AA33" s="94">
        <v>26.328187080823877</v>
      </c>
      <c r="AB33" s="94">
        <v>22.100607881109163</v>
      </c>
      <c r="AC33" s="94">
        <v>33.850526246773555</v>
      </c>
      <c r="AD33" s="94">
        <v>17.938577768282563</v>
      </c>
      <c r="AE33" s="94">
        <v>5.2656374161647754</v>
      </c>
      <c r="AF33" s="94">
        <v>55.957852953980051</v>
      </c>
      <c r="AG33" s="94">
        <v>63.365269422269094</v>
      </c>
      <c r="AH33" s="94">
        <v>23.554222228729813</v>
      </c>
      <c r="AI33" s="94">
        <v>26.953114325824782</v>
      </c>
      <c r="AJ33" s="94">
        <v>25.54702802457275</v>
      </c>
      <c r="AK33" s="94">
        <v>12.872198014881279</v>
      </c>
      <c r="AL33" s="94">
        <v>0</v>
      </c>
    </row>
    <row r="34" spans="2:38" ht="31" x14ac:dyDescent="0.35">
      <c r="B34" s="110" t="s">
        <v>198</v>
      </c>
      <c r="C34" s="103" t="str">
        <f t="shared" si="12"/>
        <v>Water metering</v>
      </c>
      <c r="D34" s="111">
        <f t="shared" ca="1" si="6"/>
        <v>3.7656683123843675</v>
      </c>
      <c r="E34" s="108">
        <f t="shared" ca="1" si="7"/>
        <v>1</v>
      </c>
      <c r="G34" s="96" t="s">
        <v>183</v>
      </c>
      <c r="H34" s="96">
        <v>8.968990256943778</v>
      </c>
      <c r="I34" s="96">
        <v>10.503285323089735</v>
      </c>
      <c r="J34" s="96">
        <v>8.968990256943778</v>
      </c>
      <c r="K34" s="96">
        <v>10.683629776361881</v>
      </c>
      <c r="L34" s="96">
        <v>3.2113419110378785</v>
      </c>
      <c r="M34" s="96">
        <v>22.98878356367069</v>
      </c>
      <c r="N34" s="96">
        <v>3.7656683123843675</v>
      </c>
      <c r="O34" s="96">
        <v>9.8340292010582857</v>
      </c>
      <c r="P34" s="96">
        <v>7.9441184056504088</v>
      </c>
      <c r="Q34" s="96">
        <v>10.677110009099396</v>
      </c>
      <c r="R34" s="96">
        <v>11.378575962015629</v>
      </c>
      <c r="S34" s="96">
        <v>0</v>
      </c>
      <c r="U34" s="110" t="s">
        <v>198</v>
      </c>
      <c r="V34" s="103" t="str">
        <f t="shared" si="10"/>
        <v>Water metering</v>
      </c>
      <c r="W34" s="111">
        <f t="shared" ca="1" si="8"/>
        <v>0</v>
      </c>
      <c r="X34" s="108">
        <f t="shared" ca="1" si="11"/>
        <v>1</v>
      </c>
      <c r="Z34" s="96" t="s">
        <v>183</v>
      </c>
      <c r="AA34" s="96">
        <v>0</v>
      </c>
      <c r="AB34" s="96">
        <v>0</v>
      </c>
      <c r="AC34" s="96">
        <v>0</v>
      </c>
      <c r="AD34" s="96">
        <v>0</v>
      </c>
      <c r="AE34" s="96">
        <v>0</v>
      </c>
      <c r="AF34" s="96">
        <v>0</v>
      </c>
      <c r="AG34" s="96">
        <v>0</v>
      </c>
      <c r="AH34" s="96">
        <v>0</v>
      </c>
      <c r="AI34" s="96">
        <v>0</v>
      </c>
      <c r="AJ34" s="96">
        <v>0</v>
      </c>
      <c r="AK34" s="96">
        <v>0</v>
      </c>
      <c r="AL34" s="96">
        <v>0</v>
      </c>
    </row>
    <row r="35" spans="2:38" ht="31" x14ac:dyDescent="0.35">
      <c r="B35" s="110" t="s">
        <v>198</v>
      </c>
      <c r="C35" s="103" t="str">
        <f t="shared" si="12"/>
        <v>Customer service</v>
      </c>
      <c r="D35" s="111">
        <f t="shared" ca="1" si="6"/>
        <v>0</v>
      </c>
      <c r="E35" s="108">
        <f t="shared" ca="1" si="7"/>
        <v>1</v>
      </c>
      <c r="G35" s="97" t="s">
        <v>184</v>
      </c>
      <c r="H35" s="97">
        <v>0</v>
      </c>
      <c r="I35" s="97">
        <v>0</v>
      </c>
      <c r="J35" s="97">
        <v>0</v>
      </c>
      <c r="K35" s="97">
        <v>0</v>
      </c>
      <c r="L35" s="97">
        <v>0</v>
      </c>
      <c r="M35" s="97">
        <v>0</v>
      </c>
      <c r="N35" s="97">
        <v>0</v>
      </c>
      <c r="O35" s="97">
        <v>0</v>
      </c>
      <c r="P35" s="97">
        <v>0</v>
      </c>
      <c r="Q35" s="97">
        <v>0</v>
      </c>
      <c r="R35" s="97">
        <v>0</v>
      </c>
      <c r="S35" s="97">
        <v>0</v>
      </c>
      <c r="U35" s="110" t="s">
        <v>198</v>
      </c>
      <c r="V35" s="103" t="str">
        <f t="shared" si="10"/>
        <v>Customer service</v>
      </c>
      <c r="W35" s="111">
        <f t="shared" ca="1" si="8"/>
        <v>0</v>
      </c>
      <c r="X35" s="108">
        <f t="shared" ca="1" si="11"/>
        <v>1</v>
      </c>
      <c r="Z35" s="97" t="s">
        <v>184</v>
      </c>
      <c r="AA35" s="97">
        <v>0</v>
      </c>
      <c r="AB35" s="97">
        <v>0</v>
      </c>
      <c r="AC35" s="97">
        <v>0</v>
      </c>
      <c r="AD35" s="97">
        <v>0</v>
      </c>
      <c r="AE35" s="97">
        <v>0</v>
      </c>
      <c r="AF35" s="97">
        <v>0</v>
      </c>
      <c r="AG35" s="97">
        <v>0</v>
      </c>
      <c r="AH35" s="97">
        <v>0</v>
      </c>
      <c r="AI35" s="97">
        <v>0</v>
      </c>
      <c r="AJ35" s="97">
        <v>0</v>
      </c>
      <c r="AK35" s="97">
        <v>0</v>
      </c>
      <c r="AL35" s="97">
        <v>0</v>
      </c>
    </row>
    <row r="36" spans="2:38" ht="31.5" thickBot="1" x14ac:dyDescent="0.4">
      <c r="B36" s="110" t="s">
        <v>199</v>
      </c>
      <c r="C36" s="103" t="str">
        <f t="shared" si="12"/>
        <v>Temporary use ban</v>
      </c>
      <c r="D36" s="111">
        <f t="shared" ca="1" si="6"/>
        <v>1.2068446159362793</v>
      </c>
      <c r="E36" s="108">
        <f t="shared" ca="1" si="7"/>
        <v>1</v>
      </c>
      <c r="G36" s="98" t="s">
        <v>185</v>
      </c>
      <c r="H36" s="98">
        <v>328099.43809182022</v>
      </c>
      <c r="I36" s="98">
        <v>319445.57426533446</v>
      </c>
      <c r="J36" s="98">
        <v>415592.62158297224</v>
      </c>
      <c r="K36" s="98">
        <v>288621.41244164214</v>
      </c>
      <c r="L36" s="98">
        <v>65619.887618364053</v>
      </c>
      <c r="M36" s="98">
        <v>586433.19888781896</v>
      </c>
      <c r="N36" s="98">
        <v>651016.63908681867</v>
      </c>
      <c r="O36" s="98">
        <v>335946.12348360528</v>
      </c>
      <c r="P36" s="98">
        <v>333150.39123749291</v>
      </c>
      <c r="Q36" s="98">
        <v>321154.37751652021</v>
      </c>
      <c r="R36" s="98">
        <v>221211.83033861968</v>
      </c>
      <c r="S36" s="98">
        <v>0</v>
      </c>
      <c r="U36" s="110" t="s">
        <v>199</v>
      </c>
      <c r="V36" s="103" t="str">
        <f t="shared" si="10"/>
        <v>Temporary use ban</v>
      </c>
      <c r="W36" s="111">
        <f t="shared" ca="1" si="8"/>
        <v>33.825552368164075</v>
      </c>
      <c r="X36" s="108">
        <f t="shared" ca="1" si="11"/>
        <v>1</v>
      </c>
      <c r="Z36" s="98" t="s">
        <v>185</v>
      </c>
      <c r="AA36" s="98">
        <v>403267.61681808537</v>
      </c>
      <c r="AB36" s="98">
        <v>323843.42476409051</v>
      </c>
      <c r="AC36" s="98">
        <v>510805.64796957478</v>
      </c>
      <c r="AD36" s="98">
        <v>277762.42349215323</v>
      </c>
      <c r="AE36" s="98">
        <v>80653.523363617074</v>
      </c>
      <c r="AF36" s="98">
        <v>892142.05489682057</v>
      </c>
      <c r="AG36" s="98">
        <v>1014360.6644165043</v>
      </c>
      <c r="AH36" s="98">
        <v>395764.35014722834</v>
      </c>
      <c r="AI36" s="98">
        <v>435025.05178996269</v>
      </c>
      <c r="AJ36" s="98">
        <v>359601.14373175404</v>
      </c>
      <c r="AK36" s="98">
        <v>185647.73546514008</v>
      </c>
      <c r="AL36" s="98">
        <v>0</v>
      </c>
    </row>
    <row r="37" spans="2:38" ht="31.5" thickBot="1" x14ac:dyDescent="0.4">
      <c r="B37" s="110" t="s">
        <v>199</v>
      </c>
      <c r="C37" s="103" t="str">
        <f t="shared" si="12"/>
        <v>Leakage</v>
      </c>
      <c r="D37" s="111">
        <f t="shared" ca="1" si="6"/>
        <v>1.6025620971661683E-2</v>
      </c>
      <c r="E37" s="108">
        <f t="shared" ca="1" si="7"/>
        <v>1</v>
      </c>
      <c r="G37" s="95" t="s">
        <v>186</v>
      </c>
      <c r="H37" s="95">
        <v>65426.556323929632</v>
      </c>
      <c r="I37" s="95">
        <v>44557.546772934147</v>
      </c>
      <c r="J37" s="95">
        <v>26116.517043231339</v>
      </c>
      <c r="K37" s="95">
        <v>31566.392555913699</v>
      </c>
      <c r="L37" s="95">
        <v>19103.393696865918</v>
      </c>
      <c r="M37" s="95">
        <v>208829.90952203574</v>
      </c>
      <c r="N37" s="95">
        <v>8644.8129000902627</v>
      </c>
      <c r="O37" s="95">
        <v>50118.739160785597</v>
      </c>
      <c r="P37" s="95">
        <v>59451.00077487091</v>
      </c>
      <c r="Q37" s="95">
        <v>77377.66742204706</v>
      </c>
      <c r="R37" s="95">
        <v>80428.184059676321</v>
      </c>
      <c r="S37" s="95">
        <v>244680.74782156225</v>
      </c>
      <c r="U37" s="110" t="s">
        <v>199</v>
      </c>
      <c r="V37" s="103" t="str">
        <f t="shared" si="10"/>
        <v>Leakage</v>
      </c>
      <c r="W37" s="111">
        <f t="shared" ca="1" si="8"/>
        <v>6.1519976617540157</v>
      </c>
      <c r="X37" s="108">
        <f t="shared" ca="1" si="11"/>
        <v>1</v>
      </c>
      <c r="Z37" s="95" t="s">
        <v>186</v>
      </c>
      <c r="AA37" s="95">
        <v>82520.393738162325</v>
      </c>
      <c r="AB37" s="95">
        <v>64532.459439011967</v>
      </c>
      <c r="AC37" s="95">
        <v>94190.644861726192</v>
      </c>
      <c r="AD37" s="95">
        <v>48119.050052727507</v>
      </c>
      <c r="AE37" s="95">
        <v>16504.078747632466</v>
      </c>
      <c r="AF37" s="95">
        <v>164092.96345217602</v>
      </c>
      <c r="AG37" s="95">
        <v>184486.10588067942</v>
      </c>
      <c r="AH37" s="95">
        <v>70867.526376563212</v>
      </c>
      <c r="AI37" s="95">
        <v>78036.585553544413</v>
      </c>
      <c r="AJ37" s="95">
        <v>89246.106015089143</v>
      </c>
      <c r="AK37" s="95">
        <v>50522.793980053037</v>
      </c>
      <c r="AL37" s="95">
        <v>59387.050459338279</v>
      </c>
    </row>
    <row r="38" spans="2:38" ht="31.5" thickBot="1" x14ac:dyDescent="0.4">
      <c r="B38" s="110" t="s">
        <v>199</v>
      </c>
      <c r="C38" s="103" t="str">
        <f t="shared" si="12"/>
        <v>Protecting wildlife habitats</v>
      </c>
      <c r="D38" s="111">
        <f t="shared" ca="1" si="6"/>
        <v>4.2023814120163141E-3</v>
      </c>
      <c r="E38" s="108">
        <f t="shared" ca="1" si="7"/>
        <v>1</v>
      </c>
      <c r="G38" s="94" t="s">
        <v>187</v>
      </c>
      <c r="H38" s="94">
        <v>5684.7330277583233</v>
      </c>
      <c r="I38" s="94">
        <v>7302.4944734515384</v>
      </c>
      <c r="J38" s="94">
        <v>6829.2777832629563</v>
      </c>
      <c r="K38" s="94">
        <v>8824.4650207691157</v>
      </c>
      <c r="L38" s="94">
        <v>1136.9466055516648</v>
      </c>
      <c r="M38" s="94">
        <v>19599.573487923502</v>
      </c>
      <c r="N38" s="94">
        <v>2266.9200217538446</v>
      </c>
      <c r="O38" s="94">
        <v>7148.6233059073556</v>
      </c>
      <c r="P38" s="94">
        <v>6225.4791421639529</v>
      </c>
      <c r="Q38" s="94">
        <v>4601.444246330967</v>
      </c>
      <c r="R38" s="94">
        <v>6553.9000737025517</v>
      </c>
      <c r="S38" s="94">
        <v>1383.1925071747357</v>
      </c>
      <c r="U38" s="110" t="s">
        <v>199</v>
      </c>
      <c r="V38" s="103" t="str">
        <f t="shared" si="10"/>
        <v>Protecting wildlife habitats</v>
      </c>
      <c r="W38" s="111">
        <f t="shared" ca="1" si="8"/>
        <v>0.78880745340867964</v>
      </c>
      <c r="X38" s="108">
        <f t="shared" ca="1" si="11"/>
        <v>1</v>
      </c>
      <c r="Z38" s="94" t="s">
        <v>187</v>
      </c>
      <c r="AA38" s="94">
        <v>8450.9570195030774</v>
      </c>
      <c r="AB38" s="94">
        <v>7053.0046479345265</v>
      </c>
      <c r="AC38" s="94">
        <v>10792.893578557987</v>
      </c>
      <c r="AD38" s="94">
        <v>6605.3374929610882</v>
      </c>
      <c r="AE38" s="94">
        <v>1690.1914039006156</v>
      </c>
      <c r="AF38" s="94">
        <v>20613.997734156204</v>
      </c>
      <c r="AG38" s="94">
        <v>23654.757912819485</v>
      </c>
      <c r="AH38" s="94">
        <v>8519.7191878193444</v>
      </c>
      <c r="AI38" s="94">
        <v>8492.7881418496399</v>
      </c>
      <c r="AJ38" s="94">
        <v>8015.0874591435049</v>
      </c>
      <c r="AK38" s="94">
        <v>4440.4137853263128</v>
      </c>
      <c r="AL38" s="94">
        <v>24.981758631760155</v>
      </c>
    </row>
    <row r="39" spans="2:38" x14ac:dyDescent="0.35">
      <c r="G39" s="7"/>
      <c r="H39" s="13"/>
      <c r="I39" s="13"/>
      <c r="J39" s="13"/>
      <c r="K39" s="13"/>
      <c r="L39" s="13"/>
      <c r="M39" s="13"/>
      <c r="N39" s="13"/>
      <c r="O39" s="13"/>
      <c r="P39" s="13"/>
      <c r="Q39" s="13"/>
      <c r="R39" s="13"/>
      <c r="S39" s="13"/>
      <c r="Z39" s="7"/>
      <c r="AA39" s="13"/>
      <c r="AB39" s="13"/>
      <c r="AC39" s="13"/>
      <c r="AD39" s="13"/>
      <c r="AE39" s="13"/>
      <c r="AF39" s="13"/>
      <c r="AG39" s="13"/>
      <c r="AH39" s="13"/>
      <c r="AI39" s="13"/>
      <c r="AJ39" s="13"/>
      <c r="AK39" s="13"/>
      <c r="AL39" s="13"/>
    </row>
    <row r="40" spans="2:38" x14ac:dyDescent="0.35">
      <c r="G40" s="99" t="s">
        <v>188</v>
      </c>
      <c r="H40" s="100">
        <v>1005208.5511884175</v>
      </c>
      <c r="I40" s="100">
        <v>567363.16395197879</v>
      </c>
      <c r="J40" s="100">
        <v>1005208.5511884175</v>
      </c>
      <c r="K40" s="100">
        <v>365705.81744177081</v>
      </c>
      <c r="L40" s="100">
        <v>273542.04303768347</v>
      </c>
      <c r="M40" s="100">
        <v>1775840.5180935189</v>
      </c>
      <c r="N40" s="100">
        <v>1968498.5098197942</v>
      </c>
      <c r="O40" s="100">
        <v>852450.60325274942</v>
      </c>
      <c r="P40" s="100">
        <v>991292.31591900066</v>
      </c>
      <c r="Q40" s="100">
        <v>1029561.9629098971</v>
      </c>
      <c r="R40" s="100">
        <v>265741.35941874504</v>
      </c>
      <c r="S40" s="100">
        <v>0</v>
      </c>
      <c r="Z40" s="99" t="s">
        <v>188</v>
      </c>
      <c r="AA40" s="100">
        <v>3952546.090307917</v>
      </c>
      <c r="AB40" s="100">
        <v>1905781.9485316703</v>
      </c>
      <c r="AC40" s="100">
        <v>3952546.090307917</v>
      </c>
      <c r="AD40" s="100">
        <v>552581.03986884013</v>
      </c>
      <c r="AE40" s="100">
        <v>1045229.6891015834</v>
      </c>
      <c r="AF40" s="100">
        <v>7409164.212280334</v>
      </c>
      <c r="AG40" s="100">
        <v>8273318.7427734379</v>
      </c>
      <c r="AH40" s="100">
        <v>2959637.5721979444</v>
      </c>
      <c r="AI40" s="100">
        <v>3756366.9043200305</v>
      </c>
      <c r="AJ40" s="100">
        <v>4295859.6657867189</v>
      </c>
      <c r="AK40" s="100">
        <v>465437.46317877364</v>
      </c>
      <c r="AL40" s="100">
        <v>0</v>
      </c>
    </row>
    <row r="41" spans="2:38" x14ac:dyDescent="0.35">
      <c r="G41" s="101" t="s">
        <v>189</v>
      </c>
      <c r="H41" s="102">
        <v>3335.7616640093811</v>
      </c>
      <c r="I41" s="102">
        <v>4004.8337685086822</v>
      </c>
      <c r="J41" s="102">
        <v>3335.7616640093811</v>
      </c>
      <c r="K41" s="102">
        <v>4558.570603768283</v>
      </c>
      <c r="L41" s="102">
        <v>1665.3681588213972</v>
      </c>
      <c r="M41" s="102">
        <v>6314.8834458406718</v>
      </c>
      <c r="N41" s="102">
        <v>1433.9100780421329</v>
      </c>
      <c r="O41" s="102">
        <v>3863.4173452958294</v>
      </c>
      <c r="P41" s="102">
        <v>3363.5553696812603</v>
      </c>
      <c r="Q41" s="102">
        <v>3298.7033897802085</v>
      </c>
      <c r="R41" s="102">
        <v>4413.028133493156</v>
      </c>
      <c r="S41" s="102">
        <v>0</v>
      </c>
      <c r="Z41" s="101" t="s">
        <v>189</v>
      </c>
      <c r="AA41" s="102">
        <v>11467.256928538485</v>
      </c>
      <c r="AB41" s="102">
        <v>7395.4709527938521</v>
      </c>
      <c r="AC41" s="102">
        <v>11467.256928538485</v>
      </c>
      <c r="AD41" s="102">
        <v>4842.2398131655091</v>
      </c>
      <c r="AE41" s="102">
        <v>5003.5664857309812</v>
      </c>
      <c r="AF41" s="102">
        <v>21392.909312021107</v>
      </c>
      <c r="AG41" s="102">
        <v>23874.322407891763</v>
      </c>
      <c r="AH41" s="102">
        <v>8763.9597997277524</v>
      </c>
      <c r="AI41" s="102">
        <v>11496.174624119607</v>
      </c>
      <c r="AJ41" s="102">
        <v>11428.700001096993</v>
      </c>
      <c r="AK41" s="102">
        <v>5003.8615840695538</v>
      </c>
      <c r="AL41" s="102">
        <v>0</v>
      </c>
    </row>
    <row r="42" spans="2:38" x14ac:dyDescent="0.35">
      <c r="G42" s="99" t="s">
        <v>190</v>
      </c>
      <c r="H42" s="100">
        <v>672.10315628825492</v>
      </c>
      <c r="I42" s="100">
        <v>672.10315628825492</v>
      </c>
      <c r="J42" s="100">
        <v>672.10315628825492</v>
      </c>
      <c r="K42" s="100">
        <v>664.44094429472784</v>
      </c>
      <c r="L42" s="100">
        <v>406.50008741003899</v>
      </c>
      <c r="M42" s="100">
        <v>749.2310202987469</v>
      </c>
      <c r="N42" s="100"/>
      <c r="O42" s="100">
        <v>718.49788164543497</v>
      </c>
      <c r="P42" s="100">
        <v>623.89824128169744</v>
      </c>
      <c r="Q42" s="100">
        <v>768.51298630136989</v>
      </c>
      <c r="R42" s="100">
        <v>672.10315628825492</v>
      </c>
      <c r="S42" s="100">
        <v>0</v>
      </c>
      <c r="Z42" s="99" t="s">
        <v>190</v>
      </c>
      <c r="AA42" s="100">
        <v>790.8630239888322</v>
      </c>
      <c r="AB42" s="100">
        <v>790.8630239888322</v>
      </c>
      <c r="AC42" s="100">
        <v>790.8630239888322</v>
      </c>
      <c r="AD42" s="100">
        <v>894.44430089639798</v>
      </c>
      <c r="AE42" s="100">
        <v>415.355202673468</v>
      </c>
      <c r="AF42" s="100">
        <v>1370.9181746711997</v>
      </c>
      <c r="AG42" s="100"/>
      <c r="AH42" s="100">
        <v>989.93864315502651</v>
      </c>
      <c r="AI42" s="100">
        <v>822.82354420242666</v>
      </c>
      <c r="AJ42" s="100">
        <v>726.94198356164395</v>
      </c>
      <c r="AK42" s="100">
        <v>790.8630239888322</v>
      </c>
      <c r="AL42" s="100">
        <v>0</v>
      </c>
    </row>
    <row r="43" spans="2:38" x14ac:dyDescent="0.35">
      <c r="G43" s="101" t="s">
        <v>191</v>
      </c>
      <c r="H43" s="102">
        <v>85.822087531625911</v>
      </c>
      <c r="I43" s="102">
        <v>79.349764871732461</v>
      </c>
      <c r="J43" s="102">
        <v>90.870445621721558</v>
      </c>
      <c r="K43" s="102">
        <v>83.175615208530061</v>
      </c>
      <c r="L43" s="102">
        <v>17.164417506325183</v>
      </c>
      <c r="M43" s="102">
        <v>130.12527328637006</v>
      </c>
      <c r="N43" s="102">
        <v>134.23005676269531</v>
      </c>
      <c r="O43" s="102">
        <v>82.043718243327092</v>
      </c>
      <c r="P43" s="102">
        <v>78.142735576017557</v>
      </c>
      <c r="Q43" s="102">
        <v>101.18079144284259</v>
      </c>
      <c r="R43" s="102">
        <v>71.49304603331008</v>
      </c>
      <c r="S43" s="102">
        <v>0</v>
      </c>
      <c r="Z43" s="101" t="s">
        <v>191</v>
      </c>
      <c r="AA43" s="102">
        <v>1749.8856613397638</v>
      </c>
      <c r="AB43" s="102">
        <v>717.25002340797766</v>
      </c>
      <c r="AC43" s="102">
        <v>1866.5447054290814</v>
      </c>
      <c r="AD43" s="102">
        <v>95.224243511059797</v>
      </c>
      <c r="AE43" s="102">
        <v>349.97713226795281</v>
      </c>
      <c r="AF43" s="102">
        <v>4782.0443197679524</v>
      </c>
      <c r="AG43" s="102">
        <v>5540.083984375</v>
      </c>
      <c r="AH43" s="102">
        <v>1170.9724648339138</v>
      </c>
      <c r="AI43" s="102">
        <v>1649.6391124759698</v>
      </c>
      <c r="AJ43" s="102">
        <v>1916.9632427794204</v>
      </c>
      <c r="AK43" s="102">
        <v>89.141277918886004</v>
      </c>
      <c r="AL43" s="102">
        <v>0</v>
      </c>
    </row>
    <row r="44" spans="2:38" ht="15" thickBot="1" x14ac:dyDescent="0.4">
      <c r="G44" s="7"/>
      <c r="H44" s="7"/>
      <c r="I44" s="7"/>
      <c r="J44" s="7"/>
      <c r="K44" s="7"/>
      <c r="L44" s="7"/>
      <c r="M44" s="7"/>
      <c r="N44" s="7"/>
      <c r="O44" s="7"/>
      <c r="P44" s="7"/>
      <c r="Q44" s="7"/>
      <c r="R44" s="7"/>
      <c r="S44" s="7"/>
      <c r="Z44" s="7"/>
      <c r="AA44" s="7"/>
      <c r="AB44" s="7"/>
      <c r="AC44" s="7"/>
      <c r="AD44" s="7"/>
      <c r="AE44" s="7"/>
      <c r="AF44" s="7"/>
    </row>
    <row r="45" spans="2:38" ht="78" thickBot="1" x14ac:dyDescent="0.4">
      <c r="B45" s="109" t="s">
        <v>197</v>
      </c>
      <c r="C45" s="7"/>
      <c r="D45" s="47" t="s">
        <v>69</v>
      </c>
      <c r="E45" s="48" t="s">
        <v>70</v>
      </c>
      <c r="G45" s="92" t="s">
        <v>192</v>
      </c>
      <c r="H45" s="93" t="s">
        <v>170</v>
      </c>
      <c r="I45" s="93" t="s">
        <v>171</v>
      </c>
      <c r="J45" s="93" t="s">
        <v>172</v>
      </c>
      <c r="K45" s="93" t="s">
        <v>173</v>
      </c>
      <c r="L45" s="93" t="s">
        <v>174</v>
      </c>
      <c r="M45" s="93" t="s">
        <v>175</v>
      </c>
      <c r="N45" s="93" t="s">
        <v>224</v>
      </c>
      <c r="O45" s="93" t="s">
        <v>225</v>
      </c>
      <c r="P45" s="93" t="s">
        <v>226</v>
      </c>
      <c r="Q45" s="93" t="s">
        <v>227</v>
      </c>
      <c r="R45" s="93" t="s">
        <v>228</v>
      </c>
      <c r="S45" s="93" t="s">
        <v>229</v>
      </c>
      <c r="U45" s="109" t="s">
        <v>197</v>
      </c>
      <c r="V45" s="7"/>
      <c r="W45" s="47"/>
      <c r="X45" s="48" t="s">
        <v>70</v>
      </c>
      <c r="Z45" s="92" t="s">
        <v>192</v>
      </c>
      <c r="AA45" s="93" t="s">
        <v>170</v>
      </c>
      <c r="AB45" s="93" t="s">
        <v>171</v>
      </c>
      <c r="AC45" s="93" t="s">
        <v>172</v>
      </c>
      <c r="AD45" s="93" t="s">
        <v>173</v>
      </c>
      <c r="AE45" s="93" t="s">
        <v>174</v>
      </c>
      <c r="AF45" s="93" t="s">
        <v>175</v>
      </c>
      <c r="AG45" s="93" t="s">
        <v>224</v>
      </c>
      <c r="AH45" s="93" t="s">
        <v>225</v>
      </c>
      <c r="AI45" s="93" t="s">
        <v>226</v>
      </c>
      <c r="AJ45" s="93" t="s">
        <v>227</v>
      </c>
      <c r="AK45" s="93" t="s">
        <v>228</v>
      </c>
      <c r="AL45" s="93" t="s">
        <v>229</v>
      </c>
    </row>
    <row r="46" spans="2:38" ht="32" thickTop="1" thickBot="1" x14ac:dyDescent="0.4">
      <c r="B46" s="110" t="s">
        <v>198</v>
      </c>
      <c r="C46" s="103" t="str">
        <f>TRIM(MID(G46,1,FIND(" (",G46)))</f>
        <v>Water not safe to drink</v>
      </c>
      <c r="D46" s="111">
        <f t="shared" ref="D46:D57" ca="1" si="13">OFFSET($H46,0,$B$6-1)/IF($B46="Y",$C$4,1)</f>
        <v>210.8970947265625</v>
      </c>
      <c r="E46" s="108">
        <f t="shared" ref="E46:E57" ca="1" si="14">MAX(MIN(ROUND(10*D46/MAX($D$45:$D$57),0),10),1)</f>
        <v>10</v>
      </c>
      <c r="G46" s="94" t="s">
        <v>176</v>
      </c>
      <c r="H46" s="94">
        <v>25481.516128957282</v>
      </c>
      <c r="I46" s="94">
        <v>9769.1573542537462</v>
      </c>
      <c r="J46" s="94">
        <v>599.2713288894854</v>
      </c>
      <c r="K46" s="94">
        <v>976.47161979342559</v>
      </c>
      <c r="L46" s="94">
        <v>5109.3085601627263</v>
      </c>
      <c r="M46" s="94">
        <v>110081.14844918781</v>
      </c>
      <c r="N46" s="94">
        <v>210.8970947265625</v>
      </c>
      <c r="O46" s="94">
        <v>16441.821509133079</v>
      </c>
      <c r="P46" s="94">
        <v>20778.121942320042</v>
      </c>
      <c r="Q46" s="94">
        <v>33124.531682242807</v>
      </c>
      <c r="R46" s="94">
        <v>33380.295652352601</v>
      </c>
      <c r="S46" s="94">
        <v>131231.05652924543</v>
      </c>
      <c r="U46" s="110" t="s">
        <v>198</v>
      </c>
      <c r="V46" s="103" t="str">
        <f>TRIM(MID(Z46,1,FIND(" (",Z46)))</f>
        <v>Water not safe to drink</v>
      </c>
      <c r="W46" s="111">
        <f t="shared" ref="W46:W57" ca="1" si="15">OFFSET($AA46,0,$B$6-1)/IF($U46="Y",$V$4,1)</f>
        <v>14669.2265625</v>
      </c>
      <c r="X46" s="108">
        <f t="shared" ref="X46" ca="1" si="16">MAX(MIN(ROUND(10*W46/MAX($W$46:$W$57),0),10),1)</f>
        <v>10</v>
      </c>
      <c r="Z46" s="94" t="s">
        <v>176</v>
      </c>
      <c r="AA46" s="94">
        <v>6972.4197788726624</v>
      </c>
      <c r="AB46" s="94">
        <v>3910.3523327446019</v>
      </c>
      <c r="AC46" s="94">
        <v>7040.583106564728</v>
      </c>
      <c r="AD46" s="94">
        <v>1273.11672091428</v>
      </c>
      <c r="AE46" s="94">
        <v>1492.6532007621847</v>
      </c>
      <c r="AF46" s="94">
        <v>13129.865205774533</v>
      </c>
      <c r="AG46" s="94">
        <v>14669.2265625</v>
      </c>
      <c r="AH46" s="94">
        <v>5578.5766405342365</v>
      </c>
      <c r="AI46" s="94">
        <v>6706.9445517095701</v>
      </c>
      <c r="AJ46" s="94">
        <v>7370.6326196172995</v>
      </c>
      <c r="AK46" s="94">
        <v>3361.4814570795215</v>
      </c>
      <c r="AL46" s="94">
        <v>6784.9706277194809</v>
      </c>
    </row>
    <row r="47" spans="2:38" ht="31.5" thickBot="1" x14ac:dyDescent="0.4">
      <c r="B47" s="110" t="s">
        <v>198</v>
      </c>
      <c r="C47" s="103" t="str">
        <f>TRIM(MID(G47,1,FIND(" (",G47)))</f>
        <v>Flooding from a burst pipe</v>
      </c>
      <c r="D47" s="111">
        <f t="shared" ca="1" si="13"/>
        <v>123.05049935901012</v>
      </c>
      <c r="E47" s="108">
        <f t="shared" ca="1" si="14"/>
        <v>6</v>
      </c>
      <c r="G47" s="95" t="s">
        <v>177</v>
      </c>
      <c r="H47" s="95">
        <v>31302.052369317589</v>
      </c>
      <c r="I47" s="95">
        <v>12657.454288482491</v>
      </c>
      <c r="J47" s="95">
        <v>368.4896081203263</v>
      </c>
      <c r="K47" s="95">
        <v>498.22212970715793</v>
      </c>
      <c r="L47" s="95">
        <v>6346.0720210837471</v>
      </c>
      <c r="M47" s="95">
        <v>117916.02810066995</v>
      </c>
      <c r="N47" s="95">
        <v>123.05049935901012</v>
      </c>
      <c r="O47" s="95">
        <v>19219.799183109859</v>
      </c>
      <c r="P47" s="95">
        <v>28198.333264829511</v>
      </c>
      <c r="Q47" s="95">
        <v>35181.70124992769</v>
      </c>
      <c r="R47" s="95">
        <v>43295.204901250414</v>
      </c>
      <c r="S47" s="95">
        <v>139569.52203350802</v>
      </c>
      <c r="U47" s="110" t="s">
        <v>198</v>
      </c>
      <c r="V47" s="103" t="str">
        <f t="shared" ref="V47:V57" si="17">TRIM(MID(Z47,1,FIND(" (",Z47)))</f>
        <v>Flooding from a burst pipe</v>
      </c>
      <c r="W47" s="111">
        <f t="shared" ca="1" si="15"/>
        <v>5562.2743548111539</v>
      </c>
      <c r="X47" s="108">
        <f t="shared" ref="X47:X57" ca="1" si="18">MAX(MIN(ROUND(10*W47/MAX($W$46:$W$57),0),10),1)</f>
        <v>4</v>
      </c>
      <c r="Z47" s="95" t="s">
        <v>177</v>
      </c>
      <c r="AA47" s="95">
        <v>3220.7143209952542</v>
      </c>
      <c r="AB47" s="95">
        <v>2599.4016658265969</v>
      </c>
      <c r="AC47" s="95">
        <v>3659.6010850970242</v>
      </c>
      <c r="AD47" s="95">
        <v>1766.7958413027288</v>
      </c>
      <c r="AE47" s="95">
        <v>681.15052342895422</v>
      </c>
      <c r="AF47" s="95">
        <v>5093.962348047974</v>
      </c>
      <c r="AG47" s="95">
        <v>5562.2743548111539</v>
      </c>
      <c r="AH47" s="95">
        <v>2750.1668894260547</v>
      </c>
      <c r="AI47" s="95">
        <v>3166.7232298266836</v>
      </c>
      <c r="AJ47" s="95">
        <v>3292.7024425533477</v>
      </c>
      <c r="AK47" s="95">
        <v>2019.8942545652915</v>
      </c>
      <c r="AL47" s="95">
        <v>2123.4974107408293</v>
      </c>
    </row>
    <row r="48" spans="2:38" ht="47" thickBot="1" x14ac:dyDescent="0.4">
      <c r="B48" s="110" t="s">
        <v>198</v>
      </c>
      <c r="C48" s="103" t="str">
        <f t="shared" ref="C48:C57" si="19">TRIM(MID(G48,1,FIND(" (",G48)))</f>
        <v>Unexpected temporary loss of water supply</v>
      </c>
      <c r="D48" s="111">
        <f t="shared" ca="1" si="13"/>
        <v>171.9460754394531</v>
      </c>
      <c r="E48" s="108">
        <f t="shared" ca="1" si="14"/>
        <v>8</v>
      </c>
      <c r="G48" s="94" t="s">
        <v>178</v>
      </c>
      <c r="H48" s="94">
        <v>124.28472217011971</v>
      </c>
      <c r="I48" s="94">
        <v>142.53663276081812</v>
      </c>
      <c r="J48" s="94">
        <v>156.99122800436172</v>
      </c>
      <c r="K48" s="94">
        <v>180.30434449701508</v>
      </c>
      <c r="L48" s="94">
        <v>24.856944434023944</v>
      </c>
      <c r="M48" s="94">
        <v>535.22905327574733</v>
      </c>
      <c r="N48" s="94">
        <v>171.9460754394531</v>
      </c>
      <c r="O48" s="94">
        <v>114.31376905684493</v>
      </c>
      <c r="P48" s="94">
        <v>155.92578421795631</v>
      </c>
      <c r="Q48" s="94">
        <v>61.002598074446496</v>
      </c>
      <c r="R48" s="94">
        <v>114.44295989581296</v>
      </c>
      <c r="S48" s="94">
        <v>0</v>
      </c>
      <c r="U48" s="110" t="s">
        <v>198</v>
      </c>
      <c r="V48" s="103" t="str">
        <f t="shared" si="17"/>
        <v>Unexpected temporary loss of water supply</v>
      </c>
      <c r="W48" s="111">
        <f t="shared" ca="1" si="15"/>
        <v>10708.5107421875</v>
      </c>
      <c r="X48" s="108">
        <f t="shared" ca="1" si="18"/>
        <v>7</v>
      </c>
      <c r="Z48" s="94" t="s">
        <v>178</v>
      </c>
      <c r="AA48" s="94">
        <v>3802.8500319821865</v>
      </c>
      <c r="AB48" s="94">
        <v>2157.9686678912108</v>
      </c>
      <c r="AC48" s="94">
        <v>5531.4182283377258</v>
      </c>
      <c r="AD48" s="94">
        <v>372.6647434935719</v>
      </c>
      <c r="AE48" s="94">
        <v>760.57000639643729</v>
      </c>
      <c r="AF48" s="94">
        <v>13733.82868334287</v>
      </c>
      <c r="AG48" s="94">
        <v>10708.5107421875</v>
      </c>
      <c r="AH48" s="94">
        <v>3132.8942398108052</v>
      </c>
      <c r="AI48" s="94">
        <v>3927.6333502193584</v>
      </c>
      <c r="AJ48" s="94">
        <v>3594.8778349202325</v>
      </c>
      <c r="AK48" s="94">
        <v>163.18038152563105</v>
      </c>
      <c r="AL48" s="94">
        <v>0</v>
      </c>
    </row>
    <row r="49" spans="2:38" ht="31.5" thickBot="1" x14ac:dyDescent="0.4">
      <c r="B49" s="110" t="s">
        <v>198</v>
      </c>
      <c r="C49" s="103" t="str">
        <f t="shared" si="19"/>
        <v>Water hardness</v>
      </c>
      <c r="D49" s="111">
        <f t="shared" ca="1" si="13"/>
        <v>35.745308575265838</v>
      </c>
      <c r="E49" s="108">
        <f t="shared" ca="1" si="14"/>
        <v>2</v>
      </c>
      <c r="G49" s="95" t="s">
        <v>179</v>
      </c>
      <c r="H49" s="95">
        <v>928.2785356721389</v>
      </c>
      <c r="I49" s="95">
        <v>447.78124498565575</v>
      </c>
      <c r="J49" s="95">
        <v>112.80563368108902</v>
      </c>
      <c r="K49" s="95">
        <v>146.90510905989854</v>
      </c>
      <c r="L49" s="95">
        <v>190.20786793844789</v>
      </c>
      <c r="M49" s="95">
        <v>3374.6972416452891</v>
      </c>
      <c r="N49" s="95">
        <v>35.745308575265838</v>
      </c>
      <c r="O49" s="95">
        <v>584.20537427174679</v>
      </c>
      <c r="P49" s="95">
        <v>813.45776640031806</v>
      </c>
      <c r="Q49" s="95">
        <v>1086.1570934208928</v>
      </c>
      <c r="R49" s="95">
        <v>1247.3718459850909</v>
      </c>
      <c r="S49" s="95">
        <v>3986.3019181385762</v>
      </c>
      <c r="U49" s="110" t="s">
        <v>198</v>
      </c>
      <c r="V49" s="103" t="str">
        <f t="shared" si="17"/>
        <v>Water hardness</v>
      </c>
      <c r="W49" s="111">
        <f t="shared" ca="1" si="15"/>
        <v>294.15387932505723</v>
      </c>
      <c r="X49" s="108">
        <f t="shared" ca="1" si="18"/>
        <v>1</v>
      </c>
      <c r="Z49" s="95" t="s">
        <v>179</v>
      </c>
      <c r="AA49" s="95">
        <v>159.31311691882092</v>
      </c>
      <c r="AB49" s="95">
        <v>162.16218984044423</v>
      </c>
      <c r="AC49" s="95">
        <v>223.0383636863493</v>
      </c>
      <c r="AD49" s="95">
        <v>249.21509521717519</v>
      </c>
      <c r="AE49" s="95">
        <v>31.862623383764188</v>
      </c>
      <c r="AF49" s="95">
        <v>1580.2121299131561</v>
      </c>
      <c r="AG49" s="95">
        <v>294.15387932505723</v>
      </c>
      <c r="AH49" s="95">
        <v>220.41786874257744</v>
      </c>
      <c r="AI49" s="95">
        <v>204.04152057550112</v>
      </c>
      <c r="AJ49" s="95">
        <v>99.675245376580605</v>
      </c>
      <c r="AK49" s="95">
        <v>89.692421790541616</v>
      </c>
      <c r="AL49" s="95">
        <v>0</v>
      </c>
    </row>
    <row r="50" spans="2:38" ht="31.5" thickBot="1" x14ac:dyDescent="0.4">
      <c r="B50" s="110" t="s">
        <v>198</v>
      </c>
      <c r="C50" s="103" t="str">
        <f t="shared" si="19"/>
        <v>Taste and smell of water</v>
      </c>
      <c r="D50" s="111">
        <f t="shared" ca="1" si="13"/>
        <v>118.4474258422852</v>
      </c>
      <c r="E50" s="108">
        <f t="shared" ca="1" si="14"/>
        <v>6</v>
      </c>
      <c r="G50" s="94" t="s">
        <v>180</v>
      </c>
      <c r="H50" s="94">
        <v>132.85257747554425</v>
      </c>
      <c r="I50" s="94">
        <v>167.83777144736561</v>
      </c>
      <c r="J50" s="94">
        <v>169.75607121875098</v>
      </c>
      <c r="K50" s="94">
        <v>241.26571344333655</v>
      </c>
      <c r="L50" s="94">
        <v>26.57051549510885</v>
      </c>
      <c r="M50" s="94">
        <v>664.8586215509215</v>
      </c>
      <c r="N50" s="94">
        <v>118.4474258422852</v>
      </c>
      <c r="O50" s="94">
        <v>180.20705179861966</v>
      </c>
      <c r="P50" s="94">
        <v>155.27895163073478</v>
      </c>
      <c r="Q50" s="94">
        <v>90.803125934562047</v>
      </c>
      <c r="R50" s="94">
        <v>138.95014181469821</v>
      </c>
      <c r="S50" s="94">
        <v>0</v>
      </c>
      <c r="U50" s="110" t="s">
        <v>198</v>
      </c>
      <c r="V50" s="103" t="str">
        <f t="shared" si="17"/>
        <v>Taste and smell of water</v>
      </c>
      <c r="W50" s="111">
        <f t="shared" ca="1" si="15"/>
        <v>7756.318359375</v>
      </c>
      <c r="X50" s="108">
        <f t="shared" ca="1" si="18"/>
        <v>5</v>
      </c>
      <c r="Z50" s="94" t="s">
        <v>180</v>
      </c>
      <c r="AA50" s="94">
        <v>2518.0655264835627</v>
      </c>
      <c r="AB50" s="94">
        <v>1605.9248271970093</v>
      </c>
      <c r="AC50" s="94">
        <v>3662.6407657942732</v>
      </c>
      <c r="AD50" s="94">
        <v>992.07535557868903</v>
      </c>
      <c r="AE50" s="94">
        <v>503.61310529671255</v>
      </c>
      <c r="AF50" s="94">
        <v>6708.6677927967121</v>
      </c>
      <c r="AG50" s="94">
        <v>7756.318359375</v>
      </c>
      <c r="AH50" s="94">
        <v>2119.9082185241259</v>
      </c>
      <c r="AI50" s="94">
        <v>2447.1920654694218</v>
      </c>
      <c r="AJ50" s="94">
        <v>2636.1879615071311</v>
      </c>
      <c r="AK50" s="94">
        <v>404.59244325210335</v>
      </c>
      <c r="AL50" s="94">
        <v>0</v>
      </c>
    </row>
    <row r="51" spans="2:38" ht="31.5" thickBot="1" x14ac:dyDescent="0.4">
      <c r="B51" s="110" t="s">
        <v>198</v>
      </c>
      <c r="C51" s="103" t="str">
        <f t="shared" si="19"/>
        <v>Low water pressure</v>
      </c>
      <c r="D51" s="111">
        <f t="shared" ca="1" si="13"/>
        <v>70.089530944824219</v>
      </c>
      <c r="E51" s="108">
        <f t="shared" ca="1" si="14"/>
        <v>3</v>
      </c>
      <c r="G51" s="95" t="s">
        <v>181</v>
      </c>
      <c r="H51" s="95">
        <v>51.388697023115611</v>
      </c>
      <c r="I51" s="95">
        <v>59.155100645186351</v>
      </c>
      <c r="J51" s="95">
        <v>65.663335085092172</v>
      </c>
      <c r="K51" s="95">
        <v>62.202572091912494</v>
      </c>
      <c r="L51" s="95">
        <v>10.277739404623123</v>
      </c>
      <c r="M51" s="95">
        <v>104.38950238038585</v>
      </c>
      <c r="N51" s="95">
        <v>70.089530944824219</v>
      </c>
      <c r="O51" s="95">
        <v>47.252909736676038</v>
      </c>
      <c r="P51" s="95">
        <v>51.54566608417565</v>
      </c>
      <c r="Q51" s="95">
        <v>51.094380033628006</v>
      </c>
      <c r="R51" s="95">
        <v>46.660027421127346</v>
      </c>
      <c r="S51" s="95">
        <v>0</v>
      </c>
      <c r="U51" s="110" t="s">
        <v>198</v>
      </c>
      <c r="V51" s="103" t="str">
        <f t="shared" si="17"/>
        <v>Low water pressure</v>
      </c>
      <c r="W51" s="111">
        <f t="shared" ca="1" si="15"/>
        <v>4237.861328125</v>
      </c>
      <c r="X51" s="108">
        <f t="shared" ca="1" si="18"/>
        <v>3</v>
      </c>
      <c r="Z51" s="95" t="s">
        <v>181</v>
      </c>
      <c r="AA51" s="95">
        <v>1370.6438098482497</v>
      </c>
      <c r="AB51" s="95">
        <v>732.88611528206684</v>
      </c>
      <c r="AC51" s="95">
        <v>1993.663723415636</v>
      </c>
      <c r="AD51" s="95">
        <v>71.084181231989362</v>
      </c>
      <c r="AE51" s="95">
        <v>274.12876196964993</v>
      </c>
      <c r="AF51" s="95">
        <v>3963.8876402560595</v>
      </c>
      <c r="AG51" s="95">
        <v>4237.861328125</v>
      </c>
      <c r="AH51" s="95">
        <v>1078.6622934371617</v>
      </c>
      <c r="AI51" s="95">
        <v>1341.5707103412278</v>
      </c>
      <c r="AJ51" s="95">
        <v>1419.0989756932861</v>
      </c>
      <c r="AK51" s="95">
        <v>33.332458837634903</v>
      </c>
      <c r="AL51" s="95">
        <v>0</v>
      </c>
    </row>
    <row r="52" spans="2:38" ht="31.5" thickBot="1" x14ac:dyDescent="0.4">
      <c r="B52" s="110" t="s">
        <v>198</v>
      </c>
      <c r="C52" s="103" t="str">
        <f t="shared" si="19"/>
        <v>Lead pipes</v>
      </c>
      <c r="D52" s="111">
        <f t="shared" ca="1" si="13"/>
        <v>3.5521670938868906</v>
      </c>
      <c r="E52" s="108">
        <f t="shared" ca="1" si="14"/>
        <v>1</v>
      </c>
      <c r="G52" s="94" t="s">
        <v>182</v>
      </c>
      <c r="H52" s="94">
        <v>8.8791467176272239</v>
      </c>
      <c r="I52" s="94">
        <v>12.596181997194204</v>
      </c>
      <c r="J52" s="94">
        <v>11.246919175661152</v>
      </c>
      <c r="K52" s="94">
        <v>16.441124953849723</v>
      </c>
      <c r="L52" s="94">
        <v>1.7758293435254449</v>
      </c>
      <c r="M52" s="94">
        <v>25.334472980638495</v>
      </c>
      <c r="N52" s="94">
        <v>3.5521670938868906</v>
      </c>
      <c r="O52" s="94">
        <v>11.503005293954862</v>
      </c>
      <c r="P52" s="94">
        <v>9.2756401046505594</v>
      </c>
      <c r="Q52" s="94">
        <v>8.3339683104701372</v>
      </c>
      <c r="R52" s="94">
        <v>10.814576424711118</v>
      </c>
      <c r="S52" s="94">
        <v>0</v>
      </c>
      <c r="U52" s="110" t="s">
        <v>198</v>
      </c>
      <c r="V52" s="103" t="str">
        <f t="shared" si="17"/>
        <v>Lead pipes</v>
      </c>
      <c r="W52" s="111">
        <f t="shared" ca="1" si="15"/>
        <v>46.804017666993559</v>
      </c>
      <c r="X52" s="108">
        <f t="shared" ca="1" si="18"/>
        <v>1</v>
      </c>
      <c r="Z52" s="94" t="s">
        <v>182</v>
      </c>
      <c r="AA52" s="94">
        <v>25.348956661599704</v>
      </c>
      <c r="AB52" s="94">
        <v>25.802284218129575</v>
      </c>
      <c r="AC52" s="94">
        <v>35.488539326239582</v>
      </c>
      <c r="AD52" s="94">
        <v>30.025351726256687</v>
      </c>
      <c r="AE52" s="94">
        <v>5.0697913323199408</v>
      </c>
      <c r="AF52" s="94">
        <v>103.60801218602344</v>
      </c>
      <c r="AG52" s="94">
        <v>46.804017666993559</v>
      </c>
      <c r="AH52" s="94">
        <v>28.25389460690144</v>
      </c>
      <c r="AI52" s="94">
        <v>27.863935698939702</v>
      </c>
      <c r="AJ52" s="94">
        <v>21.995651278479698</v>
      </c>
      <c r="AK52" s="94">
        <v>14.271325279517903</v>
      </c>
      <c r="AL52" s="94">
        <v>0</v>
      </c>
    </row>
    <row r="53" spans="2:38" ht="31" x14ac:dyDescent="0.35">
      <c r="B53" s="110" t="s">
        <v>198</v>
      </c>
      <c r="C53" s="103" t="str">
        <f t="shared" si="19"/>
        <v>Water metering</v>
      </c>
      <c r="D53" s="111">
        <f t="shared" ca="1" si="13"/>
        <v>2.4442584447778373</v>
      </c>
      <c r="E53" s="108">
        <f t="shared" ca="1" si="14"/>
        <v>1</v>
      </c>
      <c r="G53" s="96" t="s">
        <v>183</v>
      </c>
      <c r="H53" s="96">
        <v>5.9530828882440447</v>
      </c>
      <c r="I53" s="96">
        <v>6.9871269236320774</v>
      </c>
      <c r="J53" s="96">
        <v>5.9530828882440447</v>
      </c>
      <c r="K53" s="96">
        <v>7.1262375477758866</v>
      </c>
      <c r="L53" s="96">
        <v>2.5160986603475939</v>
      </c>
      <c r="M53" s="96">
        <v>8.7239325843304218</v>
      </c>
      <c r="N53" s="96">
        <v>2.4442584447778373</v>
      </c>
      <c r="O53" s="96">
        <v>6.2118520638127315</v>
      </c>
      <c r="P53" s="96">
        <v>5.4247519305645007</v>
      </c>
      <c r="Q53" s="96">
        <v>6.8336344843766179</v>
      </c>
      <c r="R53" s="96">
        <v>7.5768482477488757</v>
      </c>
      <c r="S53" s="96">
        <v>0</v>
      </c>
      <c r="U53" s="110" t="s">
        <v>198</v>
      </c>
      <c r="V53" s="103" t="str">
        <f t="shared" si="17"/>
        <v>Water metering</v>
      </c>
      <c r="W53" s="111">
        <f t="shared" ca="1" si="15"/>
        <v>0</v>
      </c>
      <c r="X53" s="108">
        <f t="shared" ca="1" si="18"/>
        <v>1</v>
      </c>
      <c r="Z53" s="96" t="s">
        <v>183</v>
      </c>
      <c r="AA53" s="96">
        <v>0</v>
      </c>
      <c r="AB53" s="96">
        <v>0</v>
      </c>
      <c r="AC53" s="96">
        <v>0</v>
      </c>
      <c r="AD53" s="96">
        <v>0</v>
      </c>
      <c r="AE53" s="96">
        <v>0</v>
      </c>
      <c r="AF53" s="96">
        <v>0</v>
      </c>
      <c r="AG53" s="96">
        <v>0</v>
      </c>
      <c r="AH53" s="96">
        <v>0</v>
      </c>
      <c r="AI53" s="96">
        <v>0</v>
      </c>
      <c r="AJ53" s="96">
        <v>0</v>
      </c>
      <c r="AK53" s="96">
        <v>0</v>
      </c>
      <c r="AL53" s="96">
        <v>0</v>
      </c>
    </row>
    <row r="54" spans="2:38" ht="31" x14ac:dyDescent="0.35">
      <c r="B54" s="110" t="s">
        <v>198</v>
      </c>
      <c r="C54" s="103" t="str">
        <f t="shared" si="19"/>
        <v>Customer service</v>
      </c>
      <c r="D54" s="111">
        <f t="shared" ca="1" si="13"/>
        <v>0</v>
      </c>
      <c r="E54" s="108">
        <f t="shared" ca="1" si="14"/>
        <v>1</v>
      </c>
      <c r="G54" s="97" t="s">
        <v>184</v>
      </c>
      <c r="H54" s="97">
        <v>0</v>
      </c>
      <c r="I54" s="97">
        <v>0</v>
      </c>
      <c r="J54" s="97">
        <v>0</v>
      </c>
      <c r="K54" s="97">
        <v>0</v>
      </c>
      <c r="L54" s="97">
        <v>0</v>
      </c>
      <c r="M54" s="97">
        <v>0</v>
      </c>
      <c r="N54" s="97">
        <v>0</v>
      </c>
      <c r="O54" s="97">
        <v>0</v>
      </c>
      <c r="P54" s="97">
        <v>0</v>
      </c>
      <c r="Q54" s="97">
        <v>0</v>
      </c>
      <c r="R54" s="97">
        <v>0</v>
      </c>
      <c r="S54" s="97">
        <v>0</v>
      </c>
      <c r="U54" s="110" t="s">
        <v>198</v>
      </c>
      <c r="V54" s="103" t="str">
        <f t="shared" si="17"/>
        <v>Customer service</v>
      </c>
      <c r="W54" s="111">
        <f t="shared" ca="1" si="15"/>
        <v>0</v>
      </c>
      <c r="X54" s="108">
        <f t="shared" ca="1" si="18"/>
        <v>1</v>
      </c>
      <c r="Z54" s="97" t="s">
        <v>184</v>
      </c>
      <c r="AA54" s="97">
        <v>0</v>
      </c>
      <c r="AB54" s="97">
        <v>0</v>
      </c>
      <c r="AC54" s="97">
        <v>0</v>
      </c>
      <c r="AD54" s="97">
        <v>0</v>
      </c>
      <c r="AE54" s="97">
        <v>0</v>
      </c>
      <c r="AF54" s="97">
        <v>0</v>
      </c>
      <c r="AG54" s="97">
        <v>0</v>
      </c>
      <c r="AH54" s="97">
        <v>0</v>
      </c>
      <c r="AI54" s="97">
        <v>0</v>
      </c>
      <c r="AJ54" s="97">
        <v>0</v>
      </c>
      <c r="AK54" s="97">
        <v>0</v>
      </c>
      <c r="AL54" s="97">
        <v>0</v>
      </c>
    </row>
    <row r="55" spans="2:38" ht="31.5" thickBot="1" x14ac:dyDescent="0.4">
      <c r="B55" s="110" t="s">
        <v>199</v>
      </c>
      <c r="C55" s="103" t="str">
        <f t="shared" si="19"/>
        <v>Temporary use ban</v>
      </c>
      <c r="D55" s="111">
        <f t="shared" ca="1" si="13"/>
        <v>0.60342230796813967</v>
      </c>
      <c r="E55" s="108">
        <f t="shared" ca="1" si="14"/>
        <v>1</v>
      </c>
      <c r="G55" s="98" t="s">
        <v>185</v>
      </c>
      <c r="H55" s="98">
        <v>130861.85916951248</v>
      </c>
      <c r="I55" s="98">
        <v>177429.45692805175</v>
      </c>
      <c r="J55" s="98">
        <v>165758.35494804912</v>
      </c>
      <c r="K55" s="98">
        <v>190879.69678228968</v>
      </c>
      <c r="L55" s="98">
        <v>26172.371833902496</v>
      </c>
      <c r="M55" s="98">
        <v>401858.92543390242</v>
      </c>
      <c r="N55" s="98">
        <v>81994.230051326755</v>
      </c>
      <c r="O55" s="98">
        <v>154919.18326637257</v>
      </c>
      <c r="P55" s="98">
        <v>122688.47222193262</v>
      </c>
      <c r="Q55" s="98">
        <v>142100.26622243476</v>
      </c>
      <c r="R55" s="98">
        <v>149377.58026789798</v>
      </c>
      <c r="S55" s="98">
        <v>0</v>
      </c>
      <c r="U55" s="110" t="s">
        <v>199</v>
      </c>
      <c r="V55" s="103" t="str">
        <f t="shared" si="17"/>
        <v>Temporary use ban</v>
      </c>
      <c r="W55" s="111">
        <f t="shared" ca="1" si="15"/>
        <v>16.912776184082038</v>
      </c>
      <c r="X55" s="108">
        <f t="shared" ca="1" si="18"/>
        <v>1</v>
      </c>
      <c r="Z55" s="98" t="s">
        <v>185</v>
      </c>
      <c r="AA55" s="98">
        <v>373685.13598728913</v>
      </c>
      <c r="AB55" s="98">
        <v>605107.12494996411</v>
      </c>
      <c r="AC55" s="98">
        <v>509570.63998266699</v>
      </c>
      <c r="AD55" s="98">
        <v>773167.98729080474</v>
      </c>
      <c r="AE55" s="98">
        <v>74737.027197457835</v>
      </c>
      <c r="AF55" s="98">
        <v>834902.19839745772</v>
      </c>
      <c r="AG55" s="98">
        <v>145314.57297363286</v>
      </c>
      <c r="AH55" s="98">
        <v>536940.57022936048</v>
      </c>
      <c r="AI55" s="98">
        <v>379359.44065134128</v>
      </c>
      <c r="AJ55" s="98">
        <v>365173.67899121088</v>
      </c>
      <c r="AK55" s="98">
        <v>487996.29624002392</v>
      </c>
      <c r="AL55" s="98">
        <v>0</v>
      </c>
    </row>
    <row r="56" spans="2:38" ht="31.5" thickBot="1" x14ac:dyDescent="0.4">
      <c r="B56" s="110" t="s">
        <v>199</v>
      </c>
      <c r="C56" s="103" t="str">
        <f t="shared" si="19"/>
        <v>Leakage</v>
      </c>
      <c r="D56" s="111">
        <f t="shared" ca="1" si="13"/>
        <v>0.19389749034156739</v>
      </c>
      <c r="E56" s="108">
        <f t="shared" ca="1" si="14"/>
        <v>1</v>
      </c>
      <c r="G56" s="95" t="s">
        <v>186</v>
      </c>
      <c r="H56" s="95">
        <v>89325.793874844283</v>
      </c>
      <c r="I56" s="95">
        <v>95788.412157683473</v>
      </c>
      <c r="J56" s="95">
        <v>81578.063609159828</v>
      </c>
      <c r="K56" s="95">
        <v>95179.886865666558</v>
      </c>
      <c r="L56" s="95">
        <v>36206.73488527858</v>
      </c>
      <c r="M56" s="95">
        <v>167213.36695559253</v>
      </c>
      <c r="N56" s="95">
        <v>26347.178782592859</v>
      </c>
      <c r="O56" s="95">
        <v>86141.715455395155</v>
      </c>
      <c r="P56" s="95">
        <v>86818.607812644477</v>
      </c>
      <c r="Q56" s="95">
        <v>94340.165999243924</v>
      </c>
      <c r="R56" s="95">
        <v>106079.12461726338</v>
      </c>
      <c r="S56" s="95">
        <v>142457.5061055565</v>
      </c>
      <c r="U56" s="110" t="s">
        <v>199</v>
      </c>
      <c r="V56" s="103" t="str">
        <f t="shared" si="17"/>
        <v>Leakage</v>
      </c>
      <c r="W56" s="111">
        <f t="shared" ca="1" si="15"/>
        <v>24.620653661991614</v>
      </c>
      <c r="X56" s="108">
        <f t="shared" ca="1" si="18"/>
        <v>1</v>
      </c>
      <c r="Z56" s="95" t="s">
        <v>186</v>
      </c>
      <c r="AA56" s="95">
        <v>169216.2373168499</v>
      </c>
      <c r="AB56" s="95">
        <v>125047.97288703216</v>
      </c>
      <c r="AC56" s="95">
        <v>136414.86286352543</v>
      </c>
      <c r="AD56" s="95">
        <v>120848.84450994588</v>
      </c>
      <c r="AE56" s="95">
        <v>33843.247463369982</v>
      </c>
      <c r="AF56" s="95">
        <v>590952.97189133242</v>
      </c>
      <c r="AG56" s="95">
        <v>211540.65626383194</v>
      </c>
      <c r="AH56" s="95">
        <v>131390.80527378526</v>
      </c>
      <c r="AI56" s="95">
        <v>163374.38895770465</v>
      </c>
      <c r="AJ56" s="95">
        <v>180899.93403514032</v>
      </c>
      <c r="AK56" s="95">
        <v>155571.77988654203</v>
      </c>
      <c r="AL56" s="95">
        <v>318124.76361936686</v>
      </c>
    </row>
    <row r="57" spans="2:38" ht="31.5" thickBot="1" x14ac:dyDescent="0.4">
      <c r="B57" s="110" t="s">
        <v>199</v>
      </c>
      <c r="C57" s="103" t="str">
        <f t="shared" si="19"/>
        <v>Protecting wildlife habitats</v>
      </c>
      <c r="D57" s="111">
        <f t="shared" ca="1" si="13"/>
        <v>3.1533684487229548E-2</v>
      </c>
      <c r="E57" s="108">
        <f t="shared" ca="1" si="14"/>
        <v>1</v>
      </c>
      <c r="G57" s="94" t="s">
        <v>187</v>
      </c>
      <c r="H57" s="94">
        <v>11173.965899959267</v>
      </c>
      <c r="I57" s="94">
        <v>14212.021931014071</v>
      </c>
      <c r="J57" s="94">
        <v>13215.230757231329</v>
      </c>
      <c r="K57" s="94">
        <v>16573.167799539464</v>
      </c>
      <c r="L57" s="94">
        <v>2234.7931799918533</v>
      </c>
      <c r="M57" s="94">
        <v>58196.492021690698</v>
      </c>
      <c r="N57" s="94">
        <v>4284.8601154937251</v>
      </c>
      <c r="O57" s="94">
        <v>13022.564290347034</v>
      </c>
      <c r="P57" s="94">
        <v>13094.560566960805</v>
      </c>
      <c r="Q57" s="94">
        <v>8235.2763188885656</v>
      </c>
      <c r="R57" s="94">
        <v>12924.053892293363</v>
      </c>
      <c r="S57" s="94">
        <v>3761.133088588786</v>
      </c>
      <c r="U57" s="110" t="s">
        <v>199</v>
      </c>
      <c r="V57" s="103" t="str">
        <f t="shared" si="17"/>
        <v>Protecting wildlife habitats</v>
      </c>
      <c r="W57" s="111">
        <f t="shared" ca="1" si="15"/>
        <v>7.0254821163298926</v>
      </c>
      <c r="X57" s="108">
        <f t="shared" ca="1" si="18"/>
        <v>1</v>
      </c>
      <c r="Z57" s="94" t="s">
        <v>187</v>
      </c>
      <c r="AA57" s="94">
        <v>27534.653654219179</v>
      </c>
      <c r="AB57" s="94">
        <v>26384.526394406639</v>
      </c>
      <c r="AC57" s="94">
        <v>37332.521551786987</v>
      </c>
      <c r="AD57" s="94">
        <v>30231.211431582662</v>
      </c>
      <c r="AE57" s="94">
        <v>5506.9307308438365</v>
      </c>
      <c r="AF57" s="94">
        <v>85039.619906793669</v>
      </c>
      <c r="AG57" s="94">
        <v>60362.942343506438</v>
      </c>
      <c r="AH57" s="94">
        <v>30917.082857901434</v>
      </c>
      <c r="AI57" s="94">
        <v>30956.090451169042</v>
      </c>
      <c r="AJ57" s="94">
        <v>20376.989434502386</v>
      </c>
      <c r="AK57" s="94">
        <v>16508.231829392429</v>
      </c>
      <c r="AL57" s="94">
        <v>125.77942628665728</v>
      </c>
    </row>
    <row r="58" spans="2:38" x14ac:dyDescent="0.35">
      <c r="G58" s="7"/>
      <c r="H58" s="13"/>
      <c r="I58" s="13"/>
      <c r="J58" s="13"/>
      <c r="K58" s="13"/>
      <c r="L58" s="13"/>
      <c r="M58" s="13"/>
      <c r="N58" s="13"/>
      <c r="O58" s="13"/>
      <c r="P58" s="13"/>
      <c r="Q58" s="13"/>
      <c r="R58" s="13"/>
      <c r="S58" s="13"/>
      <c r="Z58" s="7"/>
      <c r="AA58" s="13"/>
      <c r="AB58" s="13"/>
      <c r="AC58" s="13"/>
      <c r="AD58" s="13"/>
      <c r="AE58" s="13"/>
      <c r="AF58" s="13"/>
      <c r="AG58" s="13"/>
      <c r="AH58" s="13"/>
      <c r="AI58" s="13"/>
      <c r="AJ58" s="13"/>
      <c r="AK58" s="13"/>
      <c r="AL58" s="13"/>
    </row>
    <row r="59" spans="2:38" x14ac:dyDescent="0.35">
      <c r="G59" s="99" t="s">
        <v>188</v>
      </c>
      <c r="H59" s="100">
        <v>430258.68961941078</v>
      </c>
      <c r="I59" s="100">
        <v>406099.98820155428</v>
      </c>
      <c r="J59" s="100">
        <v>430258.68961941078</v>
      </c>
      <c r="K59" s="100">
        <v>371523.39080789668</v>
      </c>
      <c r="L59" s="100">
        <v>195748.14824979723</v>
      </c>
      <c r="M59" s="100">
        <v>482737.19259063032</v>
      </c>
      <c r="N59" s="100">
        <v>495856.81833343516</v>
      </c>
      <c r="O59" s="100">
        <v>429026.9488913297</v>
      </c>
      <c r="P59" s="100">
        <v>394404.44635491306</v>
      </c>
      <c r="Q59" s="100">
        <v>493003.61533228174</v>
      </c>
      <c r="R59" s="100">
        <v>391532.15815726534</v>
      </c>
      <c r="S59" s="100">
        <v>0</v>
      </c>
      <c r="Z59" s="99" t="s">
        <v>188</v>
      </c>
      <c r="AA59" s="100">
        <v>1576192.6918665692</v>
      </c>
      <c r="AB59" s="100">
        <v>1205633.7656984506</v>
      </c>
      <c r="AC59" s="100">
        <v>1576192.6918665692</v>
      </c>
      <c r="AD59" s="100">
        <v>992663.70039645885</v>
      </c>
      <c r="AE59" s="100">
        <v>766397.22990145045</v>
      </c>
      <c r="AF59" s="100">
        <v>2211579.8652483141</v>
      </c>
      <c r="AG59" s="100">
        <v>2370426.6585937501</v>
      </c>
      <c r="AH59" s="100">
        <v>1462017.1076131642</v>
      </c>
      <c r="AI59" s="100">
        <v>1524628.5807263316</v>
      </c>
      <c r="AJ59" s="100">
        <v>1666429.8863619857</v>
      </c>
      <c r="AK59" s="100">
        <v>946860.56030885561</v>
      </c>
      <c r="AL59" s="100">
        <v>0</v>
      </c>
    </row>
    <row r="60" spans="2:38" x14ac:dyDescent="0.35">
      <c r="G60" s="101" t="s">
        <v>189</v>
      </c>
      <c r="H60" s="102">
        <v>1563.4560238067857</v>
      </c>
      <c r="I60" s="102">
        <v>1881.9483126694697</v>
      </c>
      <c r="J60" s="102">
        <v>1563.4560238067857</v>
      </c>
      <c r="K60" s="102">
        <v>2217.8775187336068</v>
      </c>
      <c r="L60" s="102">
        <v>770.47536680078679</v>
      </c>
      <c r="M60" s="102">
        <v>3107.0907273701132</v>
      </c>
      <c r="N60" s="102">
        <v>657.59458666764726</v>
      </c>
      <c r="O60" s="102">
        <v>1871.2303533367804</v>
      </c>
      <c r="P60" s="102">
        <v>1622.1008711940769</v>
      </c>
      <c r="Q60" s="102">
        <v>1485.2628939570641</v>
      </c>
      <c r="R60" s="102">
        <v>2076.19730934168</v>
      </c>
      <c r="S60" s="102">
        <v>0</v>
      </c>
      <c r="Z60" s="101" t="s">
        <v>189</v>
      </c>
      <c r="AA60" s="102">
        <v>20655.080048212443</v>
      </c>
      <c r="AB60" s="102">
        <v>14840.114347829171</v>
      </c>
      <c r="AC60" s="102">
        <v>20655.080048212443</v>
      </c>
      <c r="AD60" s="102">
        <v>9856.9485217398469</v>
      </c>
      <c r="AE60" s="102">
        <v>9487.4198218181191</v>
      </c>
      <c r="AF60" s="102">
        <v>29612.749590808893</v>
      </c>
      <c r="AG60" s="102">
        <v>31852.166976458004</v>
      </c>
      <c r="AH60" s="102">
        <v>16386.679778660611</v>
      </c>
      <c r="AI60" s="102">
        <v>19995.18762153474</v>
      </c>
      <c r="AJ60" s="102">
        <v>21644.918688229001</v>
      </c>
      <c r="AK60" s="102">
        <v>10489.237273043907</v>
      </c>
      <c r="AL60" s="102">
        <v>0</v>
      </c>
    </row>
    <row r="61" spans="2:38" x14ac:dyDescent="0.35">
      <c r="G61" s="99" t="s">
        <v>190</v>
      </c>
      <c r="H61" s="100">
        <v>412.03996746513093</v>
      </c>
      <c r="I61" s="100">
        <v>412.03996746513093</v>
      </c>
      <c r="J61" s="100">
        <v>412.03996746513093</v>
      </c>
      <c r="K61" s="100">
        <v>392.24480224940038</v>
      </c>
      <c r="L61" s="100">
        <v>301.18704225704005</v>
      </c>
      <c r="M61" s="100">
        <v>554.82300226027087</v>
      </c>
      <c r="N61" s="100"/>
      <c r="O61" s="100">
        <v>359.19914246445779</v>
      </c>
      <c r="P61" s="100">
        <v>417.02904708810729</v>
      </c>
      <c r="Q61" s="100">
        <v>402.06180821917809</v>
      </c>
      <c r="R61" s="100">
        <v>412.03996746513093</v>
      </c>
      <c r="S61" s="100" t="s">
        <v>92</v>
      </c>
      <c r="Z61" s="99" t="s">
        <v>190</v>
      </c>
      <c r="AA61" s="100">
        <v>1577.4663968903794</v>
      </c>
      <c r="AB61" s="100">
        <v>1577.4663968903794</v>
      </c>
      <c r="AC61" s="100">
        <v>1577.4663968903794</v>
      </c>
      <c r="AD61" s="100">
        <v>1647.9330134480181</v>
      </c>
      <c r="AE61" s="100">
        <v>1472.5178930767063</v>
      </c>
      <c r="AF61" s="100">
        <v>1972.0794496131571</v>
      </c>
      <c r="AG61" s="100"/>
      <c r="AH61" s="100">
        <v>1654.4314156801422</v>
      </c>
      <c r="AI61" s="100">
        <v>1643.059211773925</v>
      </c>
      <c r="AJ61" s="100">
        <v>1446.2807671232879</v>
      </c>
      <c r="AK61" s="100">
        <v>1577.4663968903794</v>
      </c>
      <c r="AL61" s="100" t="s">
        <v>92</v>
      </c>
    </row>
    <row r="62" spans="2:38" x14ac:dyDescent="0.35">
      <c r="G62" s="101" t="s">
        <v>191</v>
      </c>
      <c r="H62" s="102">
        <v>279.08191297253887</v>
      </c>
      <c r="I62" s="102">
        <v>331.42779805553192</v>
      </c>
      <c r="J62" s="102">
        <v>295.49849608857056</v>
      </c>
      <c r="K62" s="102">
        <v>360.9199828290125</v>
      </c>
      <c r="L62" s="102">
        <v>55.816382594507779</v>
      </c>
      <c r="M62" s="102">
        <v>546.33150442991189</v>
      </c>
      <c r="N62" s="102">
        <v>134.23005676269531</v>
      </c>
      <c r="O62" s="102">
        <v>337.19198184375637</v>
      </c>
      <c r="P62" s="102">
        <v>242.5766522739801</v>
      </c>
      <c r="Q62" s="102">
        <v>352.09243436965653</v>
      </c>
      <c r="R62" s="102">
        <v>339.08357356688185</v>
      </c>
      <c r="S62" s="102">
        <v>0</v>
      </c>
      <c r="Z62" s="101" t="s">
        <v>191</v>
      </c>
      <c r="AA62" s="102">
        <v>2475.9075697462099</v>
      </c>
      <c r="AB62" s="102">
        <v>1304.6500681708251</v>
      </c>
      <c r="AC62" s="102">
        <v>2700.9900760867745</v>
      </c>
      <c r="AD62" s="102">
        <v>586.17007529802686</v>
      </c>
      <c r="AE62" s="102">
        <v>495.181513949242</v>
      </c>
      <c r="AF62" s="102">
        <v>4927.2487014492417</v>
      </c>
      <c r="AG62" s="102">
        <v>5540.083984375</v>
      </c>
      <c r="AH62" s="102">
        <v>1933.7539331741095</v>
      </c>
      <c r="AI62" s="102">
        <v>2267.9421484670074</v>
      </c>
      <c r="AJ62" s="102">
        <v>2891.8384123046144</v>
      </c>
      <c r="AK62" s="102">
        <v>384.75347323229227</v>
      </c>
      <c r="AL62" s="102">
        <v>0</v>
      </c>
    </row>
  </sheetData>
  <conditionalFormatting sqref="C8:D19">
    <cfRule type="expression" dxfId="7" priority="8">
      <formula>MOD(ROW(),2)=1</formula>
    </cfRule>
  </conditionalFormatting>
  <conditionalFormatting sqref="C27:D38">
    <cfRule type="expression" dxfId="6" priority="7">
      <formula>MOD(ROW(),2)=1</formula>
    </cfRule>
  </conditionalFormatting>
  <conditionalFormatting sqref="C46:D57">
    <cfRule type="expression" dxfId="5" priority="6">
      <formula>MOD(ROW(),2)=1</formula>
    </cfRule>
  </conditionalFormatting>
  <conditionalFormatting sqref="V8:W19">
    <cfRule type="expression" dxfId="4" priority="5">
      <formula>MOD(ROW(),2)=1</formula>
    </cfRule>
  </conditionalFormatting>
  <conditionalFormatting sqref="V27:W38">
    <cfRule type="expression" dxfId="3" priority="2">
      <formula>MOD(ROW(),2)=1</formula>
    </cfRule>
  </conditionalFormatting>
  <conditionalFormatting sqref="V46:W57">
    <cfRule type="expression" dxfId="2" priority="1">
      <formula>MOD(ROW(),2)=1</formula>
    </cfRule>
  </conditionalFormatting>
  <dataValidations count="1">
    <dataValidation type="whole" allowBlank="1" showInputMessage="1" showErrorMessage="1" sqref="E8:E19 E27:E38 E46:E57 X8:X19 X27:X38 X46:X57" xr:uid="{DD3FF4A6-3D6A-473A-A28A-2882211804B0}">
      <formula1>1</formula1>
      <formula2>10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429966F-40B3-40B1-A890-B82C5DC7F494}">
          <x14:formula1>
            <xm:f>Control!$E$2:$E$13</xm:f>
          </x14:formula1>
          <xm:sqref>C6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FB11A-9492-4858-B922-1F33F615FC5E}">
  <sheetPr codeName="Sheet8"/>
  <dimension ref="B1:M26"/>
  <sheetViews>
    <sheetView workbookViewId="0">
      <selection activeCell="H17" sqref="H17:H20"/>
    </sheetView>
  </sheetViews>
  <sheetFormatPr defaultRowHeight="14.5" outlineLevelCol="1" x14ac:dyDescent="0.35"/>
  <cols>
    <col min="2" max="2" width="51.453125" customWidth="1"/>
    <col min="3" max="3" width="9.7265625" bestFit="1" customWidth="1"/>
    <col min="4" max="4" width="15.26953125" customWidth="1"/>
    <col min="7" max="7" width="50.453125" customWidth="1" outlineLevel="1"/>
    <col min="8" max="10" width="12.26953125" customWidth="1" outlineLevel="1"/>
    <col min="11" max="11" width="2.26953125" customWidth="1" outlineLevel="1"/>
    <col min="12" max="13" width="9.1796875" outlineLevel="1"/>
  </cols>
  <sheetData>
    <row r="1" spans="2:12" x14ac:dyDescent="0.35">
      <c r="H1" t="s">
        <v>230</v>
      </c>
    </row>
    <row r="2" spans="2:12" ht="31" x14ac:dyDescent="0.35">
      <c r="B2" s="86" t="s">
        <v>285</v>
      </c>
      <c r="C2" s="47" t="s">
        <v>69</v>
      </c>
      <c r="D2" s="48" t="s">
        <v>70</v>
      </c>
      <c r="G2" t="s">
        <v>92</v>
      </c>
      <c r="H2" s="149" t="s">
        <v>95</v>
      </c>
      <c r="I2" s="149" t="s">
        <v>93</v>
      </c>
      <c r="J2" s="149" t="s">
        <v>94</v>
      </c>
    </row>
    <row r="3" spans="2:12" ht="20.25" customHeight="1" x14ac:dyDescent="0.35">
      <c r="B3" s="45" t="s">
        <v>26</v>
      </c>
      <c r="C3" s="52" t="str">
        <f ca="1">IF(H3="","",(3-OFFSET(H3,0,'Future Priority Ratings'!$D$2-1))/(MIN(OFFSET($H$3:$H$12,0,'Future Priority Ratings'!$D$2-1))-1))</f>
        <v/>
      </c>
      <c r="D3" s="51"/>
      <c r="H3" s="56" t="str">
        <f>IF(I3="","",(I3*WTP!$C$3+J3*WTP!$C$4)/(WTP!$C$3+WTP!$C$4))</f>
        <v/>
      </c>
      <c r="I3" s="56"/>
      <c r="J3" s="56"/>
    </row>
    <row r="4" spans="2:12" ht="20.25" customHeight="1" x14ac:dyDescent="0.35">
      <c r="B4" s="45" t="s">
        <v>27</v>
      </c>
      <c r="C4" s="52">
        <f ca="1">IF(H4="","",(3-OFFSET(H4,0,'Future Priority Ratings'!$D$2-1))/(MIN(OFFSET($H$3:$H$12,0,'Future Priority Ratings'!$D$2-1))-1))</f>
        <v>11.324928100433784</v>
      </c>
      <c r="D4" s="51">
        <f t="shared" ref="D4:D12" ca="1" si="0">ROUND(10*C4/MAX($C$3:$C$12),0)</f>
        <v>7</v>
      </c>
      <c r="G4" t="s">
        <v>235</v>
      </c>
      <c r="H4" s="150">
        <f>IF(I4="","",(I4*WTP!$C$3+J4*WTP!$C$4)/(WTP!$C$3+WTP!$C$4))</f>
        <v>1.6396365273300468</v>
      </c>
      <c r="I4" s="150">
        <v>1.7</v>
      </c>
      <c r="J4" s="150">
        <v>1.4</v>
      </c>
      <c r="L4" s="56" t="s">
        <v>276</v>
      </c>
    </row>
    <row r="5" spans="2:12" ht="20.25" customHeight="1" x14ac:dyDescent="0.35">
      <c r="B5" s="45" t="s">
        <v>28</v>
      </c>
      <c r="C5" s="52">
        <f ca="1">IF(H5="","",(3-OFFSET(H5,0,'Future Priority Ratings'!$D$2-1))/(MIN(OFFSET($H$3:$H$12,0,'Future Priority Ratings'!$D$2-1))-1))</f>
        <v>10.157420910477166</v>
      </c>
      <c r="D5" s="51">
        <f t="shared" ca="1" si="0"/>
        <v>6</v>
      </c>
      <c r="G5" t="s">
        <v>234</v>
      </c>
      <c r="H5" s="150">
        <f>IF(I5="","",(I5*WTP!$C$3+J5*WTP!$C$4)/(WTP!$C$3+WTP!$C$4))</f>
        <v>1.7798788424433489</v>
      </c>
      <c r="I5" s="150">
        <v>1.8</v>
      </c>
      <c r="J5" s="150">
        <v>1.7</v>
      </c>
      <c r="L5" s="56" t="s">
        <v>274</v>
      </c>
    </row>
    <row r="6" spans="2:12" ht="20.25" customHeight="1" x14ac:dyDescent="0.35">
      <c r="B6" s="45" t="s">
        <v>29</v>
      </c>
      <c r="C6" s="52">
        <f ca="1">IF(H6="","",(3-OFFSET(H6,0,'Future Priority Ratings'!$D$2-1))/(MIN(OFFSET($H$3:$H$12,0,'Future Priority Ratings'!$D$2-1))-1))</f>
        <v>8.3299712401735082</v>
      </c>
      <c r="D6" s="51">
        <f t="shared" ca="1" si="0"/>
        <v>5</v>
      </c>
      <c r="G6" t="s">
        <v>233</v>
      </c>
      <c r="H6" s="150">
        <f>IF(I6="","",(I6*WTP!$C$3+J6*WTP!$C$4)/(WTP!$C$3+WTP!$C$4))</f>
        <v>1.9993942122167447</v>
      </c>
      <c r="I6" s="150">
        <v>2.1</v>
      </c>
      <c r="J6" s="150">
        <v>1.6</v>
      </c>
      <c r="L6" s="56" t="s">
        <v>275</v>
      </c>
    </row>
    <row r="7" spans="2:12" ht="20.25" customHeight="1" x14ac:dyDescent="0.35">
      <c r="B7" s="45" t="s">
        <v>30</v>
      </c>
      <c r="C7" s="52" t="str">
        <f ca="1">IF(H7="","",(3-OFFSET(H7,0,'Future Priority Ratings'!$D$2-1))/(MIN(OFFSET($H$3:$H$12,0,'Future Priority Ratings'!$D$2-1))-1))</f>
        <v/>
      </c>
      <c r="D7" s="51"/>
      <c r="H7" s="150" t="str">
        <f>IF(I7="","",(I7*WTP!$C$3+J7*WTP!$C$4)/(WTP!$C$3+WTP!$C$4))</f>
        <v/>
      </c>
      <c r="I7" s="150"/>
      <c r="J7" s="150"/>
      <c r="L7" s="56" t="s">
        <v>231</v>
      </c>
    </row>
    <row r="8" spans="2:12" ht="20.25" customHeight="1" x14ac:dyDescent="0.35">
      <c r="B8" s="45" t="s">
        <v>31</v>
      </c>
      <c r="C8" s="52">
        <f ca="1">IF(H8="","",(3-OFFSET(H8,0,'Future Priority Ratings'!$D$2-1))/(MIN(OFFSET($H$3:$H$12,0,'Future Priority Ratings'!$D$2-1))-1))</f>
        <v>6.1624640502168937</v>
      </c>
      <c r="D8" s="51">
        <f t="shared" ca="1" si="0"/>
        <v>4</v>
      </c>
      <c r="G8" t="s">
        <v>236</v>
      </c>
      <c r="H8" s="150">
        <f>IF(I8="","",(I8*WTP!$C$3+J8*WTP!$C$4)/(WTP!$C$3+WTP!$C$4))</f>
        <v>2.2597576848866976</v>
      </c>
      <c r="I8" s="150">
        <v>2.2999999999999998</v>
      </c>
      <c r="J8" s="150">
        <v>2.1</v>
      </c>
    </row>
    <row r="9" spans="2:12" ht="20.25" customHeight="1" x14ac:dyDescent="0.35">
      <c r="B9" s="45" t="s">
        <v>32</v>
      </c>
      <c r="C9" s="52" t="str">
        <f ca="1">IF(H9="","",(3-OFFSET(H9,0,'Future Priority Ratings'!$D$2-1))/(MIN(OFFSET($H$3:$H$12,0,'Future Priority Ratings'!$D$2-1))-1))</f>
        <v/>
      </c>
      <c r="D9" s="51"/>
      <c r="H9" s="150" t="str">
        <f>IF(I9="","",(I9*WTP!$C$3+J9*WTP!$C$4)/(WTP!$C$3+WTP!$C$4))</f>
        <v/>
      </c>
      <c r="I9" s="150"/>
      <c r="J9" s="150"/>
    </row>
    <row r="10" spans="2:12" ht="20.25" customHeight="1" x14ac:dyDescent="0.35">
      <c r="B10" s="45" t="s">
        <v>33</v>
      </c>
      <c r="C10" s="52">
        <f ca="1">IF(H10="","",(3-OFFSET(H10,0,'Future Priority Ratings'!$D$2-1))/(MIN(OFFSET($H$3:$H$12,0,'Future Priority Ratings'!$D$2-1))-1))</f>
        <v>7.6548993406073089</v>
      </c>
      <c r="D10" s="51">
        <f t="shared" ca="1" si="0"/>
        <v>5</v>
      </c>
      <c r="G10" t="s">
        <v>272</v>
      </c>
      <c r="H10" s="150">
        <f>IF(I10="","",(I10*WTP!$C$3+J10*WTP!$C$4)/(WTP!$C$3+WTP!$C$4))</f>
        <v>2.080484630226604</v>
      </c>
      <c r="I10" s="150">
        <v>2</v>
      </c>
      <c r="J10" s="150">
        <v>2.4</v>
      </c>
    </row>
    <row r="11" spans="2:12" ht="20.25" customHeight="1" x14ac:dyDescent="0.35">
      <c r="B11" s="45" t="s">
        <v>34</v>
      </c>
      <c r="C11" s="52">
        <f ca="1">IF(H11="","",(3-OFFSET(H11,0,'Future Priority Ratings'!$D$2-1))/(MIN(OFFSET($H$3:$H$12,0,'Future Priority Ratings'!$D$2-1))-1))</f>
        <v>15.649856200867575</v>
      </c>
      <c r="D11" s="51">
        <f t="shared" ca="1" si="0"/>
        <v>10</v>
      </c>
      <c r="G11" t="s">
        <v>273</v>
      </c>
      <c r="H11" s="150">
        <f>IF(I11="","",(I11*WTP!$C$3+J11*WTP!$C$4)/(WTP!$C$3+WTP!$C$4))</f>
        <v>1.1201211575566512</v>
      </c>
      <c r="I11" s="150">
        <v>1.1000000000000001</v>
      </c>
      <c r="J11" s="150">
        <v>1.2</v>
      </c>
    </row>
    <row r="12" spans="2:12" ht="20.25" customHeight="1" x14ac:dyDescent="0.35">
      <c r="B12" s="45" t="s">
        <v>35</v>
      </c>
      <c r="C12" s="52">
        <f ca="1">IF(H12="","",(3-OFFSET(H12,0,'Future Priority Ratings'!$D$2-1))/(MIN(OFFSET($H$3:$H$12,0,'Future Priority Ratings'!$D$2-1))-1))</f>
        <v>9.3198849606940666</v>
      </c>
      <c r="D12" s="51">
        <f t="shared" ca="1" si="0"/>
        <v>6</v>
      </c>
      <c r="G12" t="s">
        <v>232</v>
      </c>
      <c r="H12" s="150">
        <f>IF(I12="","",(I12*WTP!$C$3+J12*WTP!$C$4)/(WTP!$C$3+WTP!$C$4))</f>
        <v>1.8804846302266041</v>
      </c>
      <c r="I12" s="150">
        <v>1.8</v>
      </c>
      <c r="J12" s="150">
        <v>2.2000000000000002</v>
      </c>
    </row>
    <row r="14" spans="2:12" s="192" customFormat="1" ht="6" customHeight="1" x14ac:dyDescent="0.35"/>
    <row r="15" spans="2:12" x14ac:dyDescent="0.35">
      <c r="G15" t="s">
        <v>287</v>
      </c>
      <c r="H15" t="s">
        <v>288</v>
      </c>
    </row>
    <row r="16" spans="2:12" ht="29" x14ac:dyDescent="0.35">
      <c r="H16" s="149" t="s">
        <v>95</v>
      </c>
      <c r="I16" s="149" t="s">
        <v>93</v>
      </c>
      <c r="J16" s="149" t="s">
        <v>94</v>
      </c>
    </row>
    <row r="17" spans="7:10" x14ac:dyDescent="0.35">
      <c r="G17" s="190" t="s">
        <v>286</v>
      </c>
      <c r="H17" s="191">
        <v>0.41</v>
      </c>
      <c r="I17" s="191">
        <v>0.38</v>
      </c>
      <c r="J17" s="191">
        <v>0.42</v>
      </c>
    </row>
    <row r="18" spans="7:10" x14ac:dyDescent="0.35">
      <c r="G18" s="190">
        <v>2035</v>
      </c>
      <c r="H18" s="191">
        <v>0.45</v>
      </c>
      <c r="I18" s="191">
        <v>0.48</v>
      </c>
      <c r="J18" s="191">
        <v>0.44</v>
      </c>
    </row>
    <row r="19" spans="7:10" x14ac:dyDescent="0.35">
      <c r="G19" s="190">
        <v>2040</v>
      </c>
      <c r="H19" s="191">
        <v>0.13</v>
      </c>
      <c r="I19" s="191">
        <v>0.12</v>
      </c>
      <c r="J19" s="191">
        <v>0.13</v>
      </c>
    </row>
    <row r="20" spans="7:10" x14ac:dyDescent="0.35">
      <c r="G20" s="190" t="s">
        <v>289</v>
      </c>
      <c r="H20" s="191">
        <f>1-SUM(H17:H19)</f>
        <v>1.0000000000000009E-2</v>
      </c>
      <c r="I20" s="191">
        <f t="shared" ref="I20:J20" si="1">1-SUM(I17:I19)</f>
        <v>2.0000000000000018E-2</v>
      </c>
      <c r="J20" s="191">
        <f t="shared" si="1"/>
        <v>1.0000000000000009E-2</v>
      </c>
    </row>
    <row r="21" spans="7:10" x14ac:dyDescent="0.35">
      <c r="H21" s="56"/>
      <c r="I21" s="56"/>
      <c r="J21" s="56"/>
    </row>
    <row r="22" spans="7:10" x14ac:dyDescent="0.35">
      <c r="H22" s="56"/>
      <c r="I22" s="56"/>
      <c r="J22" s="56"/>
    </row>
    <row r="23" spans="7:10" x14ac:dyDescent="0.35">
      <c r="H23" s="56"/>
      <c r="I23" s="56"/>
      <c r="J23" s="56"/>
    </row>
    <row r="24" spans="7:10" x14ac:dyDescent="0.35">
      <c r="H24" s="56"/>
      <c r="I24" s="56"/>
      <c r="J24" s="56"/>
    </row>
    <row r="25" spans="7:10" x14ac:dyDescent="0.35">
      <c r="H25" s="56"/>
      <c r="I25" s="56"/>
      <c r="J25" s="56"/>
    </row>
    <row r="26" spans="7:10" x14ac:dyDescent="0.35">
      <c r="H26" s="56"/>
      <c r="I26" s="56"/>
      <c r="J26" s="56"/>
    </row>
  </sheetData>
  <conditionalFormatting sqref="B3:C12">
    <cfRule type="expression" dxfId="1" priority="2">
      <formula>MOD(ROW(),2)=1</formula>
    </cfRule>
  </conditionalFormatting>
  <dataValidations count="1">
    <dataValidation type="whole" allowBlank="1" showInputMessage="1" showErrorMessage="1" sqref="D3:D12" xr:uid="{4BEE6D11-B13C-4822-A498-A83810227FB2}">
      <formula1>1</formula1>
      <formula2>10</formula2>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B2899-8F74-4CF2-AB9B-2BB14DB1E47E}">
  <sheetPr codeName="Sheet9"/>
  <dimension ref="A1:M42"/>
  <sheetViews>
    <sheetView zoomScale="115" zoomScaleNormal="115" workbookViewId="0">
      <pane xSplit="2" ySplit="2" topLeftCell="C3" activePane="bottomRight" state="frozen"/>
      <selection pane="topRight" activeCell="C1" sqref="C1"/>
      <selection pane="bottomLeft" activeCell="A3" sqref="A3"/>
      <selection pane="bottomRight" activeCell="G21" sqref="G21"/>
    </sheetView>
  </sheetViews>
  <sheetFormatPr defaultColWidth="9.1796875" defaultRowHeight="14.5" x14ac:dyDescent="0.35"/>
  <cols>
    <col min="1" max="1" width="9.1796875" style="7"/>
    <col min="2" max="2" width="62" style="7" bestFit="1" customWidth="1"/>
    <col min="3" max="13" width="13.26953125" style="7" customWidth="1"/>
    <col min="14" max="16384" width="9.1796875" style="7"/>
  </cols>
  <sheetData>
    <row r="1" spans="1:13" x14ac:dyDescent="0.35">
      <c r="C1" s="217" t="s">
        <v>25</v>
      </c>
      <c r="D1" s="218"/>
      <c r="E1" s="218"/>
      <c r="F1" s="218"/>
      <c r="G1" s="218"/>
      <c r="H1" s="218"/>
      <c r="I1" s="218"/>
      <c r="J1" s="218"/>
      <c r="K1" s="218"/>
      <c r="L1" s="219"/>
    </row>
    <row r="2" spans="1:13" ht="72.5" x14ac:dyDescent="0.35">
      <c r="C2" s="138" t="s">
        <v>26</v>
      </c>
      <c r="D2" s="138" t="s">
        <v>27</v>
      </c>
      <c r="E2" s="138" t="s">
        <v>28</v>
      </c>
      <c r="F2" s="138" t="s">
        <v>29</v>
      </c>
      <c r="G2" s="138" t="s">
        <v>30</v>
      </c>
      <c r="H2" s="138" t="s">
        <v>31</v>
      </c>
      <c r="I2" s="138" t="s">
        <v>32</v>
      </c>
      <c r="J2" s="138" t="s">
        <v>33</v>
      </c>
      <c r="K2" s="138" t="s">
        <v>34</v>
      </c>
      <c r="L2" s="138" t="s">
        <v>35</v>
      </c>
      <c r="M2" s="38"/>
    </row>
    <row r="3" spans="1:13" ht="22.5" customHeight="1" x14ac:dyDescent="0.35">
      <c r="B3" s="39" t="s">
        <v>36</v>
      </c>
      <c r="C3" s="142" t="s">
        <v>37</v>
      </c>
      <c r="D3" s="142" t="s">
        <v>37</v>
      </c>
      <c r="E3" s="142" t="s">
        <v>37</v>
      </c>
      <c r="F3" s="142" t="s">
        <v>37</v>
      </c>
      <c r="G3" s="143"/>
      <c r="H3" s="143"/>
      <c r="I3" s="143"/>
      <c r="J3" s="144" t="s">
        <v>38</v>
      </c>
      <c r="K3" s="144" t="s">
        <v>38</v>
      </c>
      <c r="L3" s="144" t="s">
        <v>38</v>
      </c>
      <c r="M3" s="38"/>
    </row>
    <row r="4" spans="1:13" ht="22.5" customHeight="1" x14ac:dyDescent="0.35">
      <c r="B4" s="128" t="s">
        <v>213</v>
      </c>
      <c r="C4" s="39"/>
      <c r="D4" s="39"/>
      <c r="E4" s="39"/>
      <c r="F4" s="39"/>
      <c r="G4" s="39"/>
      <c r="H4" s="39"/>
      <c r="I4" s="39"/>
      <c r="J4" s="39"/>
      <c r="K4" s="39"/>
      <c r="L4" s="39"/>
      <c r="M4" s="38"/>
    </row>
    <row r="5" spans="1:13" ht="15.75" customHeight="1" x14ac:dyDescent="0.35">
      <c r="A5" s="220" t="s">
        <v>39</v>
      </c>
      <c r="B5" s="139" t="s">
        <v>40</v>
      </c>
      <c r="C5" s="136"/>
      <c r="D5" s="136"/>
      <c r="E5" s="136"/>
      <c r="F5" s="136"/>
      <c r="G5" s="136">
        <v>1</v>
      </c>
      <c r="H5" s="136"/>
      <c r="I5" s="136">
        <v>1</v>
      </c>
      <c r="J5" s="136"/>
      <c r="K5" s="136">
        <v>1</v>
      </c>
      <c r="L5" s="136"/>
    </row>
    <row r="6" spans="1:13" x14ac:dyDescent="0.35">
      <c r="A6" s="220"/>
      <c r="B6" s="139" t="s">
        <v>41</v>
      </c>
      <c r="C6" s="136"/>
      <c r="D6" s="136"/>
      <c r="E6" s="136"/>
      <c r="F6" s="136"/>
      <c r="G6" s="136"/>
      <c r="H6" s="136"/>
      <c r="I6" s="136"/>
      <c r="J6" s="136"/>
      <c r="K6" s="136"/>
      <c r="L6" s="136">
        <v>1</v>
      </c>
    </row>
    <row r="7" spans="1:13" x14ac:dyDescent="0.35">
      <c r="A7" s="220"/>
      <c r="B7" s="139" t="s">
        <v>42</v>
      </c>
      <c r="C7" s="136">
        <v>1</v>
      </c>
      <c r="D7" s="136"/>
      <c r="E7" s="136"/>
      <c r="F7" s="136">
        <v>1</v>
      </c>
      <c r="G7" s="136"/>
      <c r="H7" s="136"/>
      <c r="I7" s="136"/>
      <c r="J7" s="136"/>
      <c r="K7" s="136"/>
      <c r="L7" s="136"/>
    </row>
    <row r="8" spans="1:13" x14ac:dyDescent="0.35">
      <c r="A8" s="220"/>
      <c r="B8" s="139" t="s">
        <v>43</v>
      </c>
      <c r="C8" s="136">
        <v>1</v>
      </c>
      <c r="D8" s="136"/>
      <c r="E8" s="136"/>
      <c r="F8" s="136"/>
      <c r="G8" s="136"/>
      <c r="H8" s="136"/>
      <c r="I8" s="136"/>
      <c r="J8" s="136"/>
      <c r="K8" s="136"/>
      <c r="L8" s="136"/>
    </row>
    <row r="9" spans="1:13" x14ac:dyDescent="0.35">
      <c r="A9" s="220"/>
      <c r="B9" s="139" t="s">
        <v>44</v>
      </c>
      <c r="C9" s="136">
        <v>1</v>
      </c>
      <c r="D9" s="136">
        <v>1</v>
      </c>
      <c r="E9" s="136"/>
      <c r="F9" s="136"/>
      <c r="G9" s="136"/>
      <c r="H9" s="136"/>
      <c r="I9" s="136"/>
      <c r="J9" s="136"/>
      <c r="K9" s="136"/>
      <c r="L9" s="136"/>
    </row>
    <row r="10" spans="1:13" x14ac:dyDescent="0.35">
      <c r="A10" s="220"/>
      <c r="B10" s="139" t="s">
        <v>45</v>
      </c>
      <c r="C10" s="136"/>
      <c r="D10" s="136"/>
      <c r="E10" s="136"/>
      <c r="F10" s="136"/>
      <c r="G10" s="136"/>
      <c r="H10" s="136"/>
      <c r="I10" s="136"/>
      <c r="J10" s="136">
        <v>1</v>
      </c>
      <c r="K10" s="136"/>
      <c r="L10" s="136">
        <v>1</v>
      </c>
    </row>
    <row r="11" spans="1:13" x14ac:dyDescent="0.35">
      <c r="A11" s="220"/>
      <c r="B11" s="139" t="s">
        <v>46</v>
      </c>
      <c r="C11" s="136"/>
      <c r="D11" s="136"/>
      <c r="E11" s="136"/>
      <c r="F11" s="136"/>
      <c r="G11" s="136"/>
      <c r="H11" s="136"/>
      <c r="I11" s="136"/>
      <c r="J11" s="136">
        <v>1</v>
      </c>
      <c r="K11" s="136"/>
      <c r="L11" s="136"/>
    </row>
    <row r="12" spans="1:13" x14ac:dyDescent="0.35">
      <c r="A12" s="220"/>
      <c r="B12" s="139" t="s">
        <v>47</v>
      </c>
      <c r="C12" s="136"/>
      <c r="D12" s="136"/>
      <c r="E12" s="136"/>
      <c r="F12" s="136"/>
      <c r="G12" s="136"/>
      <c r="H12" s="136"/>
      <c r="I12" s="136"/>
      <c r="J12" s="136"/>
      <c r="K12" s="136">
        <v>1</v>
      </c>
      <c r="L12" s="136"/>
    </row>
    <row r="13" spans="1:13" x14ac:dyDescent="0.35">
      <c r="A13" s="220"/>
      <c r="B13" s="139" t="s">
        <v>48</v>
      </c>
      <c r="C13" s="136"/>
      <c r="D13" s="136"/>
      <c r="E13" s="136"/>
      <c r="F13" s="136"/>
      <c r="G13" s="136"/>
      <c r="H13" s="136"/>
      <c r="I13" s="136"/>
      <c r="J13" s="136">
        <v>1</v>
      </c>
      <c r="K13" s="136"/>
      <c r="L13" s="136"/>
    </row>
    <row r="14" spans="1:13" x14ac:dyDescent="0.35">
      <c r="A14" s="220"/>
      <c r="B14" s="139" t="s">
        <v>49</v>
      </c>
      <c r="C14" s="136"/>
      <c r="D14" s="136"/>
      <c r="E14" s="136"/>
      <c r="F14" s="136"/>
      <c r="G14" s="136"/>
      <c r="H14" s="136"/>
      <c r="I14" s="136">
        <v>1</v>
      </c>
      <c r="J14" s="136"/>
      <c r="K14" s="136"/>
      <c r="L14" s="136"/>
    </row>
    <row r="15" spans="1:13" x14ac:dyDescent="0.35">
      <c r="A15" s="220"/>
      <c r="B15" s="139" t="s">
        <v>50</v>
      </c>
      <c r="C15" s="136"/>
      <c r="D15" s="136"/>
      <c r="E15" s="136">
        <v>1</v>
      </c>
      <c r="F15" s="136"/>
      <c r="G15" s="136"/>
      <c r="H15" s="136"/>
      <c r="I15" s="136"/>
      <c r="J15" s="136"/>
      <c r="K15" s="136"/>
      <c r="L15" s="136"/>
    </row>
    <row r="16" spans="1:13" x14ac:dyDescent="0.35">
      <c r="A16" s="220"/>
      <c r="B16" s="139" t="s">
        <v>51</v>
      </c>
      <c r="C16" s="136"/>
      <c r="D16" s="136"/>
      <c r="E16" s="136"/>
      <c r="F16" s="136"/>
      <c r="G16" s="136"/>
      <c r="H16" s="136"/>
      <c r="I16" s="136"/>
      <c r="J16" s="136">
        <v>1</v>
      </c>
      <c r="K16" s="136"/>
      <c r="L16" s="136"/>
    </row>
    <row r="17" spans="1:12" x14ac:dyDescent="0.35">
      <c r="A17" s="220"/>
      <c r="B17" s="139" t="s">
        <v>52</v>
      </c>
      <c r="C17" s="136"/>
      <c r="D17" s="136"/>
      <c r="E17" s="136"/>
      <c r="F17" s="136"/>
      <c r="G17" s="136"/>
      <c r="H17" s="136">
        <v>1</v>
      </c>
      <c r="I17" s="136"/>
      <c r="J17" s="136"/>
      <c r="K17" s="136"/>
      <c r="L17" s="136">
        <v>1</v>
      </c>
    </row>
    <row r="18" spans="1:12" x14ac:dyDescent="0.35">
      <c r="A18" s="220"/>
      <c r="B18" s="139" t="s">
        <v>53</v>
      </c>
      <c r="C18" s="136"/>
      <c r="D18" s="136"/>
      <c r="E18" s="136"/>
      <c r="F18" s="136"/>
      <c r="G18" s="136"/>
      <c r="H18" s="136"/>
      <c r="I18" s="136"/>
      <c r="J18" s="136">
        <v>1</v>
      </c>
      <c r="K18" s="136"/>
      <c r="L18" s="136"/>
    </row>
    <row r="19" spans="1:12" x14ac:dyDescent="0.35">
      <c r="A19" s="220"/>
      <c r="B19" s="139" t="s">
        <v>54</v>
      </c>
      <c r="C19" s="136"/>
      <c r="D19" s="136"/>
      <c r="E19" s="136"/>
      <c r="F19" s="136"/>
      <c r="G19" s="136"/>
      <c r="H19" s="136"/>
      <c r="I19" s="136"/>
      <c r="J19" s="136"/>
      <c r="K19" s="136"/>
      <c r="L19" s="136"/>
    </row>
    <row r="20" spans="1:12" x14ac:dyDescent="0.35">
      <c r="A20" s="220"/>
      <c r="B20" s="139" t="s">
        <v>55</v>
      </c>
      <c r="C20" s="136"/>
      <c r="D20" s="136"/>
      <c r="E20" s="136"/>
      <c r="F20" s="136"/>
      <c r="G20" s="136"/>
      <c r="H20" s="136"/>
      <c r="I20" s="136"/>
      <c r="J20" s="136"/>
      <c r="K20" s="136"/>
      <c r="L20" s="136"/>
    </row>
    <row r="21" spans="1:12" x14ac:dyDescent="0.35">
      <c r="A21" s="220"/>
      <c r="B21" s="139" t="s">
        <v>56</v>
      </c>
      <c r="C21" s="136"/>
      <c r="D21" s="136">
        <v>1</v>
      </c>
      <c r="E21" s="136"/>
      <c r="F21" s="136"/>
      <c r="G21" s="136"/>
      <c r="H21" s="136"/>
      <c r="I21" s="136"/>
      <c r="J21" s="136"/>
      <c r="K21" s="136"/>
      <c r="L21" s="136"/>
    </row>
    <row r="22" spans="1:12" x14ac:dyDescent="0.35">
      <c r="A22" s="220"/>
      <c r="B22" s="139" t="s">
        <v>57</v>
      </c>
      <c r="C22" s="136">
        <v>1</v>
      </c>
      <c r="D22" s="136"/>
      <c r="E22" s="136"/>
      <c r="F22" s="136"/>
      <c r="G22" s="136"/>
      <c r="H22" s="136">
        <v>1</v>
      </c>
      <c r="I22" s="136"/>
      <c r="J22" s="136"/>
      <c r="K22" s="136"/>
      <c r="L22" s="136"/>
    </row>
    <row r="23" spans="1:12" x14ac:dyDescent="0.35">
      <c r="A23" s="220"/>
      <c r="B23" s="139" t="s">
        <v>58</v>
      </c>
      <c r="C23" s="136"/>
      <c r="D23" s="136"/>
      <c r="E23" s="136"/>
      <c r="F23" s="136"/>
      <c r="G23" s="136"/>
      <c r="H23" s="136">
        <v>1</v>
      </c>
      <c r="I23" s="136"/>
      <c r="J23" s="136">
        <v>1</v>
      </c>
      <c r="K23" s="136"/>
      <c r="L23" s="136"/>
    </row>
    <row r="24" spans="1:12" x14ac:dyDescent="0.35">
      <c r="A24" s="220"/>
      <c r="B24" s="139" t="s">
        <v>59</v>
      </c>
      <c r="C24" s="136"/>
      <c r="D24" s="136"/>
      <c r="E24" s="136"/>
      <c r="F24" s="136"/>
      <c r="G24" s="136"/>
      <c r="H24" s="136"/>
      <c r="I24" s="136"/>
      <c r="J24" s="136">
        <v>1</v>
      </c>
      <c r="K24" s="136"/>
      <c r="L24" s="136"/>
    </row>
    <row r="25" spans="1:12" x14ac:dyDescent="0.35">
      <c r="A25" s="129"/>
      <c r="B25" s="130"/>
      <c r="C25" s="127"/>
      <c r="D25" s="127"/>
      <c r="E25" s="127"/>
      <c r="F25" s="127"/>
      <c r="G25" s="127"/>
      <c r="H25" s="127"/>
      <c r="I25" s="127"/>
      <c r="J25" s="127"/>
      <c r="K25" s="127"/>
      <c r="L25" s="127"/>
    </row>
    <row r="26" spans="1:12" ht="18" customHeight="1" x14ac:dyDescent="0.35">
      <c r="B26" s="128" t="s">
        <v>214</v>
      </c>
    </row>
    <row r="27" spans="1:12" x14ac:dyDescent="0.35">
      <c r="A27" s="221" t="s">
        <v>204</v>
      </c>
      <c r="B27" s="140" t="s">
        <v>176</v>
      </c>
      <c r="C27" s="136"/>
      <c r="D27" s="136"/>
      <c r="E27" s="136"/>
      <c r="F27" s="136"/>
      <c r="G27" s="136"/>
      <c r="H27" s="136"/>
      <c r="I27" s="136"/>
      <c r="J27" s="136"/>
      <c r="K27" s="136">
        <v>1</v>
      </c>
      <c r="L27" s="136"/>
    </row>
    <row r="28" spans="1:12" x14ac:dyDescent="0.35">
      <c r="A28" s="221"/>
      <c r="B28" s="140" t="s">
        <v>177</v>
      </c>
      <c r="C28" s="136"/>
      <c r="D28" s="136"/>
      <c r="E28" s="136"/>
      <c r="F28" s="136">
        <v>1</v>
      </c>
      <c r="G28" s="136"/>
      <c r="H28" s="136"/>
      <c r="I28" s="136">
        <v>1</v>
      </c>
      <c r="J28" s="136"/>
      <c r="K28" s="136"/>
      <c r="L28" s="136"/>
    </row>
    <row r="29" spans="1:12" x14ac:dyDescent="0.35">
      <c r="A29" s="221"/>
      <c r="B29" s="140" t="s">
        <v>178</v>
      </c>
      <c r="C29" s="136"/>
      <c r="D29" s="136"/>
      <c r="E29" s="136"/>
      <c r="F29" s="136"/>
      <c r="G29" s="136"/>
      <c r="H29" s="136"/>
      <c r="I29" s="136">
        <v>1</v>
      </c>
      <c r="J29" s="136"/>
      <c r="K29" s="136"/>
      <c r="L29" s="136"/>
    </row>
    <row r="30" spans="1:12" x14ac:dyDescent="0.35">
      <c r="A30" s="221"/>
      <c r="B30" s="140" t="s">
        <v>179</v>
      </c>
      <c r="C30" s="136"/>
      <c r="D30" s="136"/>
      <c r="E30" s="136"/>
      <c r="F30" s="136"/>
      <c r="G30" s="136"/>
      <c r="H30" s="136"/>
      <c r="I30" s="136"/>
      <c r="J30" s="136"/>
      <c r="K30" s="136">
        <v>1</v>
      </c>
      <c r="L30" s="136"/>
    </row>
    <row r="31" spans="1:12" x14ac:dyDescent="0.35">
      <c r="A31" s="221"/>
      <c r="B31" s="140" t="s">
        <v>180</v>
      </c>
      <c r="C31" s="136"/>
      <c r="D31" s="136"/>
      <c r="E31" s="136"/>
      <c r="F31" s="136"/>
      <c r="G31" s="136"/>
      <c r="H31" s="136"/>
      <c r="I31" s="136"/>
      <c r="J31" s="136"/>
      <c r="K31" s="136">
        <v>1</v>
      </c>
      <c r="L31" s="136"/>
    </row>
    <row r="32" spans="1:12" x14ac:dyDescent="0.35">
      <c r="A32" s="221"/>
      <c r="B32" s="140" t="s">
        <v>181</v>
      </c>
      <c r="C32" s="136"/>
      <c r="D32" s="136"/>
      <c r="E32" s="136"/>
      <c r="F32" s="136">
        <v>1</v>
      </c>
      <c r="G32" s="136"/>
      <c r="H32" s="136"/>
      <c r="I32" s="136"/>
      <c r="J32" s="136"/>
      <c r="K32" s="136"/>
      <c r="L32" s="136"/>
    </row>
    <row r="33" spans="1:12" x14ac:dyDescent="0.35">
      <c r="A33" s="221"/>
      <c r="B33" s="140" t="s">
        <v>182</v>
      </c>
      <c r="C33" s="136"/>
      <c r="D33" s="136"/>
      <c r="E33" s="136"/>
      <c r="F33" s="136"/>
      <c r="G33" s="136">
        <v>1</v>
      </c>
      <c r="H33" s="136"/>
      <c r="I33" s="136"/>
      <c r="J33" s="136"/>
      <c r="K33" s="136"/>
      <c r="L33" s="136"/>
    </row>
    <row r="34" spans="1:12" x14ac:dyDescent="0.35">
      <c r="A34" s="221"/>
      <c r="B34" s="140" t="s">
        <v>183</v>
      </c>
      <c r="C34" s="136"/>
      <c r="D34" s="136"/>
      <c r="E34" s="136"/>
      <c r="F34" s="136"/>
      <c r="G34" s="136"/>
      <c r="H34" s="136">
        <v>1</v>
      </c>
      <c r="I34" s="136"/>
      <c r="J34" s="136"/>
      <c r="K34" s="136"/>
      <c r="L34" s="136"/>
    </row>
    <row r="35" spans="1:12" x14ac:dyDescent="0.35">
      <c r="A35" s="221"/>
      <c r="B35" s="140" t="s">
        <v>184</v>
      </c>
      <c r="C35" s="136"/>
      <c r="D35" s="136"/>
      <c r="E35" s="136"/>
      <c r="F35" s="136"/>
      <c r="G35" s="136"/>
      <c r="H35" s="136"/>
      <c r="I35" s="136"/>
      <c r="J35" s="136">
        <v>1</v>
      </c>
      <c r="K35" s="136"/>
      <c r="L35" s="136"/>
    </row>
    <row r="36" spans="1:12" x14ac:dyDescent="0.35">
      <c r="A36" s="221"/>
      <c r="B36" s="140" t="s">
        <v>185</v>
      </c>
      <c r="C36" s="136">
        <v>1</v>
      </c>
      <c r="D36" s="136"/>
      <c r="E36" s="136"/>
      <c r="F36" s="136"/>
      <c r="G36" s="136"/>
      <c r="H36" s="136"/>
      <c r="I36" s="136"/>
      <c r="J36" s="136"/>
      <c r="K36" s="136"/>
      <c r="L36" s="136"/>
    </row>
    <row r="37" spans="1:12" x14ac:dyDescent="0.35">
      <c r="A37" s="221"/>
      <c r="B37" s="140" t="s">
        <v>186</v>
      </c>
      <c r="C37" s="136"/>
      <c r="D37" s="136"/>
      <c r="E37" s="136"/>
      <c r="F37" s="136">
        <v>1</v>
      </c>
      <c r="G37" s="136"/>
      <c r="H37" s="136"/>
      <c r="I37" s="136"/>
      <c r="J37" s="136"/>
      <c r="K37" s="136"/>
      <c r="L37" s="136"/>
    </row>
    <row r="38" spans="1:12" x14ac:dyDescent="0.35">
      <c r="A38" s="221"/>
      <c r="B38" s="141" t="s">
        <v>187</v>
      </c>
      <c r="C38" s="136"/>
      <c r="D38" s="136"/>
      <c r="E38" s="136"/>
      <c r="F38" s="136"/>
      <c r="G38" s="136"/>
      <c r="H38" s="136"/>
      <c r="I38" s="136"/>
      <c r="J38" s="136"/>
      <c r="K38" s="136"/>
      <c r="L38" s="136"/>
    </row>
    <row r="39" spans="1:12" x14ac:dyDescent="0.35">
      <c r="A39" s="221"/>
      <c r="B39" s="141" t="s">
        <v>188</v>
      </c>
      <c r="C39" s="137"/>
      <c r="D39" s="137"/>
      <c r="E39" s="137"/>
      <c r="F39" s="137"/>
      <c r="G39" s="137"/>
      <c r="H39" s="137"/>
      <c r="I39" s="137"/>
      <c r="J39" s="137"/>
      <c r="K39" s="137"/>
      <c r="L39" s="137"/>
    </row>
    <row r="40" spans="1:12" x14ac:dyDescent="0.35">
      <c r="A40" s="221"/>
      <c r="B40" s="141" t="s">
        <v>189</v>
      </c>
      <c r="C40" s="137"/>
      <c r="D40" s="137"/>
      <c r="E40" s="137"/>
      <c r="F40" s="137"/>
      <c r="G40" s="137"/>
      <c r="H40" s="137"/>
      <c r="I40" s="137"/>
      <c r="J40" s="137"/>
      <c r="K40" s="137"/>
      <c r="L40" s="137"/>
    </row>
    <row r="41" spans="1:12" x14ac:dyDescent="0.35">
      <c r="A41" s="221"/>
      <c r="B41" s="141" t="s">
        <v>190</v>
      </c>
      <c r="C41" s="137"/>
      <c r="D41" s="137"/>
      <c r="E41" s="137"/>
      <c r="F41" s="137"/>
      <c r="G41" s="137"/>
      <c r="H41" s="137"/>
      <c r="I41" s="137"/>
      <c r="J41" s="137"/>
      <c r="K41" s="137"/>
      <c r="L41" s="137"/>
    </row>
    <row r="42" spans="1:12" x14ac:dyDescent="0.35">
      <c r="A42" s="221"/>
      <c r="B42" s="141" t="s">
        <v>191</v>
      </c>
      <c r="C42" s="137"/>
      <c r="D42" s="137"/>
      <c r="E42" s="137"/>
      <c r="F42" s="137"/>
      <c r="G42" s="137"/>
      <c r="H42" s="137"/>
      <c r="I42" s="137"/>
      <c r="J42" s="137"/>
      <c r="K42" s="137"/>
      <c r="L42" s="137"/>
    </row>
  </sheetData>
  <mergeCells count="3">
    <mergeCell ref="C1:L1"/>
    <mergeCell ref="A5:A24"/>
    <mergeCell ref="A27:A42"/>
  </mergeCells>
  <conditionalFormatting sqref="C5:L24 C27:L42">
    <cfRule type="cellIs" dxfId="0" priority="1" operator="equal">
      <formula>1</formula>
    </cfRule>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4FC01D362D705468A9A04E1BDD1AF4F" ma:contentTypeVersion="16" ma:contentTypeDescription="Create a new document." ma:contentTypeScope="" ma:versionID="958a64e6385824edb31cd998376f84e9">
  <xsd:schema xmlns:xsd="http://www.w3.org/2001/XMLSchema" xmlns:xs="http://www.w3.org/2001/XMLSchema" xmlns:p="http://schemas.microsoft.com/office/2006/metadata/properties" xmlns:ns2="bfbe784a-e0c6-4ea9-9781-6c8c16097d8e" xmlns:ns3="92ad2485-a57d-43a2-8242-b6eab527539c" targetNamespace="http://schemas.microsoft.com/office/2006/metadata/properties" ma:root="true" ma:fieldsID="89b3fde768a14c5baced3b901db4b26f" ns2:_="" ns3:_="">
    <xsd:import namespace="bfbe784a-e0c6-4ea9-9781-6c8c16097d8e"/>
    <xsd:import namespace="92ad2485-a57d-43a2-8242-b6eab527539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be784a-e0c6-4ea9-9781-6c8c16097d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c3ba164-6ba9-408a-aa83-927dd8aac5a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ad2485-a57d-43a2-8242-b6eab527539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9f68036-0b08-4b00-84da-972e9edfd660}" ma:internalName="TaxCatchAll" ma:showField="CatchAllData" ma:web="92ad2485-a57d-43a2-8242-b6eab52753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fbe784a-e0c6-4ea9-9781-6c8c16097d8e">
      <Terms xmlns="http://schemas.microsoft.com/office/infopath/2007/PartnerControls"/>
    </lcf76f155ced4ddcb4097134ff3c332f>
    <TaxCatchAll xmlns="92ad2485-a57d-43a2-8242-b6eab527539c" xsi:nil="true"/>
  </documentManagement>
</p:properties>
</file>

<file path=customXml/itemProps1.xml><?xml version="1.0" encoding="utf-8"?>
<ds:datastoreItem xmlns:ds="http://schemas.openxmlformats.org/officeDocument/2006/customXml" ds:itemID="{E27F62D3-F6AD-48A6-BF7B-0558EB50BCF6}">
  <ds:schemaRefs>
    <ds:schemaRef ds:uri="http://schemas.microsoft.com/sharepoint/v3/contenttype/forms"/>
  </ds:schemaRefs>
</ds:datastoreItem>
</file>

<file path=customXml/itemProps2.xml><?xml version="1.0" encoding="utf-8"?>
<ds:datastoreItem xmlns:ds="http://schemas.openxmlformats.org/officeDocument/2006/customXml" ds:itemID="{764E0FC0-F81F-4E9A-9002-41CA9B4CC8D4}"/>
</file>

<file path=customXml/itemProps3.xml><?xml version="1.0" encoding="utf-8"?>
<ds:datastoreItem xmlns:ds="http://schemas.openxmlformats.org/officeDocument/2006/customXml" ds:itemID="{3D3D63D7-75E4-4E3F-A283-CD851080306B}">
  <ds:schemaRefs>
    <ds:schemaRef ds:uri="http://purl.org/dc/elements/1.1/"/>
    <ds:schemaRef ds:uri="http://schemas.microsoft.com/office/2006/metadata/properties"/>
    <ds:schemaRef ds:uri="84b1402a-b119-421d-bc4c-4527340a2559"/>
    <ds:schemaRef ds:uri="http://purl.org/dc/terms/"/>
    <ds:schemaRef ds:uri="http://schemas.openxmlformats.org/package/2006/metadata/core-properties"/>
    <ds:schemaRef ds:uri="0e1dc029-3f76-4ea1-841b-ed7a19441a0f"/>
    <ds:schemaRef ds:uri="http://schemas.microsoft.com/office/2006/documentManagement/types"/>
    <ds:schemaRef ds:uri="http://schemas.microsoft.com/office/infopath/2007/PartnerControls"/>
    <ds:schemaRef ds:uri="http://www.w3.org/XML/1998/namespace"/>
    <ds:schemaRef ds:uri="http://purl.org/dc/dcmitype/"/>
    <ds:schemaRef ds:uri="7c9ebb0a-db94-4386-aa3e-efac45cac476"/>
    <ds:schemaRef ds:uri="cf5a4d3b-7f32-4ec2-88f5-2249cb9df25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Example</vt:lpstr>
      <vt:lpstr>Introduction</vt:lpstr>
      <vt:lpstr>Future Priority Ratings</vt:lpstr>
      <vt:lpstr>Source RAG ratings</vt:lpstr>
      <vt:lpstr>Customer Priority Tracker</vt:lpstr>
      <vt:lpstr>LTDS 1</vt:lpstr>
      <vt:lpstr>WTP</vt:lpstr>
      <vt:lpstr>WRMP PR24</vt:lpstr>
      <vt:lpstr>Compare Topics</vt:lpstr>
      <vt:lpstr>LTDS 2</vt:lpstr>
      <vt:lpstr>LTDS 3</vt:lpstr>
      <vt:lpstr>TQ Qual Tables</vt:lpstr>
      <vt:lpstr>Control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Pearmain</dc:creator>
  <cp:lastModifiedBy>Nicholas Hollaway</cp:lastModifiedBy>
  <dcterms:created xsi:type="dcterms:W3CDTF">2023-08-03T13:22:36Z</dcterms:created>
  <dcterms:modified xsi:type="dcterms:W3CDTF">2023-09-20T20:41:15Z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0x01010074FC01D362D705468A9A04E1BDD1AF4F</vt:lpwstr>
  </property>
  <property fmtid="{D5CDD505-2E9C-101B-9397-08002B2CF9AE}" pid="3" name="MediaServiceImageTags">
    <vt:lpwstr/>
  </property>
</Properties>
</file>